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drawings/drawing20.xml" ContentType="application/vnd.openxmlformats-officedocument.drawing+xml"/>
  <Override PartName="/xl/charts/chart16.xml" ContentType="application/vnd.openxmlformats-officedocument.drawingml.chart+xml"/>
  <Override PartName="/xl/drawings/drawing31.xml" ContentType="application/vnd.openxmlformats-officedocument.drawing+xml"/>
  <Override PartName="/xl/charts/chart34.xml" ContentType="application/vnd.openxmlformats-officedocument.drawingml.char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Default Extension="emf" ContentType="image/x-emf"/>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25.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drawings/drawing14.xml" ContentType="application/vnd.openxmlformats-officedocument.drawing+xml"/>
  <Override PartName="/xl/drawings/drawing32.xml" ContentType="application/vnd.openxmlformats-officedocument.drawing+xml"/>
  <Override PartName="/xl/charts/chart28.xml" ContentType="application/vnd.openxmlformats-officedocument.drawingml.chart+xml"/>
  <Override PartName="/xl/worksheets/sheet59.xml" ContentType="application/vnd.openxmlformats-officedocument.spreadsheetml.worksheet+xml"/>
  <Override PartName="/xl/worksheets/sheet77.xml" ContentType="application/vnd.openxmlformats-officedocument.spreadsheetml.worksheet+xml"/>
  <Override PartName="/xl/drawings/drawing21.xml" ContentType="application/vnd.openxmlformats-officedocument.drawing+xml"/>
  <Override PartName="/xl/charts/chart17.xml" ContentType="application/vnd.openxmlformats-officedocument.drawingml.chart+xml"/>
  <Override PartName="/xl/charts/chart35.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drawings/drawing44.xml" ContentType="application/vnd.openxmlformats-officedocument.drawing+xml"/>
  <Override PartName="/xl/externalLinks/externalLink3.xml" ContentType="application/vnd.openxmlformats-officedocument.spreadsheetml.externalLink+xml"/>
  <Override PartName="/xl/drawings/drawing22.xml" ContentType="application/vnd.openxmlformats-officedocument.drawing+xml"/>
  <Override PartName="/xl/charts/chart18.xml" ContentType="application/vnd.openxmlformats-officedocument.drawingml.chart+xml"/>
  <Override PartName="/xl/drawings/drawing33.xml" ContentType="application/vnd.openxmlformats-officedocument.drawing+xml"/>
  <Override PartName="/xl/charts/chart36.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xml"/>
  <Override PartName="/xl/drawings/drawing16.xml" ContentType="application/vnd.openxmlformats-officedocument.drawing+xml"/>
  <Override PartName="/xl/drawings/drawing34.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charts/chart19.xml" ContentType="application/vnd.openxmlformats-officedocument.drawingml.chart+xml"/>
  <Override PartName="/xl/drawings/drawing4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charts/chart26.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6015" windowWidth="15480" windowHeight="6060"/>
  </bookViews>
  <sheets>
    <sheet name="List of Tables &amp; Charts" sheetId="35" r:id="rId1"/>
    <sheet name="Tables 1a 1b 1c combined" sheetId="148" r:id="rId2"/>
    <sheet name="Tables 1a 1b 1c extra detail" sheetId="106" r:id="rId3"/>
    <sheet name="Table 2" sheetId="213" r:id="rId4"/>
    <sheet name="Table 3" sheetId="40" r:id="rId5"/>
    <sheet name="Table 4 (2016)" sheetId="81" r:id="rId6"/>
    <sheet name="Table 4 (2015)" sheetId="41" r:id="rId7"/>
    <sheet name="Table 5" sheetId="42" r:id="rId8"/>
    <sheet name="Table 6 (2016)" sheetId="133" r:id="rId9"/>
    <sheet name="Table 6 (2015)" sheetId="134" r:id="rId10"/>
    <sheet name="Table M0" sheetId="238" r:id="rId11"/>
    <sheet name="Table M1" sheetId="203" r:id="rId12"/>
    <sheet name="Table M2" sheetId="239" r:id="rId13"/>
    <sheet name="Table N2" sheetId="231" r:id="rId14"/>
    <sheet name="Chart 1b" sheetId="57" r:id="rId15"/>
    <sheet name="Chart 1b DATA" sheetId="58" r:id="rId16"/>
    <sheet name="Chart 1b (final diag)" sheetId="142" r:id="rId17"/>
    <sheet name="Chart 1b DATA (final diag)" sheetId="143" r:id="rId18"/>
    <sheet name="Chart 1c" sheetId="59" r:id="rId19"/>
    <sheet name="Chart 1c DATA" sheetId="60" r:id="rId20"/>
    <sheet name="Chart 1c (final diag)" sheetId="179" r:id="rId21"/>
    <sheet name="Chart 1c DATA (final diag)" sheetId="178" r:id="rId22"/>
    <sheet name="Chart 2a" sheetId="61" r:id="rId23"/>
    <sheet name="Chart 2a DATA" sheetId="62" r:id="rId24"/>
    <sheet name="Chart 2b" sheetId="63" r:id="rId25"/>
    <sheet name="Chart 2b DATA" sheetId="64" r:id="rId26"/>
    <sheet name="Chart 2c" sheetId="65" r:id="rId27"/>
    <sheet name="Chart 2c DATA" sheetId="66" r:id="rId28"/>
    <sheet name="Chart 2d" sheetId="67" r:id="rId29"/>
    <sheet name="Chart 2d DATA" sheetId="68" r:id="rId30"/>
    <sheet name="Chart 3 (2016)" sheetId="208" r:id="rId31"/>
    <sheet name="Chart 3 (2016) DATA" sheetId="209" r:id="rId32"/>
    <sheet name="Chart 4 (2016)" sheetId="195" r:id="rId33"/>
    <sheet name="Chart 4 (2016) DATA" sheetId="196" r:id="rId34"/>
    <sheet name="Chart 4 (2015)" sheetId="197" r:id="rId35"/>
    <sheet name="Chart 4 (2015) DATA" sheetId="198" r:id="rId36"/>
    <sheet name="Chart 5 (2016)" sheetId="199" r:id="rId37"/>
    <sheet name="Chart 5 (2016) DATA" sheetId="200" r:id="rId38"/>
    <sheet name="Chart 5 (2015)" sheetId="201" r:id="rId39"/>
    <sheet name="Chart 5 (2015) DATA" sheetId="202" r:id="rId40"/>
    <sheet name="Chart 6" sheetId="24" r:id="rId41"/>
    <sheet name="Chart 6 DATA" sheetId="25" r:id="rId42"/>
    <sheet name="Chart 7 (2016)" sheetId="189" r:id="rId43"/>
    <sheet name="Chart 7 (2016) DATA" sheetId="190" r:id="rId44"/>
    <sheet name="Chart 7 (2015)" sheetId="191" r:id="rId45"/>
    <sheet name="Chart 7 (2015) DATA" sheetId="192" r:id="rId46"/>
    <sheet name="Chart 8" sheetId="88" r:id="rId47"/>
    <sheet name="Chart 9" sheetId="185" r:id="rId48"/>
    <sheet name="Chart 9 DATA" sheetId="186" r:id="rId49"/>
    <sheet name="Chart 10" sheetId="130" r:id="rId50"/>
    <sheet name="Chart 10 (2015)" sheetId="194" r:id="rId51"/>
    <sheet name="Chart 11" sheetId="56" r:id="rId52"/>
    <sheet name="Chart 12" sheetId="54" r:id="rId53"/>
    <sheet name="Chart 13 (2016)" sheetId="180" r:id="rId54"/>
    <sheet name="Chart 13 (2016) DATA" sheetId="181" r:id="rId55"/>
    <sheet name="Chart 13 (2015)" sheetId="216" r:id="rId56"/>
    <sheet name="Chart 13 (2015) DATA" sheetId="217" r:id="rId57"/>
    <sheet name="Chart 14a (2016)" sheetId="174" r:id="rId58"/>
    <sheet name="Chart 14a (2016) DATA" sheetId="172" r:id="rId59"/>
    <sheet name="Chart 14a (2015)" sheetId="187" r:id="rId60"/>
    <sheet name="Chart 14a (2015) DATA" sheetId="188" r:id="rId61"/>
    <sheet name="Chart 15 (2016)" sheetId="136" r:id="rId62"/>
    <sheet name="Chart 15 (2015)" sheetId="177" r:id="rId63"/>
    <sheet name="Chart 16a" sheetId="103" r:id="rId64"/>
    <sheet name="Chart 16b" sheetId="112" r:id="rId65"/>
    <sheet name="Chart 17a" sheetId="113" r:id="rId66"/>
    <sheet name="Chart 17a DATA" sheetId="114" r:id="rId67"/>
    <sheet name="Chart 17c" sheetId="117" r:id="rId68"/>
    <sheet name="Chart 17c DATA" sheetId="118" r:id="rId69"/>
    <sheet name="Chart 17d" sheetId="119" r:id="rId70"/>
    <sheet name="Chart 17d DATA" sheetId="120" r:id="rId71"/>
    <sheet name="Chart N1" sheetId="220" r:id="rId72"/>
    <sheet name="Chart N1data" sheetId="240" r:id="rId73"/>
    <sheet name="Chart N2" sheetId="211" r:id="rId74"/>
    <sheet name="Chart N2 data" sheetId="212" r:id="rId75"/>
    <sheet name="Chart N2 (2015)" sheetId="214" r:id="rId76"/>
    <sheet name="Chart N2 (2015) data" sheetId="215" r:id="rId77"/>
    <sheet name="Poisson sub 100" sheetId="89" state="hidden" r:id="rId78"/>
    <sheet name="Chart N3" sheetId="241" r:id="rId79"/>
    <sheet name="Chart N4" sheetId="235" r:id="rId80"/>
    <sheet name="Chart N4 data" sheetId="237" r:id="rId81"/>
    <sheet name="Chart N5" sheetId="222" r:id="rId82"/>
    <sheet name="Chart N5 data" sheetId="223" r:id="rId83"/>
    <sheet name="Chart N5 (2015)" sheetId="226" r:id="rId84"/>
    <sheet name="Chart N5 (2015) data" sheetId="227" r:id="rId85"/>
  </sheets>
  <externalReferences>
    <externalReference r:id="rId86"/>
    <externalReference r:id="rId87"/>
    <externalReference r:id="rId88"/>
  </externalReferences>
  <definedNames>
    <definedName name="_xlnm._FilterDatabase" localSheetId="49" hidden="1">'Chart 10'!$B$48:$O$76</definedName>
    <definedName name="_xlnm._FilterDatabase" localSheetId="50" hidden="1">'Chart 10 (2015)'!$B$47:$O$75</definedName>
    <definedName name="_xlnm._FilterDatabase" localSheetId="52" hidden="1">'Chart 12'!$B$41:$I$42</definedName>
    <definedName name="_xlnm._FilterDatabase" localSheetId="56" hidden="1">'Chart 13 (2015) DATA'!$A$1:$V$2</definedName>
    <definedName name="_xlnm._FilterDatabase" localSheetId="54" hidden="1">'Chart 13 (2016) DATA'!$A$1:$V$2</definedName>
    <definedName name="_xlnm._FilterDatabase" localSheetId="66" hidden="1">'Chart 17a DATA'!#REF!</definedName>
    <definedName name="_xlnm._FilterDatabase" localSheetId="68" hidden="1">'Chart 17c DATA'!#REF!</definedName>
    <definedName name="_xlnm._FilterDatabase" localSheetId="70" hidden="1">'Chart 17d DATA'!#REF!</definedName>
    <definedName name="_xlnm._FilterDatabase" localSheetId="23" hidden="1">'Chart 2a DATA'!$A$2:$W$32</definedName>
    <definedName name="_xlnm._FilterDatabase" localSheetId="29" hidden="1">'Chart 2d DATA'!$A$1:$T$2</definedName>
    <definedName name="_xlnm._FilterDatabase" localSheetId="31" hidden="1">'Chart 3 (2016) DATA'!$A$1:$Z$2</definedName>
    <definedName name="_xlnm._FilterDatabase" localSheetId="35" hidden="1">'Chart 4 (2015) DATA'!$A$1:$Z$2</definedName>
    <definedName name="_xlnm._FilterDatabase" localSheetId="33" hidden="1">'Chart 4 (2016) DATA'!$A$1:$Z$2</definedName>
    <definedName name="_xlnm._FilterDatabase" localSheetId="39" hidden="1">'Chart 5 (2015) DATA'!$A$1:$R$2</definedName>
    <definedName name="_xlnm._FilterDatabase" localSheetId="37" hidden="1">'Chart 5 (2016) DATA'!$A$1:$R$2</definedName>
    <definedName name="Hospitals" localSheetId="21">'Chart 1c DATA (final diag)'!$V$37:$X$69</definedName>
    <definedName name="Hospitals" localSheetId="3">'[1]Chart 1c DATA'!$V$3:$X$35</definedName>
    <definedName name="Hospitals" localSheetId="10">'[2]Chart 1c DATA'!$V$35:$X$67</definedName>
    <definedName name="Hospitals" localSheetId="12">'[2]Chart 1c DATA'!$V$35:$X$67</definedName>
    <definedName name="Hospitals">'Chart 1c DATA'!$V$35:$X$67</definedName>
    <definedName name="Hospitals_">'[3]Chart 1c DATA'!$V$3:$X$35</definedName>
    <definedName name="_xlnm.Print_Titles" localSheetId="3">'Table 2'!$3:$3</definedName>
  </definedNames>
  <calcPr calcId="125725"/>
</workbook>
</file>

<file path=xl/calcChain.xml><?xml version="1.0" encoding="utf-8"?>
<calcChain xmlns="http://schemas.openxmlformats.org/spreadsheetml/2006/main">
  <c r="I65" i="54"/>
  <c r="H65"/>
  <c r="I70"/>
  <c r="H70"/>
  <c r="I66"/>
  <c r="H66"/>
  <c r="I64"/>
  <c r="H64"/>
  <c r="I63"/>
  <c r="H63"/>
  <c r="I62"/>
  <c r="H62"/>
  <c r="I60"/>
  <c r="H60"/>
  <c r="R16" i="143"/>
  <c r="T17"/>
  <c r="S17"/>
  <c r="R17"/>
  <c r="T10"/>
  <c r="S10"/>
  <c r="R10"/>
  <c r="T12"/>
  <c r="S12"/>
  <c r="R12"/>
  <c r="T7"/>
  <c r="S7"/>
  <c r="R7"/>
  <c r="T6"/>
  <c r="S6"/>
  <c r="R6"/>
  <c r="T8"/>
  <c r="S8"/>
  <c r="R8"/>
  <c r="T13"/>
  <c r="S13"/>
  <c r="R13"/>
  <c r="T11"/>
  <c r="S11"/>
  <c r="R11"/>
  <c r="T9"/>
  <c r="S9"/>
  <c r="R9"/>
  <c r="T5"/>
  <c r="S5"/>
  <c r="R5"/>
  <c r="T15"/>
  <c r="S15"/>
  <c r="R15"/>
  <c r="T14"/>
  <c r="S14"/>
  <c r="R14"/>
  <c r="T4"/>
  <c r="S4"/>
  <c r="R4"/>
  <c r="T16"/>
  <c r="S16"/>
  <c r="Q10"/>
  <c r="Q12"/>
  <c r="Q7"/>
  <c r="Q6"/>
  <c r="Q8"/>
  <c r="Q13"/>
  <c r="Q11"/>
  <c r="Q9"/>
  <c r="Q5"/>
  <c r="Q15"/>
  <c r="Q14"/>
  <c r="Q16"/>
  <c r="Q4"/>
  <c r="T6" i="58"/>
  <c r="S6"/>
  <c r="R6"/>
  <c r="Q6"/>
  <c r="T16"/>
  <c r="S16"/>
  <c r="R16"/>
  <c r="Q16"/>
  <c r="T10"/>
  <c r="S10"/>
  <c r="R10"/>
  <c r="Q10"/>
  <c r="T12"/>
  <c r="S12"/>
  <c r="R12"/>
  <c r="Q12"/>
  <c r="T13"/>
  <c r="S13"/>
  <c r="R13"/>
  <c r="Q13"/>
  <c r="T8"/>
  <c r="S8"/>
  <c r="R8"/>
  <c r="Q8"/>
  <c r="T14"/>
  <c r="S14"/>
  <c r="R14"/>
  <c r="Q14"/>
  <c r="T7"/>
  <c r="S7"/>
  <c r="R7"/>
  <c r="Q7"/>
  <c r="T9"/>
  <c r="S9"/>
  <c r="R9"/>
  <c r="Q9"/>
  <c r="T5"/>
  <c r="S5"/>
  <c r="R5"/>
  <c r="Q5"/>
  <c r="T15"/>
  <c r="S15"/>
  <c r="R15"/>
  <c r="Q15"/>
  <c r="T11"/>
  <c r="S11"/>
  <c r="R11"/>
  <c r="Q11"/>
  <c r="T17"/>
  <c r="S17"/>
  <c r="R17"/>
  <c r="Q17"/>
  <c r="T4"/>
  <c r="S4"/>
  <c r="R4"/>
  <c r="Q4"/>
  <c r="M32" i="240"/>
  <c r="H32"/>
  <c r="G32"/>
  <c r="M31"/>
  <c r="H31"/>
  <c r="G31"/>
  <c r="M30"/>
  <c r="H30"/>
  <c r="G30"/>
  <c r="M29"/>
  <c r="H29"/>
  <c r="G29"/>
  <c r="M28"/>
  <c r="H28"/>
  <c r="G28"/>
  <c r="M27"/>
  <c r="H27"/>
  <c r="G27"/>
  <c r="M26"/>
  <c r="H26"/>
  <c r="G26"/>
  <c r="M25"/>
  <c r="H25"/>
  <c r="G25"/>
  <c r="M24"/>
  <c r="H24"/>
  <c r="G24"/>
  <c r="M23"/>
  <c r="H23"/>
  <c r="G23"/>
  <c r="M22"/>
  <c r="H22"/>
  <c r="G22"/>
  <c r="M21"/>
  <c r="H21"/>
  <c r="G21"/>
  <c r="M20"/>
  <c r="H20"/>
  <c r="G20"/>
  <c r="M19"/>
  <c r="H19"/>
  <c r="G19"/>
  <c r="M18"/>
  <c r="H18"/>
  <c r="G18"/>
  <c r="M17"/>
  <c r="H17"/>
  <c r="G17"/>
  <c r="M16"/>
  <c r="H16"/>
  <c r="G16"/>
  <c r="M15"/>
  <c r="H15"/>
  <c r="G15"/>
  <c r="M14"/>
  <c r="H14"/>
  <c r="G14"/>
  <c r="M13"/>
  <c r="H13"/>
  <c r="G13"/>
  <c r="M12"/>
  <c r="H12"/>
  <c r="G12"/>
  <c r="M11"/>
  <c r="H11"/>
  <c r="G11"/>
  <c r="M10"/>
  <c r="H10"/>
  <c r="G10"/>
  <c r="M9"/>
  <c r="H9"/>
  <c r="G9"/>
  <c r="M8"/>
  <c r="H8"/>
  <c r="G8"/>
  <c r="M7"/>
  <c r="H7"/>
  <c r="G7"/>
  <c r="M6"/>
  <c r="H6"/>
  <c r="G6"/>
  <c r="M5"/>
  <c r="H5"/>
  <c r="G5"/>
  <c r="M4"/>
  <c r="H4"/>
  <c r="G4"/>
  <c r="M3"/>
  <c r="F3"/>
  <c r="E3"/>
  <c r="D3"/>
  <c r="C3"/>
  <c r="F28" i="239"/>
  <c r="G28" s="1"/>
  <c r="E28"/>
  <c r="D28"/>
  <c r="C28"/>
  <c r="G27"/>
  <c r="E27"/>
  <c r="G26"/>
  <c r="E26"/>
  <c r="G25"/>
  <c r="E25"/>
  <c r="G24"/>
  <c r="E24"/>
  <c r="G23"/>
  <c r="E23"/>
  <c r="G22"/>
  <c r="E22"/>
  <c r="G21"/>
  <c r="E21"/>
  <c r="G20"/>
  <c r="E20"/>
  <c r="G19"/>
  <c r="E19"/>
  <c r="G18"/>
  <c r="E18"/>
  <c r="G17"/>
  <c r="E17"/>
  <c r="G16"/>
  <c r="E16"/>
  <c r="G15"/>
  <c r="E15"/>
  <c r="G14"/>
  <c r="E14"/>
  <c r="G13"/>
  <c r="E13"/>
  <c r="G12"/>
  <c r="E12"/>
  <c r="G11"/>
  <c r="E11"/>
  <c r="G10"/>
  <c r="E10"/>
  <c r="G9"/>
  <c r="E9"/>
  <c r="G8"/>
  <c r="E8"/>
  <c r="G7"/>
  <c r="E7"/>
  <c r="G6"/>
  <c r="E6"/>
  <c r="H3" i="240" l="1"/>
  <c r="G3"/>
  <c r="D27" i="238"/>
  <c r="E27" s="1"/>
  <c r="C27"/>
  <c r="E26"/>
  <c r="E25"/>
  <c r="E24"/>
  <c r="E23"/>
  <c r="E22"/>
  <c r="E21"/>
  <c r="E20"/>
  <c r="E19"/>
  <c r="E18"/>
  <c r="E17"/>
  <c r="E16"/>
  <c r="E15"/>
  <c r="E14"/>
  <c r="E13"/>
  <c r="E12"/>
  <c r="E11"/>
  <c r="E10"/>
  <c r="E9"/>
  <c r="E8"/>
  <c r="E7"/>
  <c r="E6"/>
  <c r="B3" i="114" l="1"/>
  <c r="C3"/>
  <c r="D3"/>
  <c r="E3"/>
  <c r="F3"/>
  <c r="G3"/>
  <c r="N44" i="54"/>
  <c r="D32" i="66"/>
  <c r="D27"/>
  <c r="D31"/>
  <c r="D13"/>
  <c r="D30"/>
  <c r="D17"/>
  <c r="D28"/>
  <c r="D29"/>
  <c r="D25"/>
  <c r="D15"/>
  <c r="D12"/>
  <c r="D26"/>
  <c r="D19"/>
  <c r="D23"/>
  <c r="D16"/>
  <c r="D22"/>
  <c r="D24"/>
  <c r="D20"/>
  <c r="D18"/>
  <c r="D8"/>
  <c r="D21"/>
  <c r="D14"/>
  <c r="D9"/>
  <c r="D10"/>
  <c r="D6"/>
  <c r="D7"/>
  <c r="D4"/>
  <c r="D11"/>
  <c r="D5"/>
  <c r="D3"/>
  <c r="D18" i="64"/>
  <c r="D31"/>
  <c r="D24"/>
  <c r="D26"/>
  <c r="D14"/>
  <c r="D16"/>
  <c r="D13"/>
  <c r="D25"/>
  <c r="D19"/>
  <c r="D20"/>
  <c r="D8"/>
  <c r="D23"/>
  <c r="D17"/>
  <c r="D11"/>
  <c r="D15"/>
  <c r="D7"/>
  <c r="D12"/>
  <c r="D10"/>
  <c r="D21"/>
  <c r="D9"/>
  <c r="D30"/>
  <c r="D27"/>
  <c r="D5"/>
  <c r="D29"/>
  <c r="D6"/>
  <c r="D28"/>
  <c r="D4"/>
  <c r="D32"/>
  <c r="D22"/>
  <c r="D3"/>
  <c r="Q4" i="25" l="1"/>
  <c r="S7"/>
  <c r="T7"/>
  <c r="J7" s="1"/>
  <c r="H7" s="1"/>
  <c r="B7"/>
  <c r="C7"/>
  <c r="K7" s="1"/>
  <c r="D7"/>
  <c r="I7"/>
  <c r="F7" s="1"/>
  <c r="H23" i="227"/>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H6"/>
  <c r="G6"/>
  <c r="F6"/>
  <c r="E6"/>
  <c r="D6"/>
  <c r="C6"/>
  <c r="H5"/>
  <c r="G5"/>
  <c r="F5"/>
  <c r="E5"/>
  <c r="D5"/>
  <c r="C5"/>
  <c r="H4"/>
  <c r="G4"/>
  <c r="F4"/>
  <c r="E4"/>
  <c r="D4"/>
  <c r="C4"/>
  <c r="Y3"/>
  <c r="X3"/>
  <c r="W3"/>
  <c r="V3"/>
  <c r="U3"/>
  <c r="T3"/>
  <c r="S3"/>
  <c r="E3" s="1"/>
  <c r="R3"/>
  <c r="Q3"/>
  <c r="P3"/>
  <c r="O3"/>
  <c r="N3"/>
  <c r="H3"/>
  <c r="F3"/>
  <c r="D3"/>
  <c r="N7" i="25" l="1"/>
  <c r="G7"/>
  <c r="E7"/>
  <c r="A7"/>
  <c r="G3" i="227"/>
  <c r="C3"/>
  <c r="H24" i="223"/>
  <c r="H23"/>
  <c r="H22"/>
  <c r="H21"/>
  <c r="H20"/>
  <c r="H19"/>
  <c r="H18"/>
  <c r="H17"/>
  <c r="H16"/>
  <c r="H15"/>
  <c r="H14"/>
  <c r="H13"/>
  <c r="H12"/>
  <c r="H11"/>
  <c r="H10"/>
  <c r="H9"/>
  <c r="H8"/>
  <c r="H7"/>
  <c r="H6"/>
  <c r="H5"/>
  <c r="H4"/>
  <c r="G24"/>
  <c r="G23"/>
  <c r="G22"/>
  <c r="G21"/>
  <c r="G20"/>
  <c r="G19"/>
  <c r="G18"/>
  <c r="G17"/>
  <c r="G16"/>
  <c r="G15"/>
  <c r="G14"/>
  <c r="G13"/>
  <c r="G12"/>
  <c r="G11"/>
  <c r="G10"/>
  <c r="G9"/>
  <c r="G8"/>
  <c r="G7"/>
  <c r="G6"/>
  <c r="G5"/>
  <c r="G4"/>
  <c r="Y3"/>
  <c r="X3"/>
  <c r="H3" l="1"/>
  <c r="F15"/>
  <c r="E15"/>
  <c r="D15"/>
  <c r="C15"/>
  <c r="G11" i="192"/>
  <c r="F11"/>
  <c r="E11"/>
  <c r="D11"/>
  <c r="C11"/>
  <c r="G7" i="190"/>
  <c r="F7"/>
  <c r="E7"/>
  <c r="I7" s="1"/>
  <c r="D7"/>
  <c r="C7"/>
  <c r="H11" i="192" l="1"/>
  <c r="J11"/>
  <c r="I11"/>
  <c r="K11"/>
  <c r="H7" i="190"/>
  <c r="J7"/>
  <c r="K7"/>
  <c r="G6"/>
  <c r="F6"/>
  <c r="E6"/>
  <c r="D6"/>
  <c r="C6"/>
  <c r="I6" l="1"/>
  <c r="H6"/>
  <c r="J6"/>
  <c r="K6"/>
  <c r="F24" i="223"/>
  <c r="F23"/>
  <c r="F22"/>
  <c r="F21"/>
  <c r="F20"/>
  <c r="F19"/>
  <c r="F18"/>
  <c r="F17"/>
  <c r="F16"/>
  <c r="F14"/>
  <c r="F13"/>
  <c r="F12"/>
  <c r="F11"/>
  <c r="F10"/>
  <c r="F9"/>
  <c r="F8"/>
  <c r="F7"/>
  <c r="F6"/>
  <c r="F5"/>
  <c r="F4"/>
  <c r="E24"/>
  <c r="E23"/>
  <c r="E22"/>
  <c r="E21"/>
  <c r="E20"/>
  <c r="E19"/>
  <c r="E18"/>
  <c r="E17"/>
  <c r="E16"/>
  <c r="E14"/>
  <c r="E13"/>
  <c r="E12"/>
  <c r="E11"/>
  <c r="E10"/>
  <c r="E9"/>
  <c r="E8"/>
  <c r="E7"/>
  <c r="E6"/>
  <c r="E5"/>
  <c r="E4"/>
  <c r="D24"/>
  <c r="D23"/>
  <c r="D22"/>
  <c r="D21"/>
  <c r="D20"/>
  <c r="D19"/>
  <c r="D18"/>
  <c r="D17"/>
  <c r="D16"/>
  <c r="D14"/>
  <c r="D13"/>
  <c r="D12"/>
  <c r="D11"/>
  <c r="D10"/>
  <c r="D9"/>
  <c r="D8"/>
  <c r="D7"/>
  <c r="D6"/>
  <c r="D5"/>
  <c r="D4"/>
  <c r="C24"/>
  <c r="C23"/>
  <c r="C22"/>
  <c r="C21"/>
  <c r="C20"/>
  <c r="C19"/>
  <c r="C18"/>
  <c r="C17"/>
  <c r="C16"/>
  <c r="C14"/>
  <c r="C13"/>
  <c r="C12"/>
  <c r="C11"/>
  <c r="C10"/>
  <c r="C9"/>
  <c r="C8"/>
  <c r="C7"/>
  <c r="C6"/>
  <c r="C5"/>
  <c r="C4"/>
  <c r="W3" l="1"/>
  <c r="V3"/>
  <c r="U3"/>
  <c r="T3"/>
  <c r="S3"/>
  <c r="R3"/>
  <c r="Q3"/>
  <c r="P3"/>
  <c r="O3"/>
  <c r="N3"/>
  <c r="G3" l="1"/>
  <c r="C3"/>
  <c r="D3"/>
  <c r="E3"/>
  <c r="F3"/>
  <c r="U31" i="217"/>
  <c r="U30"/>
  <c r="U29"/>
  <c r="U28"/>
  <c r="U27"/>
  <c r="U26"/>
  <c r="U25"/>
  <c r="U24"/>
  <c r="U23"/>
  <c r="U22"/>
  <c r="U21"/>
  <c r="U20"/>
  <c r="U19"/>
  <c r="U18"/>
  <c r="U17"/>
  <c r="U16"/>
  <c r="U15"/>
  <c r="U14"/>
  <c r="U13"/>
  <c r="U12"/>
  <c r="U11"/>
  <c r="U10"/>
  <c r="U9"/>
  <c r="U8"/>
  <c r="U7"/>
  <c r="U6"/>
  <c r="U5"/>
  <c r="U4"/>
  <c r="U32" i="181"/>
  <c r="U31"/>
  <c r="V31" s="1"/>
  <c r="U30"/>
  <c r="U29"/>
  <c r="U28"/>
  <c r="U27"/>
  <c r="U26"/>
  <c r="U25"/>
  <c r="U24"/>
  <c r="U23"/>
  <c r="U22"/>
  <c r="U21"/>
  <c r="U20"/>
  <c r="U19"/>
  <c r="U18"/>
  <c r="U17"/>
  <c r="U16"/>
  <c r="U15"/>
  <c r="U14"/>
  <c r="U13"/>
  <c r="U12"/>
  <c r="U11"/>
  <c r="U10"/>
  <c r="U9"/>
  <c r="U8"/>
  <c r="U7"/>
  <c r="U6"/>
  <c r="U5"/>
  <c r="U4"/>
  <c r="V31" i="217"/>
  <c r="T31"/>
  <c r="R31" a="1"/>
  <c r="R31" s="1"/>
  <c r="P31" a="1"/>
  <c r="P31" s="1"/>
  <c r="N31"/>
  <c r="M31"/>
  <c r="L31"/>
  <c r="J31"/>
  <c r="H31"/>
  <c r="E31"/>
  <c r="V30"/>
  <c r="T30"/>
  <c r="R30" a="1"/>
  <c r="R30" s="1"/>
  <c r="P30" a="1"/>
  <c r="P30" s="1"/>
  <c r="N30"/>
  <c r="M30"/>
  <c r="L30"/>
  <c r="J30"/>
  <c r="H30"/>
  <c r="E30"/>
  <c r="V29"/>
  <c r="T29"/>
  <c r="R29" a="1"/>
  <c r="R29" s="1"/>
  <c r="P29" a="1"/>
  <c r="P29" s="1"/>
  <c r="N29"/>
  <c r="M29"/>
  <c r="L29"/>
  <c r="J29"/>
  <c r="H29"/>
  <c r="E29"/>
  <c r="V28"/>
  <c r="T28"/>
  <c r="R28" a="1"/>
  <c r="R28" s="1"/>
  <c r="P28" a="1"/>
  <c r="P28" s="1"/>
  <c r="N28"/>
  <c r="M28"/>
  <c r="L28"/>
  <c r="J28"/>
  <c r="H28"/>
  <c r="E28"/>
  <c r="V27"/>
  <c r="T27"/>
  <c r="R27" a="1"/>
  <c r="R27" s="1"/>
  <c r="P27" a="1"/>
  <c r="P27" s="1"/>
  <c r="N27"/>
  <c r="M27"/>
  <c r="L27"/>
  <c r="J27"/>
  <c r="H27"/>
  <c r="E27"/>
  <c r="V26"/>
  <c r="T26"/>
  <c r="R26" a="1"/>
  <c r="R26" s="1"/>
  <c r="P26" a="1"/>
  <c r="P26" s="1"/>
  <c r="N26"/>
  <c r="M26"/>
  <c r="L26"/>
  <c r="J26"/>
  <c r="H26"/>
  <c r="E26"/>
  <c r="V25"/>
  <c r="T25"/>
  <c r="R25" a="1"/>
  <c r="R25" s="1"/>
  <c r="P25" a="1"/>
  <c r="P25" s="1"/>
  <c r="N25"/>
  <c r="M25"/>
  <c r="L25"/>
  <c r="J25"/>
  <c r="H25"/>
  <c r="E25"/>
  <c r="V24"/>
  <c r="T24"/>
  <c r="R24" a="1"/>
  <c r="R24" s="1"/>
  <c r="P24" a="1"/>
  <c r="P24" s="1"/>
  <c r="N24"/>
  <c r="M24"/>
  <c r="L24"/>
  <c r="J24"/>
  <c r="H24"/>
  <c r="E24"/>
  <c r="V23"/>
  <c r="T23"/>
  <c r="R23" a="1"/>
  <c r="R23" s="1"/>
  <c r="P23" a="1"/>
  <c r="P23" s="1"/>
  <c r="N23"/>
  <c r="M23"/>
  <c r="L23"/>
  <c r="J23"/>
  <c r="H23"/>
  <c r="E23"/>
  <c r="V22"/>
  <c r="T22"/>
  <c r="R22" a="1"/>
  <c r="R22" s="1"/>
  <c r="P22" a="1"/>
  <c r="P22" s="1"/>
  <c r="N22"/>
  <c r="M22"/>
  <c r="L22"/>
  <c r="J22"/>
  <c r="H22"/>
  <c r="E22"/>
  <c r="V21"/>
  <c r="T21"/>
  <c r="R21" a="1"/>
  <c r="R21" s="1"/>
  <c r="P21" a="1"/>
  <c r="P21" s="1"/>
  <c r="N21"/>
  <c r="M21"/>
  <c r="L21"/>
  <c r="J21"/>
  <c r="H21"/>
  <c r="E21"/>
  <c r="V20"/>
  <c r="T20"/>
  <c r="R20" a="1"/>
  <c r="R20" s="1"/>
  <c r="P20" a="1"/>
  <c r="P20" s="1"/>
  <c r="N20"/>
  <c r="M20"/>
  <c r="L20"/>
  <c r="J20"/>
  <c r="H20"/>
  <c r="E20"/>
  <c r="V19"/>
  <c r="T19"/>
  <c r="R19" a="1"/>
  <c r="R19" s="1"/>
  <c r="P19" a="1"/>
  <c r="P19" s="1"/>
  <c r="N19"/>
  <c r="M19"/>
  <c r="L19"/>
  <c r="J19"/>
  <c r="H19"/>
  <c r="E19"/>
  <c r="V18"/>
  <c r="T18"/>
  <c r="R18" a="1"/>
  <c r="R18" s="1"/>
  <c r="P18" a="1"/>
  <c r="P18" s="1"/>
  <c r="N18"/>
  <c r="M18"/>
  <c r="L18"/>
  <c r="J18"/>
  <c r="H18"/>
  <c r="E18"/>
  <c r="V17"/>
  <c r="T17"/>
  <c r="R17" a="1"/>
  <c r="R17" s="1"/>
  <c r="P17" a="1"/>
  <c r="P17" s="1"/>
  <c r="N17"/>
  <c r="M17"/>
  <c r="L17"/>
  <c r="J17"/>
  <c r="H17"/>
  <c r="E17"/>
  <c r="V16"/>
  <c r="T16"/>
  <c r="R16" a="1"/>
  <c r="R16" s="1"/>
  <c r="P16" a="1"/>
  <c r="P16" s="1"/>
  <c r="N16"/>
  <c r="M16"/>
  <c r="L16"/>
  <c r="J16"/>
  <c r="H16"/>
  <c r="E16"/>
  <c r="V15"/>
  <c r="T15"/>
  <c r="R15" a="1"/>
  <c r="R15" s="1"/>
  <c r="P15" a="1"/>
  <c r="P15" s="1"/>
  <c r="N15"/>
  <c r="M15"/>
  <c r="L15"/>
  <c r="J15"/>
  <c r="H15"/>
  <c r="E15"/>
  <c r="V14"/>
  <c r="T14"/>
  <c r="R14" a="1"/>
  <c r="R14" s="1"/>
  <c r="P14" a="1"/>
  <c r="P14" s="1"/>
  <c r="N14"/>
  <c r="M14"/>
  <c r="L14"/>
  <c r="J14"/>
  <c r="H14"/>
  <c r="E14"/>
  <c r="V13"/>
  <c r="T13"/>
  <c r="R13" a="1"/>
  <c r="R13" s="1"/>
  <c r="P13" a="1"/>
  <c r="P13" s="1"/>
  <c r="N13"/>
  <c r="M13"/>
  <c r="L13"/>
  <c r="J13"/>
  <c r="H13"/>
  <c r="E13"/>
  <c r="V12"/>
  <c r="T12"/>
  <c r="R12" a="1"/>
  <c r="R12" s="1"/>
  <c r="P12" a="1"/>
  <c r="P12" s="1"/>
  <c r="N12"/>
  <c r="M12"/>
  <c r="L12"/>
  <c r="J12"/>
  <c r="H12"/>
  <c r="E12"/>
  <c r="V11"/>
  <c r="T11"/>
  <c r="R11" a="1"/>
  <c r="R11" s="1"/>
  <c r="P11" a="1"/>
  <c r="P11" s="1"/>
  <c r="N11"/>
  <c r="M11"/>
  <c r="L11"/>
  <c r="J11"/>
  <c r="H11"/>
  <c r="E11"/>
  <c r="V10"/>
  <c r="T10"/>
  <c r="R10" a="1"/>
  <c r="R10" s="1"/>
  <c r="P10" a="1"/>
  <c r="P10" s="1"/>
  <c r="N10"/>
  <c r="M10"/>
  <c r="L10"/>
  <c r="J10"/>
  <c r="H10"/>
  <c r="E10"/>
  <c r="V9"/>
  <c r="T9"/>
  <c r="R9" a="1"/>
  <c r="R9" s="1"/>
  <c r="P9" a="1"/>
  <c r="P9" s="1"/>
  <c r="N9"/>
  <c r="M9"/>
  <c r="L9"/>
  <c r="J9"/>
  <c r="H9"/>
  <c r="E9"/>
  <c r="V8"/>
  <c r="T8"/>
  <c r="R8" a="1"/>
  <c r="R8" s="1"/>
  <c r="P8" a="1"/>
  <c r="P8" s="1"/>
  <c r="N8"/>
  <c r="M8"/>
  <c r="L8"/>
  <c r="J8"/>
  <c r="H8"/>
  <c r="E8"/>
  <c r="V7"/>
  <c r="T7"/>
  <c r="R7" a="1"/>
  <c r="R7" s="1"/>
  <c r="P7" a="1"/>
  <c r="P7" s="1"/>
  <c r="N7"/>
  <c r="M7"/>
  <c r="L7"/>
  <c r="J7"/>
  <c r="H7"/>
  <c r="E7"/>
  <c r="V6"/>
  <c r="T6"/>
  <c r="R6" a="1"/>
  <c r="R6" s="1"/>
  <c r="P6" a="1"/>
  <c r="P6" s="1"/>
  <c r="N6"/>
  <c r="M6"/>
  <c r="L6"/>
  <c r="J6"/>
  <c r="H6"/>
  <c r="E6"/>
  <c r="V5"/>
  <c r="T5"/>
  <c r="R5" a="1"/>
  <c r="R5" s="1"/>
  <c r="P5" a="1"/>
  <c r="P5" s="1"/>
  <c r="N5"/>
  <c r="M5"/>
  <c r="L5"/>
  <c r="J5"/>
  <c r="H5"/>
  <c r="E5"/>
  <c r="V4"/>
  <c r="T4"/>
  <c r="R4" a="1"/>
  <c r="R4" s="1"/>
  <c r="P4" a="1"/>
  <c r="P4" s="1"/>
  <c r="N4"/>
  <c r="M4"/>
  <c r="L4"/>
  <c r="J4"/>
  <c r="H4"/>
  <c r="E4"/>
  <c r="U3"/>
  <c r="S3"/>
  <c r="Q3"/>
  <c r="O3"/>
  <c r="K3"/>
  <c r="I3"/>
  <c r="G3"/>
  <c r="D3"/>
  <c r="C3"/>
  <c r="T31" i="181"/>
  <c r="R31" a="1"/>
  <c r="R31" s="1"/>
  <c r="P31" a="1"/>
  <c r="P31" s="1"/>
  <c r="N31"/>
  <c r="M31"/>
  <c r="L31"/>
  <c r="J31"/>
  <c r="H31"/>
  <c r="E31"/>
  <c r="E3" i="217" l="1"/>
  <c r="P3" a="1"/>
  <c r="P3" s="1"/>
  <c r="V3"/>
  <c r="N3"/>
  <c r="T3"/>
  <c r="H3"/>
  <c r="M3"/>
  <c r="R3" a="1"/>
  <c r="R3" s="1"/>
  <c r="J3"/>
  <c r="L3"/>
  <c r="H33" i="213"/>
  <c r="G33"/>
  <c r="F33"/>
  <c r="E33"/>
  <c r="D33"/>
  <c r="C33"/>
  <c r="R17" i="120"/>
  <c r="R16"/>
  <c r="R15"/>
  <c r="R14"/>
  <c r="R13"/>
  <c r="R12"/>
  <c r="R11"/>
  <c r="R10"/>
  <c r="R9"/>
  <c r="R8"/>
  <c r="R7"/>
  <c r="R6"/>
  <c r="R5"/>
  <c r="R4"/>
  <c r="L3"/>
  <c r="F3"/>
  <c r="R17" i="118"/>
  <c r="R16"/>
  <c r="R15"/>
  <c r="R14"/>
  <c r="R13"/>
  <c r="R12"/>
  <c r="R11"/>
  <c r="R10"/>
  <c r="R9"/>
  <c r="R8"/>
  <c r="R7"/>
  <c r="R6"/>
  <c r="R5"/>
  <c r="R4"/>
  <c r="L3"/>
  <c r="F3"/>
  <c r="R3" i="120" l="1"/>
  <c r="R3" i="118"/>
  <c r="R17" i="114"/>
  <c r="R16"/>
  <c r="R15"/>
  <c r="R14"/>
  <c r="R13"/>
  <c r="R12"/>
  <c r="R11"/>
  <c r="R10"/>
  <c r="R9"/>
  <c r="R8"/>
  <c r="R7"/>
  <c r="R6"/>
  <c r="R5"/>
  <c r="R4"/>
  <c r="L3"/>
  <c r="R3" l="1"/>
  <c r="D50" i="215"/>
  <c r="L50" s="1"/>
  <c r="C50"/>
  <c r="D49"/>
  <c r="L49" s="1"/>
  <c r="C49"/>
  <c r="D48"/>
  <c r="C48"/>
  <c r="D47"/>
  <c r="C47"/>
  <c r="D46"/>
  <c r="L46" s="1"/>
  <c r="C46"/>
  <c r="D45"/>
  <c r="L45" s="1"/>
  <c r="C45"/>
  <c r="D44"/>
  <c r="L44" s="1"/>
  <c r="C44"/>
  <c r="D43"/>
  <c r="L43" s="1"/>
  <c r="C43"/>
  <c r="D42"/>
  <c r="L42" s="1"/>
  <c r="C42"/>
  <c r="D41"/>
  <c r="L41" s="1"/>
  <c r="C41"/>
  <c r="D40"/>
  <c r="L40" s="1"/>
  <c r="C40"/>
  <c r="D39"/>
  <c r="L39" s="1"/>
  <c r="C39"/>
  <c r="D38"/>
  <c r="L38" s="1"/>
  <c r="C38"/>
  <c r="D37"/>
  <c r="L37" s="1"/>
  <c r="C37"/>
  <c r="G36"/>
  <c r="E36"/>
  <c r="C35"/>
  <c r="G15"/>
  <c r="F15"/>
  <c r="E15"/>
  <c r="D15"/>
  <c r="C15"/>
  <c r="G32"/>
  <c r="F32"/>
  <c r="E32"/>
  <c r="D32"/>
  <c r="C32"/>
  <c r="G27"/>
  <c r="F27"/>
  <c r="E27"/>
  <c r="D27"/>
  <c r="C27"/>
  <c r="G10"/>
  <c r="F10"/>
  <c r="E10"/>
  <c r="D10"/>
  <c r="C10"/>
  <c r="G7"/>
  <c r="F7"/>
  <c r="E7"/>
  <c r="D7"/>
  <c r="C7"/>
  <c r="G26"/>
  <c r="F26"/>
  <c r="E26"/>
  <c r="D26"/>
  <c r="C26"/>
  <c r="G29"/>
  <c r="F29"/>
  <c r="E29"/>
  <c r="D29"/>
  <c r="C29"/>
  <c r="G25"/>
  <c r="F25"/>
  <c r="E25"/>
  <c r="D25"/>
  <c r="C25"/>
  <c r="G28"/>
  <c r="F28"/>
  <c r="E28"/>
  <c r="D28"/>
  <c r="C28"/>
  <c r="G23"/>
  <c r="F23"/>
  <c r="E23"/>
  <c r="D23"/>
  <c r="C23"/>
  <c r="G11"/>
  <c r="F11"/>
  <c r="E11"/>
  <c r="D11"/>
  <c r="C11"/>
  <c r="G17"/>
  <c r="F17"/>
  <c r="E17"/>
  <c r="D17"/>
  <c r="C17"/>
  <c r="G31"/>
  <c r="F31"/>
  <c r="E31"/>
  <c r="D31"/>
  <c r="C31"/>
  <c r="G6"/>
  <c r="F6"/>
  <c r="E6"/>
  <c r="D6"/>
  <c r="C6"/>
  <c r="G5"/>
  <c r="F5"/>
  <c r="E5"/>
  <c r="D5"/>
  <c r="C5"/>
  <c r="G9"/>
  <c r="F9"/>
  <c r="E9"/>
  <c r="D9"/>
  <c r="C9"/>
  <c r="G14"/>
  <c r="F14"/>
  <c r="E14"/>
  <c r="D14"/>
  <c r="C14"/>
  <c r="G18"/>
  <c r="F18"/>
  <c r="E18"/>
  <c r="D18"/>
  <c r="C18"/>
  <c r="G13"/>
  <c r="F13"/>
  <c r="E13"/>
  <c r="D13"/>
  <c r="C13"/>
  <c r="G19"/>
  <c r="F19"/>
  <c r="E19"/>
  <c r="D19"/>
  <c r="C19"/>
  <c r="G24"/>
  <c r="F24"/>
  <c r="E24"/>
  <c r="D24"/>
  <c r="C24"/>
  <c r="G30"/>
  <c r="F30"/>
  <c r="E30"/>
  <c r="D30"/>
  <c r="C30"/>
  <c r="G16"/>
  <c r="F16"/>
  <c r="E16"/>
  <c r="D16"/>
  <c r="C16"/>
  <c r="G20"/>
  <c r="F20"/>
  <c r="E20"/>
  <c r="D20"/>
  <c r="C20"/>
  <c r="G4"/>
  <c r="F4"/>
  <c r="E4"/>
  <c r="D4"/>
  <c r="C4"/>
  <c r="G22"/>
  <c r="F22"/>
  <c r="E22"/>
  <c r="D22"/>
  <c r="C22"/>
  <c r="G12"/>
  <c r="F12"/>
  <c r="E12"/>
  <c r="D12"/>
  <c r="C12"/>
  <c r="G8"/>
  <c r="F8"/>
  <c r="E8"/>
  <c r="D8"/>
  <c r="C8"/>
  <c r="G21"/>
  <c r="F21"/>
  <c r="E21"/>
  <c r="D21"/>
  <c r="C21"/>
  <c r="U3"/>
  <c r="T3"/>
  <c r="S3"/>
  <c r="R3"/>
  <c r="Q3"/>
  <c r="P3"/>
  <c r="O3"/>
  <c r="N3"/>
  <c r="M3"/>
  <c r="L3"/>
  <c r="G7" i="212"/>
  <c r="G24"/>
  <c r="G12"/>
  <c r="G10"/>
  <c r="G27"/>
  <c r="G29"/>
  <c r="G25"/>
  <c r="G26"/>
  <c r="G9"/>
  <c r="G18"/>
  <c r="G15"/>
  <c r="G30"/>
  <c r="G13"/>
  <c r="G6"/>
  <c r="G5"/>
  <c r="G20"/>
  <c r="G22"/>
  <c r="G11"/>
  <c r="G17"/>
  <c r="G23"/>
  <c r="G28"/>
  <c r="G16"/>
  <c r="G14"/>
  <c r="G4"/>
  <c r="G21"/>
  <c r="G19"/>
  <c r="G8"/>
  <c r="G31"/>
  <c r="F7"/>
  <c r="F24"/>
  <c r="F12"/>
  <c r="F10"/>
  <c r="F27"/>
  <c r="F29"/>
  <c r="F25"/>
  <c r="F26"/>
  <c r="F9"/>
  <c r="F18"/>
  <c r="F15"/>
  <c r="F30"/>
  <c r="F13"/>
  <c r="F6"/>
  <c r="F5"/>
  <c r="F20"/>
  <c r="F22"/>
  <c r="F11"/>
  <c r="F17"/>
  <c r="F23"/>
  <c r="F28"/>
  <c r="F16"/>
  <c r="F14"/>
  <c r="F4"/>
  <c r="F21"/>
  <c r="F19"/>
  <c r="F8"/>
  <c r="F31"/>
  <c r="C34"/>
  <c r="E13"/>
  <c r="D13"/>
  <c r="C13"/>
  <c r="E6"/>
  <c r="D6"/>
  <c r="C6"/>
  <c r="E5"/>
  <c r="D5"/>
  <c r="C5"/>
  <c r="E20"/>
  <c r="D20"/>
  <c r="C20"/>
  <c r="E22"/>
  <c r="D22"/>
  <c r="C22"/>
  <c r="E11"/>
  <c r="D11"/>
  <c r="C11"/>
  <c r="E17"/>
  <c r="D17"/>
  <c r="C17"/>
  <c r="E23"/>
  <c r="D23"/>
  <c r="C23"/>
  <c r="E28"/>
  <c r="D28"/>
  <c r="C28"/>
  <c r="E16"/>
  <c r="D16"/>
  <c r="C16"/>
  <c r="E14"/>
  <c r="D14"/>
  <c r="C14"/>
  <c r="E3" i="215" l="1"/>
  <c r="I18"/>
  <c r="I9"/>
  <c r="I6"/>
  <c r="F3"/>
  <c r="H8"/>
  <c r="H22"/>
  <c r="H17"/>
  <c r="J17"/>
  <c r="I11"/>
  <c r="H23"/>
  <c r="J23"/>
  <c r="I28"/>
  <c r="H25"/>
  <c r="J25"/>
  <c r="I29"/>
  <c r="H26"/>
  <c r="J26"/>
  <c r="I7"/>
  <c r="H10"/>
  <c r="J10"/>
  <c r="I27"/>
  <c r="H32"/>
  <c r="J32"/>
  <c r="I15"/>
  <c r="I21"/>
  <c r="J8"/>
  <c r="I12"/>
  <c r="J22"/>
  <c r="I4"/>
  <c r="I16"/>
  <c r="I24"/>
  <c r="I13"/>
  <c r="I14"/>
  <c r="I5"/>
  <c r="H20"/>
  <c r="J20"/>
  <c r="H30"/>
  <c r="J30"/>
  <c r="H19"/>
  <c r="J19"/>
  <c r="C3"/>
  <c r="G3"/>
  <c r="H31"/>
  <c r="J31"/>
  <c r="J3"/>
  <c r="H18"/>
  <c r="J18"/>
  <c r="H9"/>
  <c r="J9"/>
  <c r="H6"/>
  <c r="J6"/>
  <c r="I31"/>
  <c r="I17"/>
  <c r="H11"/>
  <c r="J11"/>
  <c r="I23"/>
  <c r="H28"/>
  <c r="J28"/>
  <c r="I25"/>
  <c r="H29"/>
  <c r="J29"/>
  <c r="I26"/>
  <c r="H7"/>
  <c r="J7"/>
  <c r="I10"/>
  <c r="H27"/>
  <c r="J27"/>
  <c r="I32"/>
  <c r="H15"/>
  <c r="J15"/>
  <c r="H21"/>
  <c r="J21"/>
  <c r="I8"/>
  <c r="H12"/>
  <c r="J12"/>
  <c r="I22"/>
  <c r="H4"/>
  <c r="J4"/>
  <c r="I20"/>
  <c r="H16"/>
  <c r="J16"/>
  <c r="I30"/>
  <c r="H24"/>
  <c r="J24"/>
  <c r="I19"/>
  <c r="H13"/>
  <c r="J13"/>
  <c r="H14"/>
  <c r="J14"/>
  <c r="H5"/>
  <c r="J5"/>
  <c r="M38"/>
  <c r="M40"/>
  <c r="M42"/>
  <c r="M44"/>
  <c r="M46"/>
  <c r="M49"/>
  <c r="M50"/>
  <c r="M37"/>
  <c r="M39"/>
  <c r="M41"/>
  <c r="M43"/>
  <c r="M45"/>
  <c r="D3"/>
  <c r="H3" s="1"/>
  <c r="I17" i="212"/>
  <c r="I5"/>
  <c r="I11"/>
  <c r="H16"/>
  <c r="H11"/>
  <c r="H6"/>
  <c r="H14"/>
  <c r="J14"/>
  <c r="H17"/>
  <c r="J17"/>
  <c r="H5"/>
  <c r="J5"/>
  <c r="I6"/>
  <c r="J28"/>
  <c r="J22"/>
  <c r="J13"/>
  <c r="I28"/>
  <c r="I23"/>
  <c r="I22"/>
  <c r="I20"/>
  <c r="I13"/>
  <c r="I14"/>
  <c r="I16"/>
  <c r="H28"/>
  <c r="H23"/>
  <c r="H22"/>
  <c r="H20"/>
  <c r="H13"/>
  <c r="J16"/>
  <c r="J23"/>
  <c r="J11"/>
  <c r="J20"/>
  <c r="J6"/>
  <c r="D49"/>
  <c r="L49" s="1"/>
  <c r="C49"/>
  <c r="D48"/>
  <c r="L48" s="1"/>
  <c r="C48"/>
  <c r="D47"/>
  <c r="C47"/>
  <c r="D46"/>
  <c r="C46"/>
  <c r="D45"/>
  <c r="L45" s="1"/>
  <c r="C45"/>
  <c r="D44"/>
  <c r="L44" s="1"/>
  <c r="C44"/>
  <c r="D43"/>
  <c r="L43" s="1"/>
  <c r="C43"/>
  <c r="D42"/>
  <c r="L42" s="1"/>
  <c r="C42"/>
  <c r="D41"/>
  <c r="L41" s="1"/>
  <c r="C41"/>
  <c r="D40"/>
  <c r="L40" s="1"/>
  <c r="C40"/>
  <c r="D39"/>
  <c r="L39" s="1"/>
  <c r="C39"/>
  <c r="D38"/>
  <c r="L38" s="1"/>
  <c r="C38"/>
  <c r="D37"/>
  <c r="L37" s="1"/>
  <c r="C37"/>
  <c r="D36"/>
  <c r="L36" s="1"/>
  <c r="C36"/>
  <c r="G35"/>
  <c r="E35"/>
  <c r="E7"/>
  <c r="D7"/>
  <c r="C7"/>
  <c r="E24"/>
  <c r="D24"/>
  <c r="C24"/>
  <c r="E12"/>
  <c r="D12"/>
  <c r="C12"/>
  <c r="E10"/>
  <c r="D10"/>
  <c r="C10"/>
  <c r="E27"/>
  <c r="D27"/>
  <c r="C27"/>
  <c r="E29"/>
  <c r="D29"/>
  <c r="C29"/>
  <c r="E25"/>
  <c r="D25"/>
  <c r="C25"/>
  <c r="E26"/>
  <c r="D26"/>
  <c r="C26"/>
  <c r="E9"/>
  <c r="D9"/>
  <c r="C9"/>
  <c r="E18"/>
  <c r="D18"/>
  <c r="C18"/>
  <c r="E15"/>
  <c r="D15"/>
  <c r="C15"/>
  <c r="E30"/>
  <c r="D30"/>
  <c r="C30"/>
  <c r="E4"/>
  <c r="D4"/>
  <c r="C4"/>
  <c r="E21"/>
  <c r="D21"/>
  <c r="C21"/>
  <c r="E19"/>
  <c r="D19"/>
  <c r="C19"/>
  <c r="E8"/>
  <c r="D8"/>
  <c r="C8"/>
  <c r="E31"/>
  <c r="D31"/>
  <c r="C31"/>
  <c r="U3"/>
  <c r="T3"/>
  <c r="S3"/>
  <c r="R3"/>
  <c r="Q3"/>
  <c r="P3"/>
  <c r="O3"/>
  <c r="N3"/>
  <c r="M3"/>
  <c r="L3"/>
  <c r="H48" i="209"/>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H36"/>
  <c r="G36"/>
  <c r="F36"/>
  <c r="E36"/>
  <c r="D36"/>
  <c r="C36"/>
  <c r="H35"/>
  <c r="G35"/>
  <c r="F35"/>
  <c r="E35"/>
  <c r="D35"/>
  <c r="C35"/>
  <c r="H6"/>
  <c r="G6"/>
  <c r="F6"/>
  <c r="E6"/>
  <c r="D6"/>
  <c r="C6"/>
  <c r="H22"/>
  <c r="G22"/>
  <c r="F22"/>
  <c r="E22"/>
  <c r="D22"/>
  <c r="C22"/>
  <c r="H18"/>
  <c r="G18"/>
  <c r="F18"/>
  <c r="E18"/>
  <c r="D18"/>
  <c r="C18"/>
  <c r="H16"/>
  <c r="G16"/>
  <c r="F16"/>
  <c r="E16"/>
  <c r="D16"/>
  <c r="C16"/>
  <c r="H30"/>
  <c r="G30"/>
  <c r="F30"/>
  <c r="E30"/>
  <c r="D30"/>
  <c r="C30"/>
  <c r="H21"/>
  <c r="G21"/>
  <c r="F21"/>
  <c r="E21"/>
  <c r="D21"/>
  <c r="C21"/>
  <c r="H28"/>
  <c r="G28"/>
  <c r="F28"/>
  <c r="E28"/>
  <c r="D28"/>
  <c r="C28"/>
  <c r="H20"/>
  <c r="G20"/>
  <c r="F20"/>
  <c r="E20"/>
  <c r="D20"/>
  <c r="C20"/>
  <c r="H14"/>
  <c r="G14"/>
  <c r="F14"/>
  <c r="E14"/>
  <c r="D14"/>
  <c r="C14"/>
  <c r="H13"/>
  <c r="G13"/>
  <c r="F13"/>
  <c r="E13"/>
  <c r="D13"/>
  <c r="C13"/>
  <c r="H24"/>
  <c r="G24"/>
  <c r="F24"/>
  <c r="E24"/>
  <c r="D24"/>
  <c r="C24"/>
  <c r="H10"/>
  <c r="G10"/>
  <c r="F10"/>
  <c r="E10"/>
  <c r="D10"/>
  <c r="C10"/>
  <c r="H7"/>
  <c r="G7"/>
  <c r="F7"/>
  <c r="E7"/>
  <c r="D7"/>
  <c r="C7"/>
  <c r="H5"/>
  <c r="G5"/>
  <c r="F5"/>
  <c r="E5"/>
  <c r="D5"/>
  <c r="C5"/>
  <c r="H9"/>
  <c r="G9"/>
  <c r="F9"/>
  <c r="E9"/>
  <c r="D9"/>
  <c r="C9"/>
  <c r="H23"/>
  <c r="G23"/>
  <c r="F23"/>
  <c r="E23"/>
  <c r="D23"/>
  <c r="C23"/>
  <c r="H25"/>
  <c r="G25"/>
  <c r="F25"/>
  <c r="E25"/>
  <c r="D25"/>
  <c r="C25"/>
  <c r="H27"/>
  <c r="G27"/>
  <c r="F27"/>
  <c r="E27"/>
  <c r="D27"/>
  <c r="C27"/>
  <c r="H15"/>
  <c r="G15"/>
  <c r="F15"/>
  <c r="E15"/>
  <c r="D15"/>
  <c r="C15"/>
  <c r="H19"/>
  <c r="G19"/>
  <c r="F19"/>
  <c r="E19"/>
  <c r="D19"/>
  <c r="C19"/>
  <c r="H26"/>
  <c r="G26"/>
  <c r="F26"/>
  <c r="E26"/>
  <c r="D26"/>
  <c r="C26"/>
  <c r="H17"/>
  <c r="G17"/>
  <c r="F17"/>
  <c r="E17"/>
  <c r="D17"/>
  <c r="C17"/>
  <c r="H11"/>
  <c r="G11"/>
  <c r="F11"/>
  <c r="E11"/>
  <c r="D11"/>
  <c r="C11"/>
  <c r="H29"/>
  <c r="G29"/>
  <c r="F29"/>
  <c r="E29"/>
  <c r="D29"/>
  <c r="C29"/>
  <c r="H12"/>
  <c r="G12"/>
  <c r="F12"/>
  <c r="E12"/>
  <c r="D12"/>
  <c r="C12"/>
  <c r="H4"/>
  <c r="G4"/>
  <c r="F4"/>
  <c r="E4"/>
  <c r="D4"/>
  <c r="C4"/>
  <c r="H8"/>
  <c r="G8"/>
  <c r="F8"/>
  <c r="E8"/>
  <c r="D8"/>
  <c r="C8"/>
  <c r="H31"/>
  <c r="G31"/>
  <c r="F31"/>
  <c r="E31"/>
  <c r="D31"/>
  <c r="C31"/>
  <c r="Z3"/>
  <c r="Y3"/>
  <c r="X3"/>
  <c r="W3"/>
  <c r="V3"/>
  <c r="U3"/>
  <c r="T3"/>
  <c r="S3"/>
  <c r="R3"/>
  <c r="Q3"/>
  <c r="P3"/>
  <c r="O3"/>
  <c r="G36" i="203"/>
  <c r="F36"/>
  <c r="H36" s="1"/>
  <c r="D36"/>
  <c r="C36"/>
  <c r="E36" s="1"/>
  <c r="H35"/>
  <c r="E35"/>
  <c r="H34"/>
  <c r="E34"/>
  <c r="H33"/>
  <c r="E33"/>
  <c r="H32"/>
  <c r="E32"/>
  <c r="H31"/>
  <c r="E31"/>
  <c r="H30"/>
  <c r="E30"/>
  <c r="H29"/>
  <c r="E29"/>
  <c r="H28"/>
  <c r="E28"/>
  <c r="H27"/>
  <c r="E27"/>
  <c r="H26"/>
  <c r="E26"/>
  <c r="H25"/>
  <c r="E25"/>
  <c r="H24"/>
  <c r="E24"/>
  <c r="H23"/>
  <c r="E23"/>
  <c r="H22"/>
  <c r="E22"/>
  <c r="H21"/>
  <c r="E21"/>
  <c r="H20"/>
  <c r="E20"/>
  <c r="H19"/>
  <c r="E19"/>
  <c r="H18"/>
  <c r="E18"/>
  <c r="H17"/>
  <c r="E17"/>
  <c r="H16"/>
  <c r="E16"/>
  <c r="H15"/>
  <c r="E15"/>
  <c r="H14"/>
  <c r="E14"/>
  <c r="H13"/>
  <c r="E13"/>
  <c r="H12"/>
  <c r="E12"/>
  <c r="H11"/>
  <c r="E11"/>
  <c r="H10"/>
  <c r="E10"/>
  <c r="H9"/>
  <c r="E9"/>
  <c r="H8"/>
  <c r="E8"/>
  <c r="H7"/>
  <c r="E7"/>
  <c r="H15" i="212" l="1"/>
  <c r="C3" i="209"/>
  <c r="E3"/>
  <c r="G3"/>
  <c r="H3"/>
  <c r="F3"/>
  <c r="J3" s="1"/>
  <c r="D3"/>
  <c r="I3" i="215"/>
  <c r="I26" i="212"/>
  <c r="F3"/>
  <c r="G3"/>
  <c r="H25"/>
  <c r="I10"/>
  <c r="H12"/>
  <c r="C3"/>
  <c r="H21"/>
  <c r="J21"/>
  <c r="J15"/>
  <c r="J25"/>
  <c r="J12"/>
  <c r="I8"/>
  <c r="I30"/>
  <c r="I9"/>
  <c r="I27"/>
  <c r="I19"/>
  <c r="I7"/>
  <c r="H31"/>
  <c r="H4"/>
  <c r="H18"/>
  <c r="H29"/>
  <c r="H24"/>
  <c r="D3"/>
  <c r="E3"/>
  <c r="I31"/>
  <c r="H8"/>
  <c r="J8"/>
  <c r="H19"/>
  <c r="I21"/>
  <c r="I4"/>
  <c r="H30"/>
  <c r="J30"/>
  <c r="I15"/>
  <c r="I18"/>
  <c r="H9"/>
  <c r="J9"/>
  <c r="H26"/>
  <c r="I25"/>
  <c r="I29"/>
  <c r="H27"/>
  <c r="J27"/>
  <c r="H10"/>
  <c r="I12"/>
  <c r="I24"/>
  <c r="H7"/>
  <c r="J31"/>
  <c r="J4"/>
  <c r="J18"/>
  <c r="J26"/>
  <c r="J29"/>
  <c r="J10"/>
  <c r="J24"/>
  <c r="J7"/>
  <c r="M36"/>
  <c r="M37"/>
  <c r="M38"/>
  <c r="M39"/>
  <c r="M40"/>
  <c r="M41"/>
  <c r="M42"/>
  <c r="M43"/>
  <c r="M44"/>
  <c r="M45"/>
  <c r="M48"/>
  <c r="M49"/>
  <c r="J19"/>
  <c r="I31" i="209"/>
  <c r="M31"/>
  <c r="I8"/>
  <c r="I4"/>
  <c r="M4"/>
  <c r="I12"/>
  <c r="I29"/>
  <c r="M29"/>
  <c r="I11"/>
  <c r="I17"/>
  <c r="M17"/>
  <c r="I26"/>
  <c r="I19"/>
  <c r="M19"/>
  <c r="I15"/>
  <c r="I27"/>
  <c r="M27"/>
  <c r="I25"/>
  <c r="I23"/>
  <c r="M23"/>
  <c r="I9"/>
  <c r="I5"/>
  <c r="M5"/>
  <c r="I7"/>
  <c r="I10"/>
  <c r="M10"/>
  <c r="I24"/>
  <c r="M24"/>
  <c r="I13"/>
  <c r="I14"/>
  <c r="M14"/>
  <c r="I20"/>
  <c r="I28"/>
  <c r="M28"/>
  <c r="I21"/>
  <c r="I30"/>
  <c r="M30"/>
  <c r="I16"/>
  <c r="I18"/>
  <c r="M18"/>
  <c r="I22"/>
  <c r="I6"/>
  <c r="I3"/>
  <c r="L8"/>
  <c r="L12"/>
  <c r="L11"/>
  <c r="L26"/>
  <c r="L15"/>
  <c r="L25"/>
  <c r="L9"/>
  <c r="L7"/>
  <c r="L13"/>
  <c r="L20"/>
  <c r="L21"/>
  <c r="L16"/>
  <c r="L22"/>
  <c r="L6"/>
  <c r="J31"/>
  <c r="J8"/>
  <c r="J4"/>
  <c r="J12"/>
  <c r="J29"/>
  <c r="J11"/>
  <c r="J17"/>
  <c r="J26"/>
  <c r="J19"/>
  <c r="J15"/>
  <c r="J27"/>
  <c r="J25"/>
  <c r="J23"/>
  <c r="J9"/>
  <c r="J5"/>
  <c r="J7"/>
  <c r="J10"/>
  <c r="J24"/>
  <c r="J13"/>
  <c r="J14"/>
  <c r="J20"/>
  <c r="J28"/>
  <c r="J21"/>
  <c r="J30"/>
  <c r="J16"/>
  <c r="J18"/>
  <c r="J22"/>
  <c r="J6"/>
  <c r="K3"/>
  <c r="L31"/>
  <c r="K8"/>
  <c r="M8"/>
  <c r="L4"/>
  <c r="K12"/>
  <c r="M12"/>
  <c r="L29"/>
  <c r="K11"/>
  <c r="M11"/>
  <c r="L17"/>
  <c r="K26"/>
  <c r="M26"/>
  <c r="L19"/>
  <c r="K15"/>
  <c r="M15"/>
  <c r="L27"/>
  <c r="K25"/>
  <c r="M25"/>
  <c r="L23"/>
  <c r="K9"/>
  <c r="M9"/>
  <c r="L5"/>
  <c r="K7"/>
  <c r="M7"/>
  <c r="L10"/>
  <c r="L24"/>
  <c r="K13"/>
  <c r="M13"/>
  <c r="L14"/>
  <c r="K20"/>
  <c r="M20"/>
  <c r="L28"/>
  <c r="K21"/>
  <c r="M21"/>
  <c r="L30"/>
  <c r="K16"/>
  <c r="M16"/>
  <c r="L18"/>
  <c r="K22"/>
  <c r="M22"/>
  <c r="K6"/>
  <c r="M6"/>
  <c r="K31"/>
  <c r="K4"/>
  <c r="K29"/>
  <c r="K17"/>
  <c r="K19"/>
  <c r="K27"/>
  <c r="K23"/>
  <c r="K5"/>
  <c r="K10"/>
  <c r="K24"/>
  <c r="K14"/>
  <c r="K28"/>
  <c r="K30"/>
  <c r="K18"/>
  <c r="L3" l="1"/>
  <c r="M3"/>
  <c r="H3" i="212"/>
  <c r="I3"/>
  <c r="J3"/>
  <c r="H49" i="202"/>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H36"/>
  <c r="G36"/>
  <c r="F36"/>
  <c r="E36"/>
  <c r="D36"/>
  <c r="C36"/>
  <c r="G34"/>
  <c r="E34"/>
  <c r="C34"/>
  <c r="H19"/>
  <c r="G19"/>
  <c r="J19" s="1"/>
  <c r="F19"/>
  <c r="E19"/>
  <c r="D19"/>
  <c r="C19"/>
  <c r="H21"/>
  <c r="G21"/>
  <c r="J21" s="1"/>
  <c r="F21"/>
  <c r="E21"/>
  <c r="D21"/>
  <c r="C21"/>
  <c r="H17"/>
  <c r="G17"/>
  <c r="F17"/>
  <c r="E17"/>
  <c r="D17"/>
  <c r="C17"/>
  <c r="H6"/>
  <c r="G6"/>
  <c r="J6" s="1"/>
  <c r="F6"/>
  <c r="E6"/>
  <c r="D6"/>
  <c r="C6"/>
  <c r="H31"/>
  <c r="G31"/>
  <c r="F31"/>
  <c r="E31"/>
  <c r="D31"/>
  <c r="C31"/>
  <c r="H30"/>
  <c r="G30"/>
  <c r="J30" s="1"/>
  <c r="F30"/>
  <c r="E30"/>
  <c r="D30"/>
  <c r="C30"/>
  <c r="H11"/>
  <c r="G11"/>
  <c r="F11"/>
  <c r="E11"/>
  <c r="D11"/>
  <c r="C11"/>
  <c r="H27"/>
  <c r="G27"/>
  <c r="J27" s="1"/>
  <c r="F27"/>
  <c r="E27"/>
  <c r="D27"/>
  <c r="C27"/>
  <c r="H14"/>
  <c r="G14"/>
  <c r="F14"/>
  <c r="E14"/>
  <c r="D14"/>
  <c r="C14"/>
  <c r="H13"/>
  <c r="G13"/>
  <c r="J13" s="1"/>
  <c r="F13"/>
  <c r="E13"/>
  <c r="D13"/>
  <c r="C13"/>
  <c r="H22"/>
  <c r="G22"/>
  <c r="F22"/>
  <c r="E22"/>
  <c r="D22"/>
  <c r="C22"/>
  <c r="H16"/>
  <c r="G16"/>
  <c r="J16" s="1"/>
  <c r="F16"/>
  <c r="E16"/>
  <c r="D16"/>
  <c r="C16"/>
  <c r="H29"/>
  <c r="G29"/>
  <c r="J29" s="1"/>
  <c r="F29"/>
  <c r="E29"/>
  <c r="D29"/>
  <c r="C29"/>
  <c r="H5"/>
  <c r="G5"/>
  <c r="F5"/>
  <c r="E5"/>
  <c r="D5"/>
  <c r="C5"/>
  <c r="H23"/>
  <c r="G23"/>
  <c r="J23" s="1"/>
  <c r="F23"/>
  <c r="E23"/>
  <c r="D23"/>
  <c r="C23"/>
  <c r="H25"/>
  <c r="G25"/>
  <c r="J25" s="1"/>
  <c r="F25"/>
  <c r="E25"/>
  <c r="D25"/>
  <c r="C25"/>
  <c r="H26"/>
  <c r="G26"/>
  <c r="J26" s="1"/>
  <c r="F26"/>
  <c r="E26"/>
  <c r="D26"/>
  <c r="C26"/>
  <c r="H9"/>
  <c r="G9"/>
  <c r="J9" s="1"/>
  <c r="F9"/>
  <c r="E9"/>
  <c r="D9"/>
  <c r="C9"/>
  <c r="H18"/>
  <c r="G18"/>
  <c r="J18" s="1"/>
  <c r="F18"/>
  <c r="E18"/>
  <c r="D18"/>
  <c r="C18"/>
  <c r="H12"/>
  <c r="G12"/>
  <c r="J12" s="1"/>
  <c r="F12"/>
  <c r="E12"/>
  <c r="D12"/>
  <c r="C12"/>
  <c r="H24"/>
  <c r="G24"/>
  <c r="J24" s="1"/>
  <c r="F24"/>
  <c r="E24"/>
  <c r="D24"/>
  <c r="C24"/>
  <c r="H10"/>
  <c r="G10"/>
  <c r="J10" s="1"/>
  <c r="F10"/>
  <c r="E10"/>
  <c r="D10"/>
  <c r="C10"/>
  <c r="H15"/>
  <c r="G15"/>
  <c r="J15" s="1"/>
  <c r="F15"/>
  <c r="E15"/>
  <c r="D15"/>
  <c r="C15"/>
  <c r="H4"/>
  <c r="G4"/>
  <c r="J4" s="1"/>
  <c r="F4"/>
  <c r="E4"/>
  <c r="D4"/>
  <c r="C4"/>
  <c r="H8"/>
  <c r="G8"/>
  <c r="J8" s="1"/>
  <c r="F8"/>
  <c r="E8"/>
  <c r="D8"/>
  <c r="C8"/>
  <c r="H7"/>
  <c r="G7"/>
  <c r="J7" s="1"/>
  <c r="F7"/>
  <c r="E7"/>
  <c r="D7"/>
  <c r="C7"/>
  <c r="H20"/>
  <c r="G20"/>
  <c r="J20" s="1"/>
  <c r="F20"/>
  <c r="E20"/>
  <c r="D20"/>
  <c r="C20"/>
  <c r="H28"/>
  <c r="G28"/>
  <c r="J28" s="1"/>
  <c r="F28"/>
  <c r="E28"/>
  <c r="D28"/>
  <c r="C28"/>
  <c r="R3"/>
  <c r="G3" s="1"/>
  <c r="Q3"/>
  <c r="P3"/>
  <c r="E3" s="1"/>
  <c r="O3"/>
  <c r="N3"/>
  <c r="C3" s="1"/>
  <c r="M3"/>
  <c r="H3"/>
  <c r="D3"/>
  <c r="H49" i="200"/>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H36"/>
  <c r="G36"/>
  <c r="F36"/>
  <c r="E36"/>
  <c r="D36"/>
  <c r="C36"/>
  <c r="G34"/>
  <c r="E34"/>
  <c r="C34"/>
  <c r="H27"/>
  <c r="G27"/>
  <c r="J27" s="1"/>
  <c r="F27"/>
  <c r="E27"/>
  <c r="D27"/>
  <c r="C27"/>
  <c r="H16"/>
  <c r="G16"/>
  <c r="F16"/>
  <c r="E16"/>
  <c r="D16"/>
  <c r="C16"/>
  <c r="H25"/>
  <c r="G25"/>
  <c r="F25"/>
  <c r="E25"/>
  <c r="D25"/>
  <c r="C25"/>
  <c r="H22"/>
  <c r="G22"/>
  <c r="F22"/>
  <c r="E22"/>
  <c r="D22"/>
  <c r="C22"/>
  <c r="H30"/>
  <c r="G30"/>
  <c r="F30"/>
  <c r="E30"/>
  <c r="D30"/>
  <c r="C30"/>
  <c r="H26"/>
  <c r="G26"/>
  <c r="J26" s="1"/>
  <c r="F26"/>
  <c r="E26"/>
  <c r="D26"/>
  <c r="C26"/>
  <c r="H21"/>
  <c r="G21"/>
  <c r="F21"/>
  <c r="E21"/>
  <c r="D21"/>
  <c r="C21"/>
  <c r="H29"/>
  <c r="G29"/>
  <c r="F29"/>
  <c r="E29"/>
  <c r="D29"/>
  <c r="C29"/>
  <c r="H6"/>
  <c r="G6"/>
  <c r="F6"/>
  <c r="E6"/>
  <c r="D6"/>
  <c r="C6"/>
  <c r="H17"/>
  <c r="G17"/>
  <c r="F17"/>
  <c r="E17"/>
  <c r="D17"/>
  <c r="C17"/>
  <c r="H12"/>
  <c r="G12"/>
  <c r="F12"/>
  <c r="E12"/>
  <c r="D12"/>
  <c r="C12"/>
  <c r="H10"/>
  <c r="G10"/>
  <c r="F10"/>
  <c r="E10"/>
  <c r="D10"/>
  <c r="C10"/>
  <c r="H7"/>
  <c r="G7"/>
  <c r="F7"/>
  <c r="E7"/>
  <c r="D7"/>
  <c r="C7"/>
  <c r="H24"/>
  <c r="G24"/>
  <c r="F24"/>
  <c r="E24"/>
  <c r="D24"/>
  <c r="C24"/>
  <c r="H19"/>
  <c r="G19"/>
  <c r="F19"/>
  <c r="E19"/>
  <c r="D19"/>
  <c r="C19"/>
  <c r="H18"/>
  <c r="G18"/>
  <c r="F18"/>
  <c r="E18"/>
  <c r="D18"/>
  <c r="C18"/>
  <c r="H9"/>
  <c r="G9"/>
  <c r="F9"/>
  <c r="E9"/>
  <c r="D9"/>
  <c r="C9"/>
  <c r="H5"/>
  <c r="G5"/>
  <c r="F5"/>
  <c r="E5"/>
  <c r="D5"/>
  <c r="C5"/>
  <c r="H8"/>
  <c r="G8"/>
  <c r="F8"/>
  <c r="E8"/>
  <c r="D8"/>
  <c r="C8"/>
  <c r="H14"/>
  <c r="G14"/>
  <c r="F14"/>
  <c r="E14"/>
  <c r="D14"/>
  <c r="C14"/>
  <c r="H23"/>
  <c r="G23"/>
  <c r="F23"/>
  <c r="E23"/>
  <c r="D23"/>
  <c r="C23"/>
  <c r="H15"/>
  <c r="G15"/>
  <c r="F15"/>
  <c r="E15"/>
  <c r="D15"/>
  <c r="C15"/>
  <c r="H20"/>
  <c r="G20"/>
  <c r="F20"/>
  <c r="E20"/>
  <c r="D20"/>
  <c r="C20"/>
  <c r="H28"/>
  <c r="G28"/>
  <c r="F28"/>
  <c r="E28"/>
  <c r="D28"/>
  <c r="C28"/>
  <c r="H11"/>
  <c r="G11"/>
  <c r="F11"/>
  <c r="E11"/>
  <c r="D11"/>
  <c r="C11"/>
  <c r="H4"/>
  <c r="G4"/>
  <c r="F4"/>
  <c r="E4"/>
  <c r="D4"/>
  <c r="C4"/>
  <c r="H13"/>
  <c r="G13"/>
  <c r="J13" s="1"/>
  <c r="F13"/>
  <c r="E13"/>
  <c r="D13"/>
  <c r="C13"/>
  <c r="H31"/>
  <c r="G31"/>
  <c r="F31"/>
  <c r="E31"/>
  <c r="D31"/>
  <c r="C31"/>
  <c r="R3"/>
  <c r="G3" s="1"/>
  <c r="Q3"/>
  <c r="P3"/>
  <c r="O3"/>
  <c r="N3"/>
  <c r="C3" s="1"/>
  <c r="M3"/>
  <c r="I20" i="202" l="1"/>
  <c r="I18"/>
  <c r="F3"/>
  <c r="I7"/>
  <c r="I10"/>
  <c r="I9"/>
  <c r="I5"/>
  <c r="I16"/>
  <c r="J22"/>
  <c r="I13"/>
  <c r="J14"/>
  <c r="I27"/>
  <c r="J11"/>
  <c r="I30"/>
  <c r="J31"/>
  <c r="I6"/>
  <c r="J17"/>
  <c r="I21"/>
  <c r="I24"/>
  <c r="I8"/>
  <c r="I26"/>
  <c r="I28"/>
  <c r="I4"/>
  <c r="I12"/>
  <c r="I25"/>
  <c r="J5"/>
  <c r="I29"/>
  <c r="I22"/>
  <c r="I14"/>
  <c r="I11"/>
  <c r="I31"/>
  <c r="I17"/>
  <c r="I19"/>
  <c r="I15"/>
  <c r="I23"/>
  <c r="J4" i="200"/>
  <c r="J5"/>
  <c r="J18"/>
  <c r="J10"/>
  <c r="J17"/>
  <c r="J22"/>
  <c r="J14"/>
  <c r="I19"/>
  <c r="J24"/>
  <c r="J16"/>
  <c r="E3"/>
  <c r="I3" s="1"/>
  <c r="J11"/>
  <c r="J8"/>
  <c r="J6"/>
  <c r="J25"/>
  <c r="J31"/>
  <c r="I13"/>
  <c r="I11"/>
  <c r="J28"/>
  <c r="I20"/>
  <c r="J15"/>
  <c r="I23"/>
  <c r="I8"/>
  <c r="I9"/>
  <c r="I7"/>
  <c r="I12"/>
  <c r="I6"/>
  <c r="J29"/>
  <c r="I21"/>
  <c r="I30"/>
  <c r="I25"/>
  <c r="I27"/>
  <c r="H3"/>
  <c r="I31"/>
  <c r="I4"/>
  <c r="I28"/>
  <c r="J20"/>
  <c r="I15"/>
  <c r="J23"/>
  <c r="I14"/>
  <c r="I5"/>
  <c r="J9"/>
  <c r="I18"/>
  <c r="J19"/>
  <c r="I24"/>
  <c r="J7"/>
  <c r="I10"/>
  <c r="J12"/>
  <c r="I17"/>
  <c r="I29"/>
  <c r="J21"/>
  <c r="I26"/>
  <c r="J30"/>
  <c r="I22"/>
  <c r="I16"/>
  <c r="I3" i="202"/>
  <c r="J3"/>
  <c r="D3" i="200"/>
  <c r="F3"/>
  <c r="J3" l="1"/>
  <c r="H49" i="198"/>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H36"/>
  <c r="G36"/>
  <c r="F36"/>
  <c r="E36"/>
  <c r="D36"/>
  <c r="C36"/>
  <c r="H6"/>
  <c r="G6"/>
  <c r="L6" s="1"/>
  <c r="F6"/>
  <c r="J6" s="1"/>
  <c r="E6"/>
  <c r="D6"/>
  <c r="C6"/>
  <c r="H32"/>
  <c r="G32"/>
  <c r="F32"/>
  <c r="J32" s="1"/>
  <c r="E32"/>
  <c r="D32"/>
  <c r="C32"/>
  <c r="H12"/>
  <c r="G12"/>
  <c r="F12"/>
  <c r="E12"/>
  <c r="I12" s="1"/>
  <c r="D12"/>
  <c r="C12"/>
  <c r="H29"/>
  <c r="G29"/>
  <c r="M29" s="1"/>
  <c r="F29"/>
  <c r="E29"/>
  <c r="I29" s="1"/>
  <c r="D29"/>
  <c r="C29"/>
  <c r="H27"/>
  <c r="G27"/>
  <c r="F27"/>
  <c r="J27" s="1"/>
  <c r="E27"/>
  <c r="D27"/>
  <c r="C27"/>
  <c r="H31"/>
  <c r="G31"/>
  <c r="F31"/>
  <c r="E31"/>
  <c r="D31"/>
  <c r="C31"/>
  <c r="H20"/>
  <c r="G20"/>
  <c r="M20" s="1"/>
  <c r="F20"/>
  <c r="J20" s="1"/>
  <c r="E20"/>
  <c r="D20"/>
  <c r="C20"/>
  <c r="H7"/>
  <c r="G7"/>
  <c r="F7"/>
  <c r="E7"/>
  <c r="I7" s="1"/>
  <c r="D7"/>
  <c r="C7"/>
  <c r="H18"/>
  <c r="G18"/>
  <c r="L18" s="1"/>
  <c r="F18"/>
  <c r="J18" s="1"/>
  <c r="E18"/>
  <c r="D18"/>
  <c r="C18"/>
  <c r="H8"/>
  <c r="G8"/>
  <c r="F8"/>
  <c r="J8" s="1"/>
  <c r="E8"/>
  <c r="D8"/>
  <c r="C8"/>
  <c r="H23"/>
  <c r="G23"/>
  <c r="F23"/>
  <c r="E23"/>
  <c r="I23" s="1"/>
  <c r="D23"/>
  <c r="C23"/>
  <c r="H11"/>
  <c r="G11"/>
  <c r="M11" s="1"/>
  <c r="F11"/>
  <c r="E11"/>
  <c r="I11" s="1"/>
  <c r="D11"/>
  <c r="C11"/>
  <c r="H26"/>
  <c r="G26"/>
  <c r="F26"/>
  <c r="J26" s="1"/>
  <c r="E26"/>
  <c r="D26"/>
  <c r="C26"/>
  <c r="H24"/>
  <c r="G24"/>
  <c r="F24"/>
  <c r="J24" s="1"/>
  <c r="E24"/>
  <c r="D24"/>
  <c r="C24"/>
  <c r="H5"/>
  <c r="G5"/>
  <c r="M5" s="1"/>
  <c r="F5"/>
  <c r="J5" s="1"/>
  <c r="E5"/>
  <c r="I5" s="1"/>
  <c r="D5"/>
  <c r="C5"/>
  <c r="H28"/>
  <c r="G28"/>
  <c r="F28"/>
  <c r="E28"/>
  <c r="I28" s="1"/>
  <c r="D28"/>
  <c r="C28"/>
  <c r="H21"/>
  <c r="G21"/>
  <c r="L21" s="1"/>
  <c r="F21"/>
  <c r="J21" s="1"/>
  <c r="E21"/>
  <c r="D21"/>
  <c r="C21"/>
  <c r="H13"/>
  <c r="G13"/>
  <c r="F13"/>
  <c r="J13" s="1"/>
  <c r="E13"/>
  <c r="I13" s="1"/>
  <c r="D13"/>
  <c r="C13"/>
  <c r="H17"/>
  <c r="G17"/>
  <c r="F17"/>
  <c r="E17"/>
  <c r="I17" s="1"/>
  <c r="D17"/>
  <c r="C17"/>
  <c r="H22"/>
  <c r="G22"/>
  <c r="M22" s="1"/>
  <c r="F22"/>
  <c r="E22"/>
  <c r="I22" s="1"/>
  <c r="D22"/>
  <c r="C22"/>
  <c r="H15"/>
  <c r="G15"/>
  <c r="F15"/>
  <c r="J15" s="1"/>
  <c r="E15"/>
  <c r="D15"/>
  <c r="C15"/>
  <c r="K14"/>
  <c r="H14"/>
  <c r="G14"/>
  <c r="F14"/>
  <c r="E14"/>
  <c r="I14" s="1"/>
  <c r="D14"/>
  <c r="C14"/>
  <c r="H9"/>
  <c r="G9"/>
  <c r="L9" s="1"/>
  <c r="F9"/>
  <c r="J9" s="1"/>
  <c r="E9"/>
  <c r="D9"/>
  <c r="C9"/>
  <c r="H10"/>
  <c r="G10"/>
  <c r="F10"/>
  <c r="J10" s="1"/>
  <c r="E10"/>
  <c r="D10"/>
  <c r="C10"/>
  <c r="H19"/>
  <c r="G19"/>
  <c r="F19"/>
  <c r="E19"/>
  <c r="I19" s="1"/>
  <c r="D19"/>
  <c r="C19"/>
  <c r="H16"/>
  <c r="G16"/>
  <c r="M16" s="1"/>
  <c r="F16"/>
  <c r="E16"/>
  <c r="I16" s="1"/>
  <c r="D16"/>
  <c r="C16"/>
  <c r="H4"/>
  <c r="G4"/>
  <c r="F4"/>
  <c r="J4" s="1"/>
  <c r="E4"/>
  <c r="D4"/>
  <c r="C4"/>
  <c r="H25"/>
  <c r="G25"/>
  <c r="F25"/>
  <c r="E25"/>
  <c r="D25"/>
  <c r="C25"/>
  <c r="H30"/>
  <c r="G30"/>
  <c r="M30" s="1"/>
  <c r="F30"/>
  <c r="E30"/>
  <c r="D30"/>
  <c r="C30"/>
  <c r="Z3"/>
  <c r="H3" s="1"/>
  <c r="Y3"/>
  <c r="X3"/>
  <c r="W3"/>
  <c r="G3" s="1"/>
  <c r="M3" s="1"/>
  <c r="V3"/>
  <c r="F3" s="1"/>
  <c r="U3"/>
  <c r="T3"/>
  <c r="S3"/>
  <c r="E3" s="1"/>
  <c r="R3"/>
  <c r="D3" s="1"/>
  <c r="Q3"/>
  <c r="P3"/>
  <c r="O3"/>
  <c r="C3" s="1"/>
  <c r="H48" i="196"/>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H36"/>
  <c r="G36"/>
  <c r="F36"/>
  <c r="E36"/>
  <c r="D36"/>
  <c r="C36"/>
  <c r="H35"/>
  <c r="G35"/>
  <c r="F35"/>
  <c r="E35"/>
  <c r="D35"/>
  <c r="C35"/>
  <c r="H4"/>
  <c r="G4"/>
  <c r="F4"/>
  <c r="J4" s="1"/>
  <c r="E4"/>
  <c r="D4"/>
  <c r="C4"/>
  <c r="H21"/>
  <c r="G21"/>
  <c r="F21"/>
  <c r="E21"/>
  <c r="D21"/>
  <c r="C21"/>
  <c r="H30"/>
  <c r="G30"/>
  <c r="F30"/>
  <c r="E30"/>
  <c r="D30"/>
  <c r="C30"/>
  <c r="H18"/>
  <c r="G18"/>
  <c r="F18"/>
  <c r="E18"/>
  <c r="D18"/>
  <c r="C18"/>
  <c r="H27"/>
  <c r="G27"/>
  <c r="F27"/>
  <c r="E27"/>
  <c r="D27"/>
  <c r="C27"/>
  <c r="H19"/>
  <c r="G19"/>
  <c r="F19"/>
  <c r="E19"/>
  <c r="D19"/>
  <c r="C19"/>
  <c r="H7"/>
  <c r="G7"/>
  <c r="M7" s="1"/>
  <c r="F7"/>
  <c r="E7"/>
  <c r="D7"/>
  <c r="C7"/>
  <c r="H22"/>
  <c r="G22"/>
  <c r="F22"/>
  <c r="E22"/>
  <c r="D22"/>
  <c r="C22"/>
  <c r="H6"/>
  <c r="G6"/>
  <c r="F6"/>
  <c r="E6"/>
  <c r="D6"/>
  <c r="C6"/>
  <c r="H28"/>
  <c r="G28"/>
  <c r="F28"/>
  <c r="E28"/>
  <c r="D28"/>
  <c r="C28"/>
  <c r="H14"/>
  <c r="G14"/>
  <c r="F14"/>
  <c r="E14"/>
  <c r="D14"/>
  <c r="C14"/>
  <c r="H25"/>
  <c r="G25"/>
  <c r="F25"/>
  <c r="E25"/>
  <c r="D25"/>
  <c r="C25"/>
  <c r="H29"/>
  <c r="G29"/>
  <c r="F29"/>
  <c r="E29"/>
  <c r="D29"/>
  <c r="C29"/>
  <c r="H11"/>
  <c r="G11"/>
  <c r="F11"/>
  <c r="E11"/>
  <c r="D11"/>
  <c r="C11"/>
  <c r="H13"/>
  <c r="G13"/>
  <c r="F13"/>
  <c r="E13"/>
  <c r="D13"/>
  <c r="C13"/>
  <c r="H26"/>
  <c r="G26"/>
  <c r="F26"/>
  <c r="E26"/>
  <c r="D26"/>
  <c r="C26"/>
  <c r="H8"/>
  <c r="G8"/>
  <c r="F8"/>
  <c r="E8"/>
  <c r="I8" s="1"/>
  <c r="D8"/>
  <c r="C8"/>
  <c r="H17"/>
  <c r="G17"/>
  <c r="F17"/>
  <c r="E17"/>
  <c r="D17"/>
  <c r="C17"/>
  <c r="H12"/>
  <c r="G12"/>
  <c r="F12"/>
  <c r="E12"/>
  <c r="D12"/>
  <c r="C12"/>
  <c r="H20"/>
  <c r="G20"/>
  <c r="F20"/>
  <c r="E20"/>
  <c r="D20"/>
  <c r="C20"/>
  <c r="H16"/>
  <c r="G16"/>
  <c r="F16"/>
  <c r="E16"/>
  <c r="I16" s="1"/>
  <c r="D16"/>
  <c r="C16"/>
  <c r="H10"/>
  <c r="G10"/>
  <c r="F10"/>
  <c r="E10"/>
  <c r="D10"/>
  <c r="C10"/>
  <c r="H9"/>
  <c r="G9"/>
  <c r="F9"/>
  <c r="E9"/>
  <c r="D9"/>
  <c r="C9"/>
  <c r="H23"/>
  <c r="G23"/>
  <c r="F23"/>
  <c r="E23"/>
  <c r="D23"/>
  <c r="C23"/>
  <c r="H24"/>
  <c r="G24"/>
  <c r="F24"/>
  <c r="E24"/>
  <c r="I24" s="1"/>
  <c r="D24"/>
  <c r="C24"/>
  <c r="H5"/>
  <c r="G5"/>
  <c r="F5"/>
  <c r="E5"/>
  <c r="D5"/>
  <c r="C5"/>
  <c r="H15"/>
  <c r="G15"/>
  <c r="F15"/>
  <c r="E15"/>
  <c r="D15"/>
  <c r="C15"/>
  <c r="H31"/>
  <c r="G31"/>
  <c r="F31"/>
  <c r="E31"/>
  <c r="D31"/>
  <c r="C31"/>
  <c r="Z3"/>
  <c r="Y3"/>
  <c r="H3" s="1"/>
  <c r="X3"/>
  <c r="W3"/>
  <c r="V3"/>
  <c r="U3"/>
  <c r="T3"/>
  <c r="S3"/>
  <c r="R3"/>
  <c r="Q3"/>
  <c r="D3" s="1"/>
  <c r="P3"/>
  <c r="O3"/>
  <c r="I25" i="198" l="1"/>
  <c r="M4"/>
  <c r="J19"/>
  <c r="M10"/>
  <c r="I9"/>
  <c r="J14"/>
  <c r="M15"/>
  <c r="J17"/>
  <c r="M13"/>
  <c r="I21"/>
  <c r="J28"/>
  <c r="I24"/>
  <c r="M26"/>
  <c r="J23"/>
  <c r="M8"/>
  <c r="I18"/>
  <c r="J7"/>
  <c r="I31"/>
  <c r="M27"/>
  <c r="J12"/>
  <c r="M32"/>
  <c r="I6"/>
  <c r="L19"/>
  <c r="L17"/>
  <c r="L23"/>
  <c r="L12"/>
  <c r="J3"/>
  <c r="J30"/>
  <c r="M25"/>
  <c r="I4"/>
  <c r="L4"/>
  <c r="J16"/>
  <c r="I10"/>
  <c r="M9"/>
  <c r="I15"/>
  <c r="L15"/>
  <c r="J22"/>
  <c r="M21"/>
  <c r="M24"/>
  <c r="I26"/>
  <c r="L26"/>
  <c r="J11"/>
  <c r="I8"/>
  <c r="M18"/>
  <c r="M31"/>
  <c r="I27"/>
  <c r="L27"/>
  <c r="J29"/>
  <c r="I32"/>
  <c r="M6"/>
  <c r="I30"/>
  <c r="L30"/>
  <c r="J25"/>
  <c r="M19"/>
  <c r="M14"/>
  <c r="M17"/>
  <c r="M28"/>
  <c r="L5"/>
  <c r="M23"/>
  <c r="M7"/>
  <c r="I20"/>
  <c r="L20"/>
  <c r="J31"/>
  <c r="M12"/>
  <c r="I7" i="196"/>
  <c r="I14"/>
  <c r="I5"/>
  <c r="M24"/>
  <c r="I10"/>
  <c r="M16"/>
  <c r="I17"/>
  <c r="M8"/>
  <c r="M14"/>
  <c r="M30"/>
  <c r="M25"/>
  <c r="I30"/>
  <c r="I11"/>
  <c r="I25"/>
  <c r="I28"/>
  <c r="I19"/>
  <c r="I21"/>
  <c r="M28"/>
  <c r="M19"/>
  <c r="M21"/>
  <c r="F3"/>
  <c r="J31"/>
  <c r="J15"/>
  <c r="J23"/>
  <c r="J9"/>
  <c r="J20"/>
  <c r="J12"/>
  <c r="J26"/>
  <c r="J13"/>
  <c r="J6"/>
  <c r="J22"/>
  <c r="J27"/>
  <c r="J18"/>
  <c r="L5"/>
  <c r="L24"/>
  <c r="L10"/>
  <c r="L16"/>
  <c r="L17"/>
  <c r="L8"/>
  <c r="L11"/>
  <c r="L28"/>
  <c r="L19"/>
  <c r="L21"/>
  <c r="C3"/>
  <c r="E3"/>
  <c r="J3" s="1"/>
  <c r="G3"/>
  <c r="M3" s="1"/>
  <c r="I31"/>
  <c r="M31"/>
  <c r="I15"/>
  <c r="M15"/>
  <c r="L15"/>
  <c r="J5"/>
  <c r="J24"/>
  <c r="I23"/>
  <c r="M23"/>
  <c r="I9"/>
  <c r="M9"/>
  <c r="L9"/>
  <c r="J10"/>
  <c r="J16"/>
  <c r="I20"/>
  <c r="M20"/>
  <c r="I12"/>
  <c r="M12"/>
  <c r="L12"/>
  <c r="J17"/>
  <c r="J8"/>
  <c r="I26"/>
  <c r="L26"/>
  <c r="I13"/>
  <c r="M13"/>
  <c r="L13"/>
  <c r="J11"/>
  <c r="J25"/>
  <c r="J14"/>
  <c r="J28"/>
  <c r="I6"/>
  <c r="L6"/>
  <c r="I22"/>
  <c r="M22"/>
  <c r="L22"/>
  <c r="J7"/>
  <c r="J19"/>
  <c r="I27"/>
  <c r="M27"/>
  <c r="I18"/>
  <c r="M18"/>
  <c r="L18"/>
  <c r="J30"/>
  <c r="J21"/>
  <c r="I4"/>
  <c r="M4"/>
  <c r="L4"/>
  <c r="I29"/>
  <c r="M29"/>
  <c r="L29"/>
  <c r="I3"/>
  <c r="J29"/>
  <c r="I3" i="198"/>
  <c r="K5" i="196"/>
  <c r="M5"/>
  <c r="K10"/>
  <c r="M10"/>
  <c r="K17"/>
  <c r="M17"/>
  <c r="K26"/>
  <c r="M26"/>
  <c r="K11"/>
  <c r="M11"/>
  <c r="K6"/>
  <c r="M6"/>
  <c r="K7"/>
  <c r="L31"/>
  <c r="K15"/>
  <c r="K24"/>
  <c r="L23"/>
  <c r="K9"/>
  <c r="K16"/>
  <c r="L20"/>
  <c r="K12"/>
  <c r="K8"/>
  <c r="K13"/>
  <c r="K29"/>
  <c r="L25"/>
  <c r="L14"/>
  <c r="K28"/>
  <c r="K22"/>
  <c r="L7"/>
  <c r="K19"/>
  <c r="L27"/>
  <c r="K18"/>
  <c r="L30"/>
  <c r="K21"/>
  <c r="K4"/>
  <c r="L3" i="198"/>
  <c r="K30"/>
  <c r="L25"/>
  <c r="K4"/>
  <c r="L16"/>
  <c r="K19"/>
  <c r="L10"/>
  <c r="K9"/>
  <c r="L14"/>
  <c r="K15"/>
  <c r="L22"/>
  <c r="K17"/>
  <c r="L13"/>
  <c r="K21"/>
  <c r="L28"/>
  <c r="K5"/>
  <c r="L24"/>
  <c r="K26"/>
  <c r="L11"/>
  <c r="K23"/>
  <c r="L8"/>
  <c r="K18"/>
  <c r="L7"/>
  <c r="K20"/>
  <c r="L31"/>
  <c r="K27"/>
  <c r="L29"/>
  <c r="K12"/>
  <c r="L32"/>
  <c r="K6"/>
  <c r="K31" i="196"/>
  <c r="K23"/>
  <c r="K20"/>
  <c r="K25"/>
  <c r="K14"/>
  <c r="K27"/>
  <c r="K30"/>
  <c r="K3" i="198"/>
  <c r="K25"/>
  <c r="K16"/>
  <c r="K10"/>
  <c r="K22"/>
  <c r="K13"/>
  <c r="K28"/>
  <c r="K24"/>
  <c r="K11"/>
  <c r="K8"/>
  <c r="K7"/>
  <c r="K31"/>
  <c r="K29"/>
  <c r="K32"/>
  <c r="K3" i="196" l="1"/>
  <c r="L3"/>
  <c r="G15" i="134"/>
  <c r="G14"/>
  <c r="G13"/>
  <c r="G12"/>
  <c r="G11"/>
  <c r="G10"/>
  <c r="G9"/>
  <c r="G8"/>
  <c r="G7"/>
  <c r="G6"/>
  <c r="E16"/>
  <c r="D16"/>
  <c r="G15" i="133"/>
  <c r="G14"/>
  <c r="G13"/>
  <c r="G12"/>
  <c r="G11"/>
  <c r="G10"/>
  <c r="G9"/>
  <c r="G8"/>
  <c r="G7"/>
  <c r="G6"/>
  <c r="E16"/>
  <c r="D16"/>
  <c r="G16" s="1"/>
  <c r="D6" i="41"/>
  <c r="C6"/>
  <c r="G16" i="134" l="1"/>
  <c r="F12" i="42"/>
  <c r="E12"/>
  <c r="D6" i="81"/>
  <c r="C6"/>
  <c r="P61" i="194"/>
  <c r="F61"/>
  <c r="E61"/>
  <c r="G61" s="1"/>
  <c r="D61"/>
  <c r="P59"/>
  <c r="F59"/>
  <c r="E59"/>
  <c r="G59" s="1"/>
  <c r="D59"/>
  <c r="P56"/>
  <c r="F56"/>
  <c r="E56"/>
  <c r="G56" s="1"/>
  <c r="D56"/>
  <c r="P75"/>
  <c r="F75"/>
  <c r="E75"/>
  <c r="G75" s="1"/>
  <c r="D75"/>
  <c r="P74"/>
  <c r="F74"/>
  <c r="E74"/>
  <c r="G74" s="1"/>
  <c r="D74"/>
  <c r="P68"/>
  <c r="F68"/>
  <c r="E68"/>
  <c r="G68" s="1"/>
  <c r="D68"/>
  <c r="P53"/>
  <c r="F53"/>
  <c r="E53"/>
  <c r="G53" s="1"/>
  <c r="D53"/>
  <c r="P52"/>
  <c r="F52"/>
  <c r="E52"/>
  <c r="G52" s="1"/>
  <c r="D52"/>
  <c r="P54"/>
  <c r="F54"/>
  <c r="E54"/>
  <c r="G54" s="1"/>
  <c r="D54"/>
  <c r="P55"/>
  <c r="F55"/>
  <c r="E55"/>
  <c r="G55" s="1"/>
  <c r="D55"/>
  <c r="P49"/>
  <c r="F49"/>
  <c r="E49"/>
  <c r="G49" s="1"/>
  <c r="D49"/>
  <c r="P65"/>
  <c r="F65"/>
  <c r="E65"/>
  <c r="G65" s="1"/>
  <c r="D65"/>
  <c r="P73"/>
  <c r="F73"/>
  <c r="E73"/>
  <c r="G73" s="1"/>
  <c r="D73"/>
  <c r="P62"/>
  <c r="F62"/>
  <c r="E62"/>
  <c r="G62" s="1"/>
  <c r="D62"/>
  <c r="P72"/>
  <c r="F72"/>
  <c r="E72"/>
  <c r="G72" s="1"/>
  <c r="D72"/>
  <c r="P71"/>
  <c r="F71"/>
  <c r="E71"/>
  <c r="G71" s="1"/>
  <c r="D71"/>
  <c r="P66"/>
  <c r="F66"/>
  <c r="E66"/>
  <c r="G66" s="1"/>
  <c r="D66"/>
  <c r="P70"/>
  <c r="F70"/>
  <c r="E70"/>
  <c r="G70" s="1"/>
  <c r="D70"/>
  <c r="P69"/>
  <c r="F69"/>
  <c r="E69"/>
  <c r="G69" s="1"/>
  <c r="D69"/>
  <c r="P50"/>
  <c r="F50"/>
  <c r="E50"/>
  <c r="G50" s="1"/>
  <c r="D50"/>
  <c r="P63"/>
  <c r="F63"/>
  <c r="E63"/>
  <c r="G63" s="1"/>
  <c r="D63"/>
  <c r="P60"/>
  <c r="F60"/>
  <c r="E60"/>
  <c r="G60" s="1"/>
  <c r="D60"/>
  <c r="P64"/>
  <c r="F64"/>
  <c r="E64"/>
  <c r="G64" s="1"/>
  <c r="D64"/>
  <c r="P58"/>
  <c r="F58"/>
  <c r="E58"/>
  <c r="G58" s="1"/>
  <c r="D58"/>
  <c r="P67"/>
  <c r="F67"/>
  <c r="E67"/>
  <c r="G67" s="1"/>
  <c r="D67"/>
  <c r="P51"/>
  <c r="F51"/>
  <c r="E51"/>
  <c r="G51" s="1"/>
  <c r="D51"/>
  <c r="P57"/>
  <c r="F57"/>
  <c r="E57"/>
  <c r="G57" s="1"/>
  <c r="D57"/>
  <c r="O48"/>
  <c r="N48"/>
  <c r="M48"/>
  <c r="L48"/>
  <c r="K48"/>
  <c r="J48"/>
  <c r="E48"/>
  <c r="B48"/>
  <c r="P48" l="1"/>
  <c r="F48"/>
  <c r="H48" s="1"/>
  <c r="H57"/>
  <c r="H51"/>
  <c r="H67"/>
  <c r="H58"/>
  <c r="H64"/>
  <c r="H60"/>
  <c r="H63"/>
  <c r="H50"/>
  <c r="H69"/>
  <c r="H70"/>
  <c r="H66"/>
  <c r="H71"/>
  <c r="H72"/>
  <c r="H62"/>
  <c r="H73"/>
  <c r="H65"/>
  <c r="H49"/>
  <c r="H55"/>
  <c r="H54"/>
  <c r="H52"/>
  <c r="H53"/>
  <c r="H68"/>
  <c r="H74"/>
  <c r="H75"/>
  <c r="H56"/>
  <c r="H59"/>
  <c r="H61"/>
  <c r="D48"/>
  <c r="G48" s="1"/>
  <c r="D6" i="40" l="1"/>
  <c r="C6"/>
  <c r="D24" i="106" l="1"/>
  <c r="C9" i="148" l="1"/>
  <c r="D54" i="106"/>
  <c r="D52"/>
  <c r="D50"/>
  <c r="D48"/>
  <c r="D46"/>
  <c r="D42"/>
  <c r="D40"/>
  <c r="D38"/>
  <c r="D36"/>
  <c r="D34"/>
  <c r="D32"/>
  <c r="D28"/>
  <c r="D26"/>
  <c r="D17"/>
  <c r="D13"/>
  <c r="D11"/>
  <c r="D8"/>
  <c r="D40" i="192"/>
  <c r="M40" s="1"/>
  <c r="C40"/>
  <c r="D39"/>
  <c r="M39" s="1"/>
  <c r="C39"/>
  <c r="D38"/>
  <c r="C38"/>
  <c r="D37"/>
  <c r="C37"/>
  <c r="D36"/>
  <c r="M36" s="1"/>
  <c r="C36"/>
  <c r="D35"/>
  <c r="M35" s="1"/>
  <c r="C35"/>
  <c r="D34"/>
  <c r="M34" s="1"/>
  <c r="C34"/>
  <c r="D33"/>
  <c r="M33" s="1"/>
  <c r="C33"/>
  <c r="D32"/>
  <c r="M32" s="1"/>
  <c r="C32"/>
  <c r="D31"/>
  <c r="M31" s="1"/>
  <c r="C31"/>
  <c r="D30"/>
  <c r="M30" s="1"/>
  <c r="C30"/>
  <c r="D29"/>
  <c r="M29" s="1"/>
  <c r="C29"/>
  <c r="D28"/>
  <c r="M28" s="1"/>
  <c r="C28"/>
  <c r="D27"/>
  <c r="M27" s="1"/>
  <c r="C27"/>
  <c r="G26"/>
  <c r="E26"/>
  <c r="C25"/>
  <c r="G22"/>
  <c r="F22"/>
  <c r="K22" s="1"/>
  <c r="E22"/>
  <c r="D22"/>
  <c r="C22"/>
  <c r="G19"/>
  <c r="F19"/>
  <c r="E19"/>
  <c r="D19"/>
  <c r="C19"/>
  <c r="G7"/>
  <c r="F7"/>
  <c r="K7" s="1"/>
  <c r="E7"/>
  <c r="D7"/>
  <c r="C7"/>
  <c r="G6"/>
  <c r="F6"/>
  <c r="K6" s="1"/>
  <c r="E6"/>
  <c r="D6"/>
  <c r="C6"/>
  <c r="G17"/>
  <c r="F17"/>
  <c r="E17"/>
  <c r="D17"/>
  <c r="C17"/>
  <c r="G8"/>
  <c r="F8"/>
  <c r="K8" s="1"/>
  <c r="E8"/>
  <c r="D8"/>
  <c r="C8"/>
  <c r="G5"/>
  <c r="F5"/>
  <c r="E5"/>
  <c r="D5"/>
  <c r="C5"/>
  <c r="G20"/>
  <c r="F20"/>
  <c r="K20" s="1"/>
  <c r="E20"/>
  <c r="D20"/>
  <c r="C20"/>
  <c r="G18"/>
  <c r="F18"/>
  <c r="E18"/>
  <c r="D18"/>
  <c r="C18"/>
  <c r="G21"/>
  <c r="F21"/>
  <c r="K21" s="1"/>
  <c r="E21"/>
  <c r="D21"/>
  <c r="C21"/>
  <c r="G16"/>
  <c r="F16"/>
  <c r="E16"/>
  <c r="D16"/>
  <c r="C16"/>
  <c r="G9"/>
  <c r="F9"/>
  <c r="K9" s="1"/>
  <c r="E9"/>
  <c r="D9"/>
  <c r="C9"/>
  <c r="G14"/>
  <c r="F14"/>
  <c r="E14"/>
  <c r="D14"/>
  <c r="C14"/>
  <c r="G15"/>
  <c r="F15"/>
  <c r="K15" s="1"/>
  <c r="E15"/>
  <c r="D15"/>
  <c r="C15"/>
  <c r="G10"/>
  <c r="F10"/>
  <c r="E10"/>
  <c r="D10"/>
  <c r="C10"/>
  <c r="G12"/>
  <c r="F12"/>
  <c r="K12" s="1"/>
  <c r="E12"/>
  <c r="D12"/>
  <c r="C12"/>
  <c r="G13"/>
  <c r="F13"/>
  <c r="E13"/>
  <c r="D13"/>
  <c r="C13"/>
  <c r="G4"/>
  <c r="F4"/>
  <c r="K4" s="1"/>
  <c r="E4"/>
  <c r="D4"/>
  <c r="C4"/>
  <c r="V3"/>
  <c r="U3"/>
  <c r="T3"/>
  <c r="S3"/>
  <c r="R3"/>
  <c r="Q3"/>
  <c r="P3"/>
  <c r="O3"/>
  <c r="N3"/>
  <c r="M3"/>
  <c r="M42" i="190"/>
  <c r="D42"/>
  <c r="N42" s="1"/>
  <c r="C42"/>
  <c r="M41"/>
  <c r="D41"/>
  <c r="N41" s="1"/>
  <c r="C41"/>
  <c r="D40"/>
  <c r="C40"/>
  <c r="D39"/>
  <c r="C39"/>
  <c r="D38"/>
  <c r="N38" s="1"/>
  <c r="C38"/>
  <c r="D37"/>
  <c r="N37" s="1"/>
  <c r="C37"/>
  <c r="D36"/>
  <c r="N36" s="1"/>
  <c r="C36"/>
  <c r="M35"/>
  <c r="D35"/>
  <c r="N35" s="1"/>
  <c r="C35"/>
  <c r="M34"/>
  <c r="D34"/>
  <c r="N34" s="1"/>
  <c r="C34"/>
  <c r="D33"/>
  <c r="N33" s="1"/>
  <c r="C33"/>
  <c r="M32"/>
  <c r="D32"/>
  <c r="N32" s="1"/>
  <c r="C32"/>
  <c r="M31"/>
  <c r="D31"/>
  <c r="N31" s="1"/>
  <c r="C31"/>
  <c r="M30"/>
  <c r="D30"/>
  <c r="N30" s="1"/>
  <c r="C30"/>
  <c r="M29"/>
  <c r="D29"/>
  <c r="N29" s="1"/>
  <c r="C29"/>
  <c r="G28"/>
  <c r="E28"/>
  <c r="C27"/>
  <c r="G23"/>
  <c r="F23"/>
  <c r="E23"/>
  <c r="D23"/>
  <c r="C23"/>
  <c r="G15"/>
  <c r="F15"/>
  <c r="K15" s="1"/>
  <c r="E15"/>
  <c r="D15"/>
  <c r="C15"/>
  <c r="G20"/>
  <c r="F20"/>
  <c r="E20"/>
  <c r="I20" s="1"/>
  <c r="D20"/>
  <c r="C20"/>
  <c r="G17"/>
  <c r="F17"/>
  <c r="K17" s="1"/>
  <c r="E17"/>
  <c r="D17"/>
  <c r="C17"/>
  <c r="G4"/>
  <c r="F4"/>
  <c r="E4"/>
  <c r="D4"/>
  <c r="C4"/>
  <c r="G19"/>
  <c r="F19"/>
  <c r="K19" s="1"/>
  <c r="E19"/>
  <c r="D19"/>
  <c r="C19"/>
  <c r="G12"/>
  <c r="F12"/>
  <c r="E12"/>
  <c r="I12" s="1"/>
  <c r="D12"/>
  <c r="C12"/>
  <c r="G5"/>
  <c r="F5"/>
  <c r="K5" s="1"/>
  <c r="E5"/>
  <c r="D5"/>
  <c r="C5"/>
  <c r="G21"/>
  <c r="F21"/>
  <c r="E21"/>
  <c r="D21"/>
  <c r="C21"/>
  <c r="G18"/>
  <c r="F18"/>
  <c r="K18" s="1"/>
  <c r="E18"/>
  <c r="D18"/>
  <c r="C18"/>
  <c r="G24"/>
  <c r="F24"/>
  <c r="E24"/>
  <c r="I24" s="1"/>
  <c r="D24"/>
  <c r="C24"/>
  <c r="G16"/>
  <c r="F16"/>
  <c r="K16" s="1"/>
  <c r="E16"/>
  <c r="D16"/>
  <c r="C16"/>
  <c r="G22"/>
  <c r="F22"/>
  <c r="E22"/>
  <c r="D22"/>
  <c r="C22"/>
  <c r="G13"/>
  <c r="F13"/>
  <c r="K13" s="1"/>
  <c r="E13"/>
  <c r="D13"/>
  <c r="H13" s="1"/>
  <c r="C13"/>
  <c r="G14"/>
  <c r="F14"/>
  <c r="E14"/>
  <c r="I14" s="1"/>
  <c r="D14"/>
  <c r="C14"/>
  <c r="G10"/>
  <c r="F10"/>
  <c r="K10" s="1"/>
  <c r="E10"/>
  <c r="D10"/>
  <c r="C10"/>
  <c r="G8"/>
  <c r="F8"/>
  <c r="E8"/>
  <c r="D8"/>
  <c r="C8"/>
  <c r="G11"/>
  <c r="F11"/>
  <c r="K11" s="1"/>
  <c r="E11"/>
  <c r="D11"/>
  <c r="H11" s="1"/>
  <c r="C11"/>
  <c r="G9"/>
  <c r="F9"/>
  <c r="E9"/>
  <c r="I9" s="1"/>
  <c r="D9"/>
  <c r="C9"/>
  <c r="V3"/>
  <c r="U3"/>
  <c r="F3" s="1"/>
  <c r="K3" s="1"/>
  <c r="T3"/>
  <c r="S3"/>
  <c r="R3"/>
  <c r="Q3"/>
  <c r="P3"/>
  <c r="O3"/>
  <c r="N3"/>
  <c r="M3"/>
  <c r="G3" s="1"/>
  <c r="I8" l="1"/>
  <c r="I22"/>
  <c r="I21"/>
  <c r="I4"/>
  <c r="I23"/>
  <c r="G3" i="192"/>
  <c r="C3"/>
  <c r="D3"/>
  <c r="E3"/>
  <c r="F3"/>
  <c r="K3" s="1"/>
  <c r="I13"/>
  <c r="I14"/>
  <c r="H4"/>
  <c r="H15"/>
  <c r="H21"/>
  <c r="I18"/>
  <c r="H8"/>
  <c r="I17"/>
  <c r="H7"/>
  <c r="I19"/>
  <c r="I12"/>
  <c r="H10"/>
  <c r="J10"/>
  <c r="I9"/>
  <c r="H16"/>
  <c r="J16"/>
  <c r="I20"/>
  <c r="H5"/>
  <c r="J5"/>
  <c r="I6"/>
  <c r="I22"/>
  <c r="I4"/>
  <c r="H13"/>
  <c r="J13"/>
  <c r="K13"/>
  <c r="H12"/>
  <c r="I10"/>
  <c r="I15"/>
  <c r="H14"/>
  <c r="J14"/>
  <c r="K14"/>
  <c r="H9"/>
  <c r="I16"/>
  <c r="I21"/>
  <c r="H18"/>
  <c r="J18"/>
  <c r="K18"/>
  <c r="H20"/>
  <c r="I5"/>
  <c r="I8"/>
  <c r="H17"/>
  <c r="J17"/>
  <c r="K17"/>
  <c r="H6"/>
  <c r="I7"/>
  <c r="H19"/>
  <c r="J19"/>
  <c r="K19"/>
  <c r="H22"/>
  <c r="K10"/>
  <c r="K16"/>
  <c r="K5"/>
  <c r="M36" i="190"/>
  <c r="M37"/>
  <c r="I17"/>
  <c r="M33"/>
  <c r="M38"/>
  <c r="H18"/>
  <c r="I10"/>
  <c r="I16"/>
  <c r="I5"/>
  <c r="H19"/>
  <c r="H15"/>
  <c r="H9"/>
  <c r="J9"/>
  <c r="K9"/>
  <c r="H14"/>
  <c r="J14"/>
  <c r="K14"/>
  <c r="H24"/>
  <c r="J24"/>
  <c r="K24"/>
  <c r="H12"/>
  <c r="J12"/>
  <c r="K12"/>
  <c r="H20"/>
  <c r="J20"/>
  <c r="K20"/>
  <c r="D3"/>
  <c r="I11"/>
  <c r="H8"/>
  <c r="J8"/>
  <c r="K8"/>
  <c r="H10"/>
  <c r="I13"/>
  <c r="H22"/>
  <c r="J22"/>
  <c r="K22"/>
  <c r="H16"/>
  <c r="I18"/>
  <c r="H21"/>
  <c r="J21"/>
  <c r="K21"/>
  <c r="H5"/>
  <c r="I19"/>
  <c r="H4"/>
  <c r="J4"/>
  <c r="K4"/>
  <c r="H17"/>
  <c r="I15"/>
  <c r="H23"/>
  <c r="J23"/>
  <c r="K23"/>
  <c r="J11"/>
  <c r="J10"/>
  <c r="J13"/>
  <c r="J16"/>
  <c r="J18"/>
  <c r="J5"/>
  <c r="J19"/>
  <c r="J17"/>
  <c r="J15"/>
  <c r="J4" i="192"/>
  <c r="J12"/>
  <c r="J15"/>
  <c r="J9"/>
  <c r="J21"/>
  <c r="J20"/>
  <c r="J8"/>
  <c r="J6"/>
  <c r="J7"/>
  <c r="J22"/>
  <c r="N27"/>
  <c r="N28"/>
  <c r="N29"/>
  <c r="N30"/>
  <c r="N31"/>
  <c r="N32"/>
  <c r="N33"/>
  <c r="N34"/>
  <c r="N35"/>
  <c r="N36"/>
  <c r="N39"/>
  <c r="N40"/>
  <c r="C3" i="190"/>
  <c r="H3" s="1"/>
  <c r="E3"/>
  <c r="I3" l="1"/>
  <c r="I3" i="192"/>
  <c r="J3"/>
  <c r="H3"/>
  <c r="J3" i="190"/>
  <c r="H50" i="188"/>
  <c r="G50"/>
  <c r="F50"/>
  <c r="E50"/>
  <c r="D50"/>
  <c r="C50"/>
  <c r="H49"/>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G35"/>
  <c r="E35"/>
  <c r="C35"/>
  <c r="H32"/>
  <c r="G32"/>
  <c r="F32"/>
  <c r="E32"/>
  <c r="D32"/>
  <c r="C32"/>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H6"/>
  <c r="G6"/>
  <c r="F6"/>
  <c r="E6"/>
  <c r="D6"/>
  <c r="C6"/>
  <c r="H5"/>
  <c r="G5"/>
  <c r="F5"/>
  <c r="E5"/>
  <c r="D5"/>
  <c r="C5"/>
  <c r="H4"/>
  <c r="G4"/>
  <c r="F4"/>
  <c r="E4"/>
  <c r="D4"/>
  <c r="C4"/>
  <c r="R3"/>
  <c r="Q3"/>
  <c r="P3"/>
  <c r="E3" s="1"/>
  <c r="O3"/>
  <c r="N3"/>
  <c r="C3" s="1"/>
  <c r="M3"/>
  <c r="D3"/>
  <c r="L45" i="54"/>
  <c r="M45"/>
  <c r="L44"/>
  <c r="M44"/>
  <c r="L47"/>
  <c r="M47"/>
  <c r="L46"/>
  <c r="M46"/>
  <c r="L50"/>
  <c r="M50"/>
  <c r="L53"/>
  <c r="M53"/>
  <c r="L51"/>
  <c r="M51"/>
  <c r="L49"/>
  <c r="M49"/>
  <c r="L52"/>
  <c r="M52"/>
  <c r="M48"/>
  <c r="M43" s="1"/>
  <c r="L48"/>
  <c r="K45"/>
  <c r="K44"/>
  <c r="K47"/>
  <c r="K46"/>
  <c r="K50"/>
  <c r="K53"/>
  <c r="K51"/>
  <c r="K49"/>
  <c r="K52"/>
  <c r="K48"/>
  <c r="J45"/>
  <c r="J44"/>
  <c r="J47"/>
  <c r="J46"/>
  <c r="J50"/>
  <c r="J53"/>
  <c r="J51"/>
  <c r="J49"/>
  <c r="J52"/>
  <c r="J48"/>
  <c r="L43" l="1"/>
  <c r="S3" i="60"/>
  <c r="Q3"/>
  <c r="T3"/>
  <c r="R3"/>
  <c r="H3" i="188"/>
  <c r="G3"/>
  <c r="F3"/>
  <c r="K43" i="54"/>
  <c r="J43"/>
  <c r="S4" i="25"/>
  <c r="T4"/>
  <c r="S23"/>
  <c r="T23"/>
  <c r="S22"/>
  <c r="T22"/>
  <c r="S8"/>
  <c r="T8"/>
  <c r="S16"/>
  <c r="T16"/>
  <c r="S13"/>
  <c r="T13"/>
  <c r="S15"/>
  <c r="T15"/>
  <c r="S9"/>
  <c r="T9"/>
  <c r="S14"/>
  <c r="T14"/>
  <c r="S5"/>
  <c r="T5"/>
  <c r="S17"/>
  <c r="T17"/>
  <c r="S10"/>
  <c r="T10"/>
  <c r="S19"/>
  <c r="T19"/>
  <c r="S20"/>
  <c r="T20"/>
  <c r="S12"/>
  <c r="T12"/>
  <c r="S18"/>
  <c r="T18"/>
  <c r="S24"/>
  <c r="T24"/>
  <c r="S21"/>
  <c r="T21"/>
  <c r="S11"/>
  <c r="T11"/>
  <c r="T6"/>
  <c r="S6"/>
  <c r="R4"/>
  <c r="R23"/>
  <c r="R22"/>
  <c r="R8"/>
  <c r="R16"/>
  <c r="R13"/>
  <c r="R15"/>
  <c r="R9"/>
  <c r="R14"/>
  <c r="R5"/>
  <c r="R17"/>
  <c r="R10"/>
  <c r="R19"/>
  <c r="R20"/>
  <c r="R12"/>
  <c r="R18"/>
  <c r="R24"/>
  <c r="R21"/>
  <c r="R11"/>
  <c r="R6"/>
  <c r="Q23"/>
  <c r="Q22"/>
  <c r="Q8"/>
  <c r="Q16"/>
  <c r="Q13"/>
  <c r="Q15"/>
  <c r="Q9"/>
  <c r="Q14"/>
  <c r="Q5"/>
  <c r="Q17"/>
  <c r="Q10"/>
  <c r="Q19"/>
  <c r="Q20"/>
  <c r="Q12"/>
  <c r="Q18"/>
  <c r="Q24"/>
  <c r="Q21"/>
  <c r="Q11"/>
  <c r="Q6"/>
  <c r="R3"/>
  <c r="S3" i="178"/>
  <c r="Q17" i="143"/>
  <c r="S3" i="58" l="1"/>
  <c r="R3"/>
  <c r="T3"/>
  <c r="Q3"/>
  <c r="R3" i="178"/>
  <c r="T3" i="25"/>
  <c r="S3"/>
  <c r="Q3"/>
  <c r="Q3" i="178"/>
  <c r="T3"/>
  <c r="T3" i="68"/>
  <c r="Q3"/>
  <c r="S3"/>
  <c r="S3" i="66"/>
  <c r="Q3"/>
  <c r="R3" i="68" l="1"/>
  <c r="R3" i="66"/>
  <c r="T3" i="64"/>
  <c r="T3" i="66"/>
  <c r="T3" i="62"/>
  <c r="S3"/>
  <c r="R3" i="64"/>
  <c r="S3"/>
  <c r="Q3"/>
  <c r="R3" i="62"/>
  <c r="Q3"/>
  <c r="O30" i="186"/>
  <c r="D30"/>
  <c r="O29"/>
  <c r="D29"/>
  <c r="O21"/>
  <c r="D21"/>
  <c r="O28"/>
  <c r="D28"/>
  <c r="O26"/>
  <c r="D26"/>
  <c r="O17"/>
  <c r="D17"/>
  <c r="O27"/>
  <c r="D27"/>
  <c r="O24"/>
  <c r="D24"/>
  <c r="O15"/>
  <c r="D15"/>
  <c r="O16"/>
  <c r="D16"/>
  <c r="O23"/>
  <c r="D23"/>
  <c r="O20"/>
  <c r="D20"/>
  <c r="O18"/>
  <c r="D18"/>
  <c r="O22"/>
  <c r="D22"/>
  <c r="O12"/>
  <c r="D12"/>
  <c r="O10"/>
  <c r="D10"/>
  <c r="O14"/>
  <c r="D14"/>
  <c r="O19"/>
  <c r="D19"/>
  <c r="O25"/>
  <c r="D25"/>
  <c r="O7"/>
  <c r="D7"/>
  <c r="O4"/>
  <c r="D4"/>
  <c r="O13"/>
  <c r="D13"/>
  <c r="O8"/>
  <c r="D8"/>
  <c r="O6"/>
  <c r="D6"/>
  <c r="O5"/>
  <c r="D5"/>
  <c r="O9"/>
  <c r="D9"/>
  <c r="O11"/>
  <c r="D11"/>
  <c r="O3"/>
  <c r="D3"/>
  <c r="T11" l="1"/>
  <c r="A11" s="1"/>
  <c r="R11"/>
  <c r="S11"/>
  <c r="Q11"/>
  <c r="T9"/>
  <c r="S9"/>
  <c r="R9"/>
  <c r="Q9"/>
  <c r="T5"/>
  <c r="A5" s="1"/>
  <c r="R5"/>
  <c r="Q5"/>
  <c r="S5"/>
  <c r="T6"/>
  <c r="A6" s="1"/>
  <c r="S6"/>
  <c r="R6"/>
  <c r="Q6"/>
  <c r="T8"/>
  <c r="A8" s="1"/>
  <c r="R8"/>
  <c r="Q8"/>
  <c r="S8"/>
  <c r="T13"/>
  <c r="A13" s="1"/>
  <c r="S13"/>
  <c r="R13"/>
  <c r="Q13"/>
  <c r="T4"/>
  <c r="A4" s="1"/>
  <c r="R4"/>
  <c r="Q4"/>
  <c r="S4"/>
  <c r="T7"/>
  <c r="A7" s="1"/>
  <c r="S7"/>
  <c r="R7"/>
  <c r="Q7"/>
  <c r="T25"/>
  <c r="A25" s="1"/>
  <c r="R25"/>
  <c r="Q25"/>
  <c r="S25"/>
  <c r="T19"/>
  <c r="A19" s="1"/>
  <c r="S19"/>
  <c r="R19"/>
  <c r="Q19"/>
  <c r="T14"/>
  <c r="A14" s="1"/>
  <c r="R14"/>
  <c r="I14" s="1"/>
  <c r="Q14"/>
  <c r="S14"/>
  <c r="T10"/>
  <c r="A10" s="1"/>
  <c r="S10"/>
  <c r="R10"/>
  <c r="Q10"/>
  <c r="T12"/>
  <c r="A12" s="1"/>
  <c r="R12"/>
  <c r="I12" s="1"/>
  <c r="F12" s="1"/>
  <c r="Q12"/>
  <c r="S12"/>
  <c r="T22"/>
  <c r="A22" s="1"/>
  <c r="S22"/>
  <c r="R22"/>
  <c r="Q22"/>
  <c r="T18"/>
  <c r="S18"/>
  <c r="R18"/>
  <c r="Q18"/>
  <c r="T20"/>
  <c r="A20" s="1"/>
  <c r="R20"/>
  <c r="I20" s="1"/>
  <c r="Q20"/>
  <c r="S20"/>
  <c r="T23"/>
  <c r="A23" s="1"/>
  <c r="S23"/>
  <c r="R23"/>
  <c r="Q23"/>
  <c r="T16"/>
  <c r="A16" s="1"/>
  <c r="R16"/>
  <c r="Q16"/>
  <c r="S16"/>
  <c r="T15"/>
  <c r="A15" s="1"/>
  <c r="R15"/>
  <c r="Q15"/>
  <c r="S15"/>
  <c r="T24"/>
  <c r="A24" s="1"/>
  <c r="S24"/>
  <c r="R24"/>
  <c r="Q24"/>
  <c r="T27"/>
  <c r="A27" s="1"/>
  <c r="R27"/>
  <c r="Q27"/>
  <c r="S27"/>
  <c r="T17"/>
  <c r="S17"/>
  <c r="R17"/>
  <c r="Q17"/>
  <c r="T26"/>
  <c r="A26" s="1"/>
  <c r="R26"/>
  <c r="Q26"/>
  <c r="S26"/>
  <c r="T28"/>
  <c r="A28" s="1"/>
  <c r="S28"/>
  <c r="R28"/>
  <c r="Q28"/>
  <c r="T21"/>
  <c r="A21" s="1"/>
  <c r="R21"/>
  <c r="Q21"/>
  <c r="S21"/>
  <c r="T29"/>
  <c r="A29" s="1"/>
  <c r="S29"/>
  <c r="R29"/>
  <c r="Q29"/>
  <c r="T30"/>
  <c r="A30" s="1"/>
  <c r="R30"/>
  <c r="Q30"/>
  <c r="S30"/>
  <c r="A9"/>
  <c r="I24"/>
  <c r="V32" i="181"/>
  <c r="T32"/>
  <c r="P32" a="1"/>
  <c r="P32" s="1"/>
  <c r="M32"/>
  <c r="N32"/>
  <c r="R32" a="1"/>
  <c r="R32" s="1"/>
  <c r="V30"/>
  <c r="T30"/>
  <c r="P30" a="1"/>
  <c r="P30" s="1"/>
  <c r="M30"/>
  <c r="L30"/>
  <c r="N30"/>
  <c r="R30" a="1"/>
  <c r="R30" s="1"/>
  <c r="V29"/>
  <c r="T29"/>
  <c r="P29" a="1"/>
  <c r="P29" s="1"/>
  <c r="M29"/>
  <c r="N29"/>
  <c r="R29" a="1"/>
  <c r="R29" s="1"/>
  <c r="V28"/>
  <c r="T28"/>
  <c r="P28" a="1"/>
  <c r="P28" s="1"/>
  <c r="M28"/>
  <c r="L28"/>
  <c r="N28"/>
  <c r="R28" a="1"/>
  <c r="R28" s="1"/>
  <c r="V27"/>
  <c r="T27"/>
  <c r="P27" a="1"/>
  <c r="P27" s="1"/>
  <c r="M27"/>
  <c r="N27"/>
  <c r="R27" a="1"/>
  <c r="R27" s="1"/>
  <c r="V26"/>
  <c r="T26"/>
  <c r="P26" a="1"/>
  <c r="P26" s="1"/>
  <c r="M26"/>
  <c r="L26"/>
  <c r="N26"/>
  <c r="R26" a="1"/>
  <c r="R26" s="1"/>
  <c r="V25"/>
  <c r="T25"/>
  <c r="P25" a="1"/>
  <c r="P25" s="1"/>
  <c r="M25"/>
  <c r="N25"/>
  <c r="R25" a="1"/>
  <c r="R25" s="1"/>
  <c r="V24"/>
  <c r="T24"/>
  <c r="P24" a="1"/>
  <c r="P24" s="1"/>
  <c r="M24"/>
  <c r="L24"/>
  <c r="N24"/>
  <c r="R24" a="1"/>
  <c r="R24" s="1"/>
  <c r="V23"/>
  <c r="T23"/>
  <c r="R23" a="1"/>
  <c r="R23" s="1"/>
  <c r="P23" a="1"/>
  <c r="P23" s="1"/>
  <c r="M23"/>
  <c r="N23"/>
  <c r="H23"/>
  <c r="V22"/>
  <c r="T22"/>
  <c r="R22" a="1"/>
  <c r="R22" s="1"/>
  <c r="P22" a="1"/>
  <c r="P22" s="1"/>
  <c r="M22"/>
  <c r="L22"/>
  <c r="N22"/>
  <c r="H22"/>
  <c r="V21"/>
  <c r="T21"/>
  <c r="P21" a="1"/>
  <c r="P21" s="1"/>
  <c r="M21"/>
  <c r="N21"/>
  <c r="R21" a="1"/>
  <c r="R21" s="1"/>
  <c r="V20"/>
  <c r="T20"/>
  <c r="P20" a="1"/>
  <c r="P20" s="1"/>
  <c r="M20"/>
  <c r="L20"/>
  <c r="N20"/>
  <c r="R20" a="1"/>
  <c r="R20" s="1"/>
  <c r="V19"/>
  <c r="T19"/>
  <c r="P19" a="1"/>
  <c r="P19" s="1"/>
  <c r="M19"/>
  <c r="N19"/>
  <c r="R19" a="1"/>
  <c r="R19" s="1"/>
  <c r="V18"/>
  <c r="T18"/>
  <c r="P18" a="1"/>
  <c r="P18" s="1"/>
  <c r="M18"/>
  <c r="L18"/>
  <c r="N18"/>
  <c r="H18"/>
  <c r="V17"/>
  <c r="T17"/>
  <c r="P17" a="1"/>
  <c r="P17" s="1"/>
  <c r="L17"/>
  <c r="N17"/>
  <c r="R17" a="1"/>
  <c r="R17" s="1"/>
  <c r="V16"/>
  <c r="T16"/>
  <c r="P16" a="1"/>
  <c r="P16" s="1"/>
  <c r="M16"/>
  <c r="L16"/>
  <c r="N16"/>
  <c r="H16"/>
  <c r="V15"/>
  <c r="T15"/>
  <c r="P15" a="1"/>
  <c r="P15" s="1"/>
  <c r="M15"/>
  <c r="N15"/>
  <c r="R15" a="1"/>
  <c r="R15" s="1"/>
  <c r="V14"/>
  <c r="T14"/>
  <c r="P14" a="1"/>
  <c r="P14" s="1"/>
  <c r="M14"/>
  <c r="L14"/>
  <c r="N14"/>
  <c r="R14" a="1"/>
  <c r="R14" s="1"/>
  <c r="V13"/>
  <c r="T13"/>
  <c r="P13" a="1"/>
  <c r="P13" s="1"/>
  <c r="L13"/>
  <c r="N13"/>
  <c r="R13" a="1"/>
  <c r="R13" s="1"/>
  <c r="V12"/>
  <c r="T12"/>
  <c r="P12" a="1"/>
  <c r="P12" s="1"/>
  <c r="M12"/>
  <c r="L12"/>
  <c r="N12"/>
  <c r="H12"/>
  <c r="V11"/>
  <c r="T11"/>
  <c r="P11" a="1"/>
  <c r="P11" s="1"/>
  <c r="M11"/>
  <c r="N11"/>
  <c r="R11" a="1"/>
  <c r="R11" s="1"/>
  <c r="V10"/>
  <c r="T10"/>
  <c r="P10" a="1"/>
  <c r="P10" s="1"/>
  <c r="M10"/>
  <c r="L10"/>
  <c r="N10"/>
  <c r="R10" a="1"/>
  <c r="R10" s="1"/>
  <c r="V9"/>
  <c r="T9"/>
  <c r="P9" a="1"/>
  <c r="P9" s="1"/>
  <c r="L9"/>
  <c r="N9"/>
  <c r="R9" a="1"/>
  <c r="R9" s="1"/>
  <c r="V8"/>
  <c r="T8"/>
  <c r="P8" a="1"/>
  <c r="P8" s="1"/>
  <c r="M8"/>
  <c r="L8"/>
  <c r="N8"/>
  <c r="H8"/>
  <c r="V7"/>
  <c r="T7"/>
  <c r="P7" a="1"/>
  <c r="P7" s="1"/>
  <c r="M7"/>
  <c r="N7"/>
  <c r="R7" a="1"/>
  <c r="R7" s="1"/>
  <c r="V6"/>
  <c r="T6"/>
  <c r="P6" a="1"/>
  <c r="P6" s="1"/>
  <c r="M6"/>
  <c r="L6"/>
  <c r="N6"/>
  <c r="R6" a="1"/>
  <c r="R6" s="1"/>
  <c r="V5"/>
  <c r="T5"/>
  <c r="P5" a="1"/>
  <c r="P5" s="1"/>
  <c r="M5"/>
  <c r="N5"/>
  <c r="R5" a="1"/>
  <c r="R5" s="1"/>
  <c r="V4"/>
  <c r="T4"/>
  <c r="P4" a="1"/>
  <c r="P4" s="1"/>
  <c r="M4"/>
  <c r="L4"/>
  <c r="I3"/>
  <c r="R4" a="1"/>
  <c r="R4" s="1"/>
  <c r="U3"/>
  <c r="Q3"/>
  <c r="O3"/>
  <c r="K3"/>
  <c r="G3"/>
  <c r="R3" s="1" a="1"/>
  <c r="E32"/>
  <c r="E30"/>
  <c r="E29"/>
  <c r="E28"/>
  <c r="E27"/>
  <c r="E26"/>
  <c r="E25"/>
  <c r="E24"/>
  <c r="E23"/>
  <c r="E22"/>
  <c r="E21"/>
  <c r="E20"/>
  <c r="E19"/>
  <c r="E18"/>
  <c r="E17"/>
  <c r="E16"/>
  <c r="E15"/>
  <c r="E14"/>
  <c r="E13"/>
  <c r="E12"/>
  <c r="E11"/>
  <c r="E10"/>
  <c r="E9"/>
  <c r="E8"/>
  <c r="E7"/>
  <c r="E6"/>
  <c r="E5"/>
  <c r="E4"/>
  <c r="D3"/>
  <c r="C3"/>
  <c r="O31" i="68"/>
  <c r="O30"/>
  <c r="O27"/>
  <c r="O25"/>
  <c r="O6"/>
  <c r="O26"/>
  <c r="O16"/>
  <c r="O19"/>
  <c r="O23"/>
  <c r="O13"/>
  <c r="O24"/>
  <c r="O12"/>
  <c r="O22"/>
  <c r="O10"/>
  <c r="O20"/>
  <c r="O29"/>
  <c r="O8"/>
  <c r="O9"/>
  <c r="O14"/>
  <c r="O18"/>
  <c r="O21"/>
  <c r="O5"/>
  <c r="O15"/>
  <c r="O7"/>
  <c r="O28"/>
  <c r="O11"/>
  <c r="O17"/>
  <c r="O4"/>
  <c r="O3"/>
  <c r="O32" i="66"/>
  <c r="O27"/>
  <c r="O31"/>
  <c r="O13"/>
  <c r="O30"/>
  <c r="O17"/>
  <c r="O28"/>
  <c r="O29"/>
  <c r="O25"/>
  <c r="O15"/>
  <c r="O12"/>
  <c r="O26"/>
  <c r="O19"/>
  <c r="O23"/>
  <c r="O16"/>
  <c r="O22"/>
  <c r="O24"/>
  <c r="O20"/>
  <c r="O18"/>
  <c r="O8"/>
  <c r="O21"/>
  <c r="O14"/>
  <c r="O9"/>
  <c r="O10"/>
  <c r="O6"/>
  <c r="O7"/>
  <c r="O4"/>
  <c r="O11"/>
  <c r="O5"/>
  <c r="O3"/>
  <c r="I25" i="186" l="1"/>
  <c r="F25" s="1"/>
  <c r="I4"/>
  <c r="F4" s="1"/>
  <c r="I8"/>
  <c r="I5"/>
  <c r="F5" s="1"/>
  <c r="J18"/>
  <c r="H18" s="1"/>
  <c r="I30"/>
  <c r="F30" s="1"/>
  <c r="I29"/>
  <c r="F29" s="1"/>
  <c r="I21"/>
  <c r="B28"/>
  <c r="I26"/>
  <c r="F26" s="1"/>
  <c r="I27"/>
  <c r="F27" s="1"/>
  <c r="B17"/>
  <c r="I15"/>
  <c r="F15" s="1"/>
  <c r="I16"/>
  <c r="E16" s="1"/>
  <c r="I23"/>
  <c r="F23" s="1"/>
  <c r="B18"/>
  <c r="I22"/>
  <c r="F22" s="1"/>
  <c r="I10"/>
  <c r="F10" s="1"/>
  <c r="I19"/>
  <c r="I7"/>
  <c r="E7" s="1"/>
  <c r="I13"/>
  <c r="I6"/>
  <c r="P3" i="181" a="1"/>
  <c r="P3" s="1"/>
  <c r="I9" i="186"/>
  <c r="E9" s="1"/>
  <c r="L29"/>
  <c r="A18"/>
  <c r="E12"/>
  <c r="R3" i="181"/>
  <c r="E3"/>
  <c r="V3"/>
  <c r="L3"/>
  <c r="J28" i="186"/>
  <c r="G28" s="1"/>
  <c r="M17"/>
  <c r="M30"/>
  <c r="M29"/>
  <c r="M26"/>
  <c r="M28"/>
  <c r="L18"/>
  <c r="M18"/>
  <c r="T3"/>
  <c r="A3" s="1"/>
  <c r="M27"/>
  <c r="L15"/>
  <c r="M23"/>
  <c r="L22"/>
  <c r="L10"/>
  <c r="M19"/>
  <c r="M7"/>
  <c r="L13"/>
  <c r="L6"/>
  <c r="M9"/>
  <c r="L16"/>
  <c r="L12"/>
  <c r="L14"/>
  <c r="L8"/>
  <c r="L26"/>
  <c r="M10"/>
  <c r="L17"/>
  <c r="L27"/>
  <c r="M22"/>
  <c r="M13"/>
  <c r="M25"/>
  <c r="J17"/>
  <c r="H17" s="1"/>
  <c r="M24"/>
  <c r="M16"/>
  <c r="M12"/>
  <c r="M8"/>
  <c r="L11"/>
  <c r="M15"/>
  <c r="L7"/>
  <c r="G17"/>
  <c r="M6"/>
  <c r="L19"/>
  <c r="L9"/>
  <c r="A17"/>
  <c r="L23"/>
  <c r="L25"/>
  <c r="R3"/>
  <c r="L30"/>
  <c r="B11"/>
  <c r="Q3"/>
  <c r="E27"/>
  <c r="E29"/>
  <c r="N17"/>
  <c r="J30"/>
  <c r="J26"/>
  <c r="J16"/>
  <c r="J12"/>
  <c r="J25"/>
  <c r="J8"/>
  <c r="S3"/>
  <c r="G18"/>
  <c r="E19"/>
  <c r="F19"/>
  <c r="F13"/>
  <c r="E13"/>
  <c r="N26"/>
  <c r="C26"/>
  <c r="N16"/>
  <c r="C16"/>
  <c r="N12"/>
  <c r="C12"/>
  <c r="N25"/>
  <c r="C25"/>
  <c r="C8"/>
  <c r="N8"/>
  <c r="L21"/>
  <c r="L28"/>
  <c r="L24"/>
  <c r="E5"/>
  <c r="E10"/>
  <c r="C17"/>
  <c r="I28"/>
  <c r="I18"/>
  <c r="J29"/>
  <c r="J27"/>
  <c r="J23"/>
  <c r="J10"/>
  <c r="J7"/>
  <c r="J6"/>
  <c r="B22"/>
  <c r="B20"/>
  <c r="N28"/>
  <c r="I11"/>
  <c r="B26"/>
  <c r="B12"/>
  <c r="B13"/>
  <c r="F21"/>
  <c r="E21"/>
  <c r="F24"/>
  <c r="E24"/>
  <c r="F20"/>
  <c r="E20"/>
  <c r="F14"/>
  <c r="E14"/>
  <c r="N21"/>
  <c r="C21"/>
  <c r="N15"/>
  <c r="C15"/>
  <c r="N22"/>
  <c r="C22"/>
  <c r="K22" s="1"/>
  <c r="N19"/>
  <c r="C19"/>
  <c r="C13"/>
  <c r="N13"/>
  <c r="C9"/>
  <c r="N9"/>
  <c r="M11"/>
  <c r="C11"/>
  <c r="K11" s="1"/>
  <c r="B16"/>
  <c r="I17"/>
  <c r="C28"/>
  <c r="B8"/>
  <c r="B21"/>
  <c r="B5"/>
  <c r="E6"/>
  <c r="F6"/>
  <c r="N29"/>
  <c r="C29"/>
  <c r="C24"/>
  <c r="N24"/>
  <c r="N20"/>
  <c r="C20"/>
  <c r="N14"/>
  <c r="C14"/>
  <c r="N4"/>
  <c r="C4"/>
  <c r="N5"/>
  <c r="C5"/>
  <c r="N18"/>
  <c r="C18"/>
  <c r="M20"/>
  <c r="L4"/>
  <c r="M14"/>
  <c r="M4"/>
  <c r="M5"/>
  <c r="M21"/>
  <c r="J15"/>
  <c r="J22"/>
  <c r="J19"/>
  <c r="J13"/>
  <c r="J9"/>
  <c r="B24"/>
  <c r="B6"/>
  <c r="B9"/>
  <c r="B25"/>
  <c r="B30"/>
  <c r="B15"/>
  <c r="B4"/>
  <c r="F8"/>
  <c r="E8"/>
  <c r="N11"/>
  <c r="J11"/>
  <c r="N30"/>
  <c r="C30"/>
  <c r="K30" s="1"/>
  <c r="N27"/>
  <c r="C27"/>
  <c r="N23"/>
  <c r="C23"/>
  <c r="N10"/>
  <c r="C10"/>
  <c r="N7"/>
  <c r="C7"/>
  <c r="C6"/>
  <c r="K6" s="1"/>
  <c r="N6"/>
  <c r="L5"/>
  <c r="L20"/>
  <c r="E4"/>
  <c r="J21"/>
  <c r="J24"/>
  <c r="J20"/>
  <c r="J14"/>
  <c r="J4"/>
  <c r="J5"/>
  <c r="B29"/>
  <c r="B19"/>
  <c r="B10"/>
  <c r="B23"/>
  <c r="B7"/>
  <c r="B27"/>
  <c r="B14"/>
  <c r="N3" i="181"/>
  <c r="J3"/>
  <c r="M3"/>
  <c r="S3"/>
  <c r="T3" s="1"/>
  <c r="R8" a="1"/>
  <c r="R8" s="1"/>
  <c r="M9"/>
  <c r="R12" a="1"/>
  <c r="R12" s="1"/>
  <c r="M13"/>
  <c r="R16" a="1"/>
  <c r="R16" s="1"/>
  <c r="M17"/>
  <c r="R18" a="1"/>
  <c r="R18" s="1"/>
  <c r="H3"/>
  <c r="J4"/>
  <c r="N4"/>
  <c r="H5"/>
  <c r="L5"/>
  <c r="J6"/>
  <c r="H7"/>
  <c r="L7"/>
  <c r="J8"/>
  <c r="H9"/>
  <c r="J10"/>
  <c r="H11"/>
  <c r="L11"/>
  <c r="J12"/>
  <c r="H13"/>
  <c r="J14"/>
  <c r="H15"/>
  <c r="L15"/>
  <c r="J16"/>
  <c r="H17"/>
  <c r="J18"/>
  <c r="H19"/>
  <c r="L19"/>
  <c r="J20"/>
  <c r="H21"/>
  <c r="L21"/>
  <c r="J22"/>
  <c r="L23"/>
  <c r="J24"/>
  <c r="H25"/>
  <c r="L25"/>
  <c r="J26"/>
  <c r="H27"/>
  <c r="L27"/>
  <c r="J28"/>
  <c r="H29"/>
  <c r="L29"/>
  <c r="J30"/>
  <c r="H32"/>
  <c r="L32"/>
  <c r="H4"/>
  <c r="J5"/>
  <c r="H6"/>
  <c r="J7"/>
  <c r="J9"/>
  <c r="H10"/>
  <c r="J11"/>
  <c r="J13"/>
  <c r="H14"/>
  <c r="J15"/>
  <c r="J17"/>
  <c r="J19"/>
  <c r="H20"/>
  <c r="J21"/>
  <c r="J23"/>
  <c r="H24"/>
  <c r="J25"/>
  <c r="H26"/>
  <c r="J27"/>
  <c r="H28"/>
  <c r="J29"/>
  <c r="H30"/>
  <c r="J32"/>
  <c r="O18" i="64"/>
  <c r="O31"/>
  <c r="O24"/>
  <c r="O26"/>
  <c r="O14"/>
  <c r="O16"/>
  <c r="O13"/>
  <c r="O25"/>
  <c r="O19"/>
  <c r="O20"/>
  <c r="O8"/>
  <c r="O23"/>
  <c r="O17"/>
  <c r="O11"/>
  <c r="O15"/>
  <c r="O7"/>
  <c r="O12"/>
  <c r="O10"/>
  <c r="O21"/>
  <c r="O9"/>
  <c r="O30"/>
  <c r="O27"/>
  <c r="O5"/>
  <c r="O29"/>
  <c r="O6"/>
  <c r="O28"/>
  <c r="O4"/>
  <c r="O32"/>
  <c r="O22"/>
  <c r="O3"/>
  <c r="O32" i="178"/>
  <c r="A32" s="1"/>
  <c r="N32"/>
  <c r="J32"/>
  <c r="G32" s="1"/>
  <c r="I32"/>
  <c r="F32" s="1"/>
  <c r="C32"/>
  <c r="B32"/>
  <c r="O30"/>
  <c r="A30" s="1"/>
  <c r="N30"/>
  <c r="J30"/>
  <c r="G30" s="1"/>
  <c r="I30"/>
  <c r="F30" s="1"/>
  <c r="C30"/>
  <c r="B30"/>
  <c r="O25"/>
  <c r="A25" s="1"/>
  <c r="N25"/>
  <c r="J25"/>
  <c r="G25" s="1"/>
  <c r="I25"/>
  <c r="F25" s="1"/>
  <c r="C25"/>
  <c r="B25"/>
  <c r="O15"/>
  <c r="A15" s="1"/>
  <c r="N15"/>
  <c r="J15"/>
  <c r="G15" s="1"/>
  <c r="I15"/>
  <c r="F15" s="1"/>
  <c r="C15"/>
  <c r="B15"/>
  <c r="O16"/>
  <c r="A16" s="1"/>
  <c r="N16"/>
  <c r="J16"/>
  <c r="G16" s="1"/>
  <c r="I16"/>
  <c r="E16" s="1"/>
  <c r="C16"/>
  <c r="B16"/>
  <c r="O24"/>
  <c r="A24" s="1"/>
  <c r="N24"/>
  <c r="J24"/>
  <c r="G24" s="1"/>
  <c r="I24"/>
  <c r="E24" s="1"/>
  <c r="C24"/>
  <c r="B24"/>
  <c r="O27"/>
  <c r="A27" s="1"/>
  <c r="N27"/>
  <c r="J27"/>
  <c r="G27" s="1"/>
  <c r="I27"/>
  <c r="E27" s="1"/>
  <c r="C27"/>
  <c r="B27"/>
  <c r="O18"/>
  <c r="A18" s="1"/>
  <c r="N18"/>
  <c r="J18"/>
  <c r="G18" s="1"/>
  <c r="I18"/>
  <c r="F18" s="1"/>
  <c r="C18"/>
  <c r="B18"/>
  <c r="O21"/>
  <c r="A21" s="1"/>
  <c r="N21"/>
  <c r="J21"/>
  <c r="G21" s="1"/>
  <c r="I21"/>
  <c r="E21" s="1"/>
  <c r="C21"/>
  <c r="B21"/>
  <c r="O31"/>
  <c r="A31" s="1"/>
  <c r="N31"/>
  <c r="J31"/>
  <c r="G31" s="1"/>
  <c r="I31"/>
  <c r="F31" s="1"/>
  <c r="C31"/>
  <c r="B31"/>
  <c r="O17"/>
  <c r="A17" s="1"/>
  <c r="N17"/>
  <c r="J17"/>
  <c r="G17" s="1"/>
  <c r="I17"/>
  <c r="F17" s="1"/>
  <c r="C17"/>
  <c r="B17"/>
  <c r="O7"/>
  <c r="A7" s="1"/>
  <c r="N7"/>
  <c r="J7"/>
  <c r="G7" s="1"/>
  <c r="I7"/>
  <c r="F7" s="1"/>
  <c r="C7"/>
  <c r="B7"/>
  <c r="O13"/>
  <c r="A13" s="1"/>
  <c r="N13"/>
  <c r="J13"/>
  <c r="G13" s="1"/>
  <c r="I13"/>
  <c r="E13" s="1"/>
  <c r="C13"/>
  <c r="B13"/>
  <c r="O14"/>
  <c r="A14" s="1"/>
  <c r="N14"/>
  <c r="J14"/>
  <c r="G14" s="1"/>
  <c r="I14"/>
  <c r="F14" s="1"/>
  <c r="C14"/>
  <c r="B14"/>
  <c r="O19"/>
  <c r="A19" s="1"/>
  <c r="N19"/>
  <c r="J19"/>
  <c r="G19" s="1"/>
  <c r="I19"/>
  <c r="E19" s="1"/>
  <c r="C19"/>
  <c r="B19"/>
  <c r="O11"/>
  <c r="A11" s="1"/>
  <c r="N11"/>
  <c r="J11"/>
  <c r="G11" s="1"/>
  <c r="I11"/>
  <c r="F11" s="1"/>
  <c r="C11"/>
  <c r="B11"/>
  <c r="O9"/>
  <c r="A9" s="1"/>
  <c r="N9"/>
  <c r="J9"/>
  <c r="G9" s="1"/>
  <c r="I9"/>
  <c r="E9" s="1"/>
  <c r="C9"/>
  <c r="B9"/>
  <c r="O12"/>
  <c r="A12" s="1"/>
  <c r="N12"/>
  <c r="J12"/>
  <c r="G12" s="1"/>
  <c r="I12"/>
  <c r="F12" s="1"/>
  <c r="C12"/>
  <c r="B12"/>
  <c r="O26"/>
  <c r="A26" s="1"/>
  <c r="N26"/>
  <c r="J26"/>
  <c r="G26" s="1"/>
  <c r="I26"/>
  <c r="E26" s="1"/>
  <c r="C26"/>
  <c r="B26"/>
  <c r="O22"/>
  <c r="A22" s="1"/>
  <c r="N22"/>
  <c r="J22"/>
  <c r="G22" s="1"/>
  <c r="I22"/>
  <c r="F22" s="1"/>
  <c r="C22"/>
  <c r="B22"/>
  <c r="O6"/>
  <c r="A6" s="1"/>
  <c r="N6"/>
  <c r="J6"/>
  <c r="G6" s="1"/>
  <c r="I6"/>
  <c r="E6" s="1"/>
  <c r="C6"/>
  <c r="B6"/>
  <c r="O8"/>
  <c r="A8" s="1"/>
  <c r="N8"/>
  <c r="J8"/>
  <c r="G8" s="1"/>
  <c r="I8"/>
  <c r="F8" s="1"/>
  <c r="C8"/>
  <c r="B8"/>
  <c r="O23"/>
  <c r="A23" s="1"/>
  <c r="N23"/>
  <c r="J23"/>
  <c r="G23" s="1"/>
  <c r="I23"/>
  <c r="E23" s="1"/>
  <c r="C23"/>
  <c r="B23"/>
  <c r="O20"/>
  <c r="A20" s="1"/>
  <c r="N20"/>
  <c r="J20"/>
  <c r="G20" s="1"/>
  <c r="I20"/>
  <c r="F20" s="1"/>
  <c r="C20"/>
  <c r="B20"/>
  <c r="O10"/>
  <c r="A10" s="1"/>
  <c r="N10"/>
  <c r="J10"/>
  <c r="G10" s="1"/>
  <c r="I10"/>
  <c r="E10" s="1"/>
  <c r="C10"/>
  <c r="B10"/>
  <c r="O28"/>
  <c r="A28" s="1"/>
  <c r="N28"/>
  <c r="J28"/>
  <c r="G28" s="1"/>
  <c r="I28"/>
  <c r="F28" s="1"/>
  <c r="C28"/>
  <c r="B28"/>
  <c r="O29"/>
  <c r="A29" s="1"/>
  <c r="N29"/>
  <c r="J29"/>
  <c r="G29" s="1"/>
  <c r="I29"/>
  <c r="E29" s="1"/>
  <c r="C29"/>
  <c r="B29"/>
  <c r="O4"/>
  <c r="A4" s="1"/>
  <c r="N4"/>
  <c r="J4"/>
  <c r="G4" s="1"/>
  <c r="I4"/>
  <c r="F4" s="1"/>
  <c r="C4"/>
  <c r="B4"/>
  <c r="O5"/>
  <c r="A5" s="1"/>
  <c r="N5"/>
  <c r="J5"/>
  <c r="G5" s="1"/>
  <c r="I5"/>
  <c r="E5" s="1"/>
  <c r="C5"/>
  <c r="B5"/>
  <c r="O3"/>
  <c r="J3"/>
  <c r="G3" s="1"/>
  <c r="C3"/>
  <c r="D9" i="148"/>
  <c r="D11"/>
  <c r="D12"/>
  <c r="D13"/>
  <c r="D14"/>
  <c r="D15"/>
  <c r="D16"/>
  <c r="D17"/>
  <c r="D18"/>
  <c r="D19"/>
  <c r="D20"/>
  <c r="D21"/>
  <c r="D22"/>
  <c r="D23"/>
  <c r="D24"/>
  <c r="N68" i="177"/>
  <c r="M68"/>
  <c r="L68"/>
  <c r="I68"/>
  <c r="H68"/>
  <c r="N57"/>
  <c r="M57"/>
  <c r="L57"/>
  <c r="I57"/>
  <c r="H57"/>
  <c r="N56"/>
  <c r="M56"/>
  <c r="L56"/>
  <c r="I56"/>
  <c r="H56"/>
  <c r="N59"/>
  <c r="M59"/>
  <c r="L59"/>
  <c r="I59"/>
  <c r="H59"/>
  <c r="N55"/>
  <c r="M55"/>
  <c r="L55"/>
  <c r="I55"/>
  <c r="H55"/>
  <c r="N54"/>
  <c r="M54"/>
  <c r="L54"/>
  <c r="I54"/>
  <c r="H54"/>
  <c r="N58"/>
  <c r="M58"/>
  <c r="L58"/>
  <c r="I58"/>
  <c r="H58"/>
  <c r="N65"/>
  <c r="M65"/>
  <c r="L65"/>
  <c r="I65"/>
  <c r="H65"/>
  <c r="N62"/>
  <c r="M62"/>
  <c r="L62"/>
  <c r="I62"/>
  <c r="H62"/>
  <c r="N67"/>
  <c r="M67"/>
  <c r="L67"/>
  <c r="I67"/>
  <c r="H67"/>
  <c r="N66"/>
  <c r="M66"/>
  <c r="L66"/>
  <c r="I66"/>
  <c r="H66"/>
  <c r="N71"/>
  <c r="M71"/>
  <c r="L71"/>
  <c r="I71"/>
  <c r="H71"/>
  <c r="N53"/>
  <c r="M53"/>
  <c r="L53"/>
  <c r="I53"/>
  <c r="H53"/>
  <c r="N70"/>
  <c r="M70"/>
  <c r="L70"/>
  <c r="I70"/>
  <c r="H70"/>
  <c r="N72"/>
  <c r="M72"/>
  <c r="L72"/>
  <c r="I72"/>
  <c r="H72"/>
  <c r="N47"/>
  <c r="M47"/>
  <c r="L47"/>
  <c r="I47"/>
  <c r="H47"/>
  <c r="N60"/>
  <c r="M60"/>
  <c r="L60"/>
  <c r="I60"/>
  <c r="H60"/>
  <c r="N52"/>
  <c r="M52"/>
  <c r="L52"/>
  <c r="I52"/>
  <c r="H52"/>
  <c r="N69"/>
  <c r="M69"/>
  <c r="L69"/>
  <c r="I69"/>
  <c r="H69"/>
  <c r="N63"/>
  <c r="M63"/>
  <c r="L63"/>
  <c r="I63"/>
  <c r="H63"/>
  <c r="N51"/>
  <c r="M51"/>
  <c r="L51"/>
  <c r="I51"/>
  <c r="H51"/>
  <c r="N61"/>
  <c r="M61"/>
  <c r="L61"/>
  <c r="I61"/>
  <c r="H61"/>
  <c r="N50"/>
  <c r="M50"/>
  <c r="L50"/>
  <c r="I50"/>
  <c r="H50"/>
  <c r="N49"/>
  <c r="M49"/>
  <c r="L49"/>
  <c r="I49"/>
  <c r="H49"/>
  <c r="N48"/>
  <c r="M48"/>
  <c r="L48"/>
  <c r="I48"/>
  <c r="H48"/>
  <c r="N64"/>
  <c r="M64"/>
  <c r="L64"/>
  <c r="I64"/>
  <c r="H64"/>
  <c r="N46"/>
  <c r="M46"/>
  <c r="L46"/>
  <c r="I46"/>
  <c r="H46"/>
  <c r="N45"/>
  <c r="K45"/>
  <c r="J45"/>
  <c r="G45"/>
  <c r="F45"/>
  <c r="L45" s="1"/>
  <c r="E45"/>
  <c r="D45"/>
  <c r="H45" s="1"/>
  <c r="K18" i="186" l="1"/>
  <c r="K20"/>
  <c r="F9"/>
  <c r="H28"/>
  <c r="K28"/>
  <c r="K17"/>
  <c r="E25"/>
  <c r="F7"/>
  <c r="E26"/>
  <c r="E30"/>
  <c r="E15"/>
  <c r="E23"/>
  <c r="F16"/>
  <c r="E22"/>
  <c r="I45" i="177"/>
  <c r="M45"/>
  <c r="B3" i="186"/>
  <c r="J3"/>
  <c r="H3" s="1"/>
  <c r="F29" i="178"/>
  <c r="G25" i="186"/>
  <c r="H25"/>
  <c r="H30"/>
  <c r="G30"/>
  <c r="I3"/>
  <c r="G8"/>
  <c r="H8"/>
  <c r="H26"/>
  <c r="G26"/>
  <c r="K29"/>
  <c r="N3"/>
  <c r="M3"/>
  <c r="C3"/>
  <c r="L3"/>
  <c r="G16"/>
  <c r="H16"/>
  <c r="G12"/>
  <c r="H12"/>
  <c r="G9"/>
  <c r="H9"/>
  <c r="H15"/>
  <c r="G15"/>
  <c r="G20"/>
  <c r="H20"/>
  <c r="G22"/>
  <c r="H22"/>
  <c r="G23"/>
  <c r="H23"/>
  <c r="E28"/>
  <c r="F28"/>
  <c r="K7"/>
  <c r="K23"/>
  <c r="K5"/>
  <c r="K14"/>
  <c r="K21"/>
  <c r="K8"/>
  <c r="G10"/>
  <c r="H10"/>
  <c r="F18"/>
  <c r="E18"/>
  <c r="K9"/>
  <c r="K12"/>
  <c r="K26"/>
  <c r="G19"/>
  <c r="H19"/>
  <c r="H4"/>
  <c r="G4"/>
  <c r="G21"/>
  <c r="H21"/>
  <c r="G11"/>
  <c r="H11"/>
  <c r="G13"/>
  <c r="H13"/>
  <c r="E17"/>
  <c r="F17"/>
  <c r="G7"/>
  <c r="H7"/>
  <c r="G29"/>
  <c r="H29"/>
  <c r="K10"/>
  <c r="K27"/>
  <c r="K4"/>
  <c r="K19"/>
  <c r="K15"/>
  <c r="H14"/>
  <c r="G14"/>
  <c r="H5"/>
  <c r="G5"/>
  <c r="G24"/>
  <c r="H24"/>
  <c r="E11"/>
  <c r="F11"/>
  <c r="G6"/>
  <c r="H6"/>
  <c r="G27"/>
  <c r="H27"/>
  <c r="K24"/>
  <c r="K13"/>
  <c r="K25"/>
  <c r="K16"/>
  <c r="K5" i="178"/>
  <c r="E4"/>
  <c r="K23"/>
  <c r="K32"/>
  <c r="H27"/>
  <c r="K25"/>
  <c r="K28"/>
  <c r="K30"/>
  <c r="H10"/>
  <c r="E17"/>
  <c r="E32"/>
  <c r="K4"/>
  <c r="K29"/>
  <c r="K10"/>
  <c r="E8"/>
  <c r="H6"/>
  <c r="E22"/>
  <c r="H26"/>
  <c r="F19"/>
  <c r="F27"/>
  <c r="F26"/>
  <c r="E12"/>
  <c r="K19"/>
  <c r="K21"/>
  <c r="H29"/>
  <c r="E28"/>
  <c r="H25"/>
  <c r="E30"/>
  <c r="K6"/>
  <c r="K22"/>
  <c r="K26"/>
  <c r="K9"/>
  <c r="H17"/>
  <c r="E31"/>
  <c r="K24"/>
  <c r="K16"/>
  <c r="K15"/>
  <c r="H19"/>
  <c r="F23"/>
  <c r="E14"/>
  <c r="F13"/>
  <c r="F24"/>
  <c r="F16"/>
  <c r="H5"/>
  <c r="I3"/>
  <c r="F3" s="1"/>
  <c r="B3"/>
  <c r="K3" s="1"/>
  <c r="N3"/>
  <c r="F5"/>
  <c r="E20"/>
  <c r="F9"/>
  <c r="H13"/>
  <c r="E7"/>
  <c r="F21"/>
  <c r="E18"/>
  <c r="K27"/>
  <c r="H16"/>
  <c r="E15"/>
  <c r="E25"/>
  <c r="H32"/>
  <c r="F10"/>
  <c r="F6"/>
  <c r="E11"/>
  <c r="K20"/>
  <c r="H23"/>
  <c r="K11"/>
  <c r="K7"/>
  <c r="K17"/>
  <c r="K18"/>
  <c r="K8"/>
  <c r="K12"/>
  <c r="H9"/>
  <c r="K14"/>
  <c r="K13"/>
  <c r="K31"/>
  <c r="H21"/>
  <c r="M32"/>
  <c r="L30"/>
  <c r="L5"/>
  <c r="L20"/>
  <c r="L6"/>
  <c r="L11"/>
  <c r="L13"/>
  <c r="L18"/>
  <c r="L16"/>
  <c r="L12"/>
  <c r="L19"/>
  <c r="A3"/>
  <c r="L4"/>
  <c r="L10"/>
  <c r="L22"/>
  <c r="L9"/>
  <c r="L7"/>
  <c r="L21"/>
  <c r="L15"/>
  <c r="L32"/>
  <c r="L28"/>
  <c r="L23"/>
  <c r="L31"/>
  <c r="L27"/>
  <c r="L3"/>
  <c r="L29"/>
  <c r="L8"/>
  <c r="L26"/>
  <c r="L14"/>
  <c r="L17"/>
  <c r="L24"/>
  <c r="L25"/>
  <c r="M3"/>
  <c r="M4"/>
  <c r="M28"/>
  <c r="M20"/>
  <c r="M8"/>
  <c r="M22"/>
  <c r="M12"/>
  <c r="M11"/>
  <c r="M14"/>
  <c r="M7"/>
  <c r="M31"/>
  <c r="M18"/>
  <c r="M24"/>
  <c r="M15"/>
  <c r="M30"/>
  <c r="H4"/>
  <c r="H20"/>
  <c r="H22"/>
  <c r="H11"/>
  <c r="H7"/>
  <c r="H24"/>
  <c r="H15"/>
  <c r="H3"/>
  <c r="H28"/>
  <c r="H8"/>
  <c r="H12"/>
  <c r="H14"/>
  <c r="H31"/>
  <c r="H18"/>
  <c r="H30"/>
  <c r="M5"/>
  <c r="M29"/>
  <c r="M10"/>
  <c r="M23"/>
  <c r="M6"/>
  <c r="M26"/>
  <c r="M9"/>
  <c r="M19"/>
  <c r="M13"/>
  <c r="M17"/>
  <c r="M21"/>
  <c r="M27"/>
  <c r="M16"/>
  <c r="M25"/>
  <c r="H49" i="172"/>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H36"/>
  <c r="G36"/>
  <c r="F36"/>
  <c r="E36"/>
  <c r="D36"/>
  <c r="C36"/>
  <c r="G34"/>
  <c r="E34"/>
  <c r="C34"/>
  <c r="R3"/>
  <c r="Q3"/>
  <c r="P3"/>
  <c r="O3"/>
  <c r="N3"/>
  <c r="M3"/>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H6"/>
  <c r="G6"/>
  <c r="F6"/>
  <c r="E6"/>
  <c r="D6"/>
  <c r="C6"/>
  <c r="H5"/>
  <c r="G5"/>
  <c r="F5"/>
  <c r="E5"/>
  <c r="D5"/>
  <c r="C5"/>
  <c r="H4"/>
  <c r="G4"/>
  <c r="F4"/>
  <c r="E4"/>
  <c r="D4"/>
  <c r="C4"/>
  <c r="K3" i="186" l="1"/>
  <c r="G3"/>
  <c r="D3" i="172"/>
  <c r="E3"/>
  <c r="H3"/>
  <c r="F3" i="186"/>
  <c r="E3"/>
  <c r="E3" i="178"/>
  <c r="C3" i="172"/>
  <c r="G3"/>
  <c r="F3"/>
  <c r="F16" i="134"/>
  <c r="F15"/>
  <c r="F14"/>
  <c r="F13"/>
  <c r="F12"/>
  <c r="F11"/>
  <c r="F10"/>
  <c r="F9"/>
  <c r="F8"/>
  <c r="F7"/>
  <c r="F6"/>
  <c r="F16" i="133"/>
  <c r="F15"/>
  <c r="F14"/>
  <c r="F13"/>
  <c r="F12"/>
  <c r="F11"/>
  <c r="F10"/>
  <c r="F9"/>
  <c r="F8"/>
  <c r="F7"/>
  <c r="F6"/>
  <c r="F46" i="54" l="1"/>
  <c r="D4" i="68"/>
  <c r="D17"/>
  <c r="D11"/>
  <c r="D28"/>
  <c r="D7"/>
  <c r="D15"/>
  <c r="D5"/>
  <c r="D21"/>
  <c r="D18"/>
  <c r="D14"/>
  <c r="D9"/>
  <c r="D8"/>
  <c r="D29"/>
  <c r="D20"/>
  <c r="D10"/>
  <c r="D22"/>
  <c r="D12"/>
  <c r="D24"/>
  <c r="D13"/>
  <c r="D23"/>
  <c r="D19"/>
  <c r="D16"/>
  <c r="D26"/>
  <c r="D6"/>
  <c r="D25"/>
  <c r="D27"/>
  <c r="D30"/>
  <c r="D31"/>
  <c r="D3"/>
  <c r="D12" i="106"/>
  <c r="A17" i="143"/>
  <c r="A10"/>
  <c r="A9"/>
  <c r="A12"/>
  <c r="A13"/>
  <c r="A8"/>
  <c r="A6"/>
  <c r="A7"/>
  <c r="A11"/>
  <c r="A15"/>
  <c r="A16"/>
  <c r="A5"/>
  <c r="A14"/>
  <c r="A4"/>
  <c r="T3"/>
  <c r="S3"/>
  <c r="R3"/>
  <c r="Q3"/>
  <c r="O17"/>
  <c r="N17"/>
  <c r="J17"/>
  <c r="H17" s="1"/>
  <c r="I17"/>
  <c r="F17" s="1"/>
  <c r="C17"/>
  <c r="B17"/>
  <c r="O10"/>
  <c r="N10"/>
  <c r="J10"/>
  <c r="G10" s="1"/>
  <c r="I10"/>
  <c r="F10" s="1"/>
  <c r="C10"/>
  <c r="B10"/>
  <c r="O9"/>
  <c r="N9"/>
  <c r="J9"/>
  <c r="H9" s="1"/>
  <c r="I9"/>
  <c r="E9" s="1"/>
  <c r="C9"/>
  <c r="B9"/>
  <c r="O12"/>
  <c r="N12"/>
  <c r="J12"/>
  <c r="G12" s="1"/>
  <c r="I12"/>
  <c r="F12" s="1"/>
  <c r="C12"/>
  <c r="B12"/>
  <c r="O13"/>
  <c r="N13"/>
  <c r="J13"/>
  <c r="H13" s="1"/>
  <c r="I13"/>
  <c r="F13" s="1"/>
  <c r="C13"/>
  <c r="B13"/>
  <c r="O8"/>
  <c r="N8"/>
  <c r="J8"/>
  <c r="G8" s="1"/>
  <c r="I8"/>
  <c r="F8" s="1"/>
  <c r="C8"/>
  <c r="B8"/>
  <c r="O6"/>
  <c r="N6"/>
  <c r="J6"/>
  <c r="H6" s="1"/>
  <c r="I6"/>
  <c r="F6" s="1"/>
  <c r="C6"/>
  <c r="B6"/>
  <c r="O7"/>
  <c r="N7"/>
  <c r="J7"/>
  <c r="G7" s="1"/>
  <c r="I7"/>
  <c r="E7" s="1"/>
  <c r="C7"/>
  <c r="B7"/>
  <c r="O11"/>
  <c r="N11"/>
  <c r="J11"/>
  <c r="H11" s="1"/>
  <c r="I11"/>
  <c r="E11" s="1"/>
  <c r="C11"/>
  <c r="B11"/>
  <c r="O15"/>
  <c r="N15"/>
  <c r="J15"/>
  <c r="G15" s="1"/>
  <c r="I15"/>
  <c r="E15" s="1"/>
  <c r="C15"/>
  <c r="B15"/>
  <c r="O16"/>
  <c r="N16"/>
  <c r="J16"/>
  <c r="H16" s="1"/>
  <c r="I16"/>
  <c r="E16" s="1"/>
  <c r="C16"/>
  <c r="B16"/>
  <c r="O5"/>
  <c r="N5"/>
  <c r="J5"/>
  <c r="G5" s="1"/>
  <c r="I5"/>
  <c r="E5" s="1"/>
  <c r="C5"/>
  <c r="B5"/>
  <c r="O14"/>
  <c r="N14"/>
  <c r="J14"/>
  <c r="H14" s="1"/>
  <c r="I14"/>
  <c r="F14" s="1"/>
  <c r="C14"/>
  <c r="B14"/>
  <c r="O4"/>
  <c r="N4"/>
  <c r="J4"/>
  <c r="H4" s="1"/>
  <c r="I4"/>
  <c r="F4" s="1"/>
  <c r="C4"/>
  <c r="B4"/>
  <c r="O49" i="130"/>
  <c r="N49"/>
  <c r="M49"/>
  <c r="L49"/>
  <c r="K49"/>
  <c r="J49"/>
  <c r="K46" i="136"/>
  <c r="J46"/>
  <c r="G46"/>
  <c r="F46"/>
  <c r="E46"/>
  <c r="I46" s="1"/>
  <c r="D46"/>
  <c r="H47"/>
  <c r="I47"/>
  <c r="L47"/>
  <c r="M47"/>
  <c r="H64"/>
  <c r="I64"/>
  <c r="L64"/>
  <c r="M64"/>
  <c r="H49"/>
  <c r="I49"/>
  <c r="L49"/>
  <c r="M49"/>
  <c r="H50"/>
  <c r="I50"/>
  <c r="L50"/>
  <c r="M50"/>
  <c r="H51"/>
  <c r="I51"/>
  <c r="L51"/>
  <c r="M51"/>
  <c r="H62"/>
  <c r="I62"/>
  <c r="L62"/>
  <c r="M62"/>
  <c r="H52"/>
  <c r="I52"/>
  <c r="L52"/>
  <c r="M52"/>
  <c r="H63"/>
  <c r="I63"/>
  <c r="L63"/>
  <c r="M63"/>
  <c r="H69"/>
  <c r="I69"/>
  <c r="L69"/>
  <c r="M69"/>
  <c r="H53"/>
  <c r="I53"/>
  <c r="L53"/>
  <c r="M53"/>
  <c r="H61"/>
  <c r="I61"/>
  <c r="L61"/>
  <c r="M61"/>
  <c r="H48"/>
  <c r="I48"/>
  <c r="L48"/>
  <c r="M48"/>
  <c r="H70"/>
  <c r="I70"/>
  <c r="L70"/>
  <c r="M70"/>
  <c r="H72"/>
  <c r="I72"/>
  <c r="L72"/>
  <c r="M72"/>
  <c r="H54"/>
  <c r="I54"/>
  <c r="L54"/>
  <c r="M54"/>
  <c r="H73"/>
  <c r="I73"/>
  <c r="L73"/>
  <c r="M73"/>
  <c r="H67"/>
  <c r="I67"/>
  <c r="L67"/>
  <c r="M67"/>
  <c r="H55"/>
  <c r="I55"/>
  <c r="L55"/>
  <c r="M55"/>
  <c r="H65"/>
  <c r="I65"/>
  <c r="L65"/>
  <c r="M65"/>
  <c r="H68"/>
  <c r="I68"/>
  <c r="L68"/>
  <c r="M68"/>
  <c r="H66"/>
  <c r="I66"/>
  <c r="L66"/>
  <c r="M66"/>
  <c r="H56"/>
  <c r="I56"/>
  <c r="L56"/>
  <c r="M56"/>
  <c r="H57"/>
  <c r="I57"/>
  <c r="L57"/>
  <c r="M57"/>
  <c r="H71"/>
  <c r="I71"/>
  <c r="L71"/>
  <c r="M71"/>
  <c r="H58"/>
  <c r="I58"/>
  <c r="L58"/>
  <c r="M58"/>
  <c r="H59"/>
  <c r="I59"/>
  <c r="L59"/>
  <c r="M59"/>
  <c r="H60"/>
  <c r="I60"/>
  <c r="L60"/>
  <c r="M60"/>
  <c r="N46"/>
  <c r="N73"/>
  <c r="N72"/>
  <c r="N71"/>
  <c r="N70"/>
  <c r="N69"/>
  <c r="N68"/>
  <c r="N67"/>
  <c r="N66"/>
  <c r="N65"/>
  <c r="N64"/>
  <c r="N63"/>
  <c r="N62"/>
  <c r="N61"/>
  <c r="N60"/>
  <c r="N59"/>
  <c r="N58"/>
  <c r="N57"/>
  <c r="N56"/>
  <c r="N55"/>
  <c r="N54"/>
  <c r="N53"/>
  <c r="N52"/>
  <c r="N51"/>
  <c r="N50"/>
  <c r="N49"/>
  <c r="N48"/>
  <c r="N47"/>
  <c r="E11" i="42"/>
  <c r="F11"/>
  <c r="G4" i="143" l="1"/>
  <c r="B3"/>
  <c r="K15"/>
  <c r="F15"/>
  <c r="H46" i="136"/>
  <c r="M46"/>
  <c r="E13" i="143"/>
  <c r="K6"/>
  <c r="F9"/>
  <c r="E6"/>
  <c r="G16"/>
  <c r="F7"/>
  <c r="H12"/>
  <c r="K17"/>
  <c r="K14"/>
  <c r="K16"/>
  <c r="E8"/>
  <c r="E10"/>
  <c r="I3"/>
  <c r="E3" s="1"/>
  <c r="K11"/>
  <c r="K12"/>
  <c r="E17"/>
  <c r="F16"/>
  <c r="N3"/>
  <c r="F11"/>
  <c r="H7"/>
  <c r="K9"/>
  <c r="G9"/>
  <c r="E14"/>
  <c r="E4"/>
  <c r="K5"/>
  <c r="E12"/>
  <c r="K4"/>
  <c r="F5"/>
  <c r="K8"/>
  <c r="K13"/>
  <c r="K7"/>
  <c r="G6"/>
  <c r="K10"/>
  <c r="L17"/>
  <c r="C3"/>
  <c r="J3"/>
  <c r="L3"/>
  <c r="L4"/>
  <c r="G14"/>
  <c r="M16"/>
  <c r="H15"/>
  <c r="L15"/>
  <c r="G11"/>
  <c r="M6"/>
  <c r="H8"/>
  <c r="L8"/>
  <c r="G13"/>
  <c r="M9"/>
  <c r="H10"/>
  <c r="L10"/>
  <c r="G17"/>
  <c r="M5"/>
  <c r="L16"/>
  <c r="M7"/>
  <c r="L6"/>
  <c r="M12"/>
  <c r="L9"/>
  <c r="M11"/>
  <c r="L7"/>
  <c r="M13"/>
  <c r="L12"/>
  <c r="M17"/>
  <c r="M14"/>
  <c r="H5"/>
  <c r="L5"/>
  <c r="M3"/>
  <c r="M4"/>
  <c r="L14"/>
  <c r="M15"/>
  <c r="L11"/>
  <c r="M8"/>
  <c r="L13"/>
  <c r="M10"/>
  <c r="L46" i="136"/>
  <c r="S55" i="106"/>
  <c r="R55"/>
  <c r="Q55"/>
  <c r="P55"/>
  <c r="O55"/>
  <c r="N55"/>
  <c r="M55"/>
  <c r="L55"/>
  <c r="K55"/>
  <c r="J55"/>
  <c r="I55"/>
  <c r="H55"/>
  <c r="G55"/>
  <c r="F55"/>
  <c r="E55"/>
  <c r="S53"/>
  <c r="R53"/>
  <c r="Q53"/>
  <c r="P53"/>
  <c r="O53"/>
  <c r="N53"/>
  <c r="M53"/>
  <c r="L53"/>
  <c r="K53"/>
  <c r="J53"/>
  <c r="I53"/>
  <c r="H53"/>
  <c r="G53"/>
  <c r="F53"/>
  <c r="E53"/>
  <c r="S51"/>
  <c r="R51"/>
  <c r="Q51"/>
  <c r="P51"/>
  <c r="O51"/>
  <c r="N51"/>
  <c r="M51"/>
  <c r="L51"/>
  <c r="K51"/>
  <c r="J51"/>
  <c r="I51"/>
  <c r="H51"/>
  <c r="G51"/>
  <c r="F51"/>
  <c r="E51"/>
  <c r="S49"/>
  <c r="R49"/>
  <c r="Q49"/>
  <c r="P49"/>
  <c r="O49"/>
  <c r="N49"/>
  <c r="M49"/>
  <c r="L49"/>
  <c r="K49"/>
  <c r="J49"/>
  <c r="I49"/>
  <c r="H49"/>
  <c r="G49"/>
  <c r="F49"/>
  <c r="E49"/>
  <c r="S47"/>
  <c r="R47"/>
  <c r="Q47"/>
  <c r="P47"/>
  <c r="O47"/>
  <c r="N47"/>
  <c r="M47"/>
  <c r="L47"/>
  <c r="K47"/>
  <c r="J47"/>
  <c r="I47"/>
  <c r="H47"/>
  <c r="G47"/>
  <c r="F47"/>
  <c r="E47"/>
  <c r="S26" i="25"/>
  <c r="R26"/>
  <c r="T26"/>
  <c r="Q26"/>
  <c r="Q27" s="1"/>
  <c r="D73" i="130"/>
  <c r="E73"/>
  <c r="F73"/>
  <c r="D54"/>
  <c r="E54"/>
  <c r="F54"/>
  <c r="D63"/>
  <c r="E63"/>
  <c r="F63"/>
  <c r="D61"/>
  <c r="E61"/>
  <c r="F61"/>
  <c r="D70"/>
  <c r="E70"/>
  <c r="F70"/>
  <c r="D58"/>
  <c r="E58"/>
  <c r="F58"/>
  <c r="D65"/>
  <c r="E65"/>
  <c r="F65"/>
  <c r="D55"/>
  <c r="E55"/>
  <c r="F55"/>
  <c r="D66"/>
  <c r="E66"/>
  <c r="F66"/>
  <c r="D60"/>
  <c r="E60"/>
  <c r="F60"/>
  <c r="D68"/>
  <c r="E68"/>
  <c r="F68"/>
  <c r="D74"/>
  <c r="E74"/>
  <c r="F74"/>
  <c r="D75"/>
  <c r="E75"/>
  <c r="F75"/>
  <c r="D72"/>
  <c r="E72"/>
  <c r="F72"/>
  <c r="D62"/>
  <c r="E62"/>
  <c r="F62"/>
  <c r="D69"/>
  <c r="E69"/>
  <c r="F69"/>
  <c r="D51"/>
  <c r="E51"/>
  <c r="F51"/>
  <c r="D57"/>
  <c r="E57"/>
  <c r="F57"/>
  <c r="D56"/>
  <c r="E56"/>
  <c r="F56"/>
  <c r="D53"/>
  <c r="E53"/>
  <c r="F53"/>
  <c r="D59"/>
  <c r="E59"/>
  <c r="F59"/>
  <c r="D67"/>
  <c r="E67"/>
  <c r="F67"/>
  <c r="D71"/>
  <c r="E71"/>
  <c r="F71"/>
  <c r="D76"/>
  <c r="E76"/>
  <c r="F76"/>
  <c r="D52"/>
  <c r="E52"/>
  <c r="F52"/>
  <c r="D64"/>
  <c r="E64"/>
  <c r="F64"/>
  <c r="D50"/>
  <c r="E50"/>
  <c r="F50"/>
  <c r="F49"/>
  <c r="E49"/>
  <c r="D49"/>
  <c r="K3" i="143" l="1"/>
  <c r="F3"/>
  <c r="S27" i="25"/>
  <c r="H3" i="143"/>
  <c r="G3"/>
  <c r="I61" i="54"/>
  <c r="I67"/>
  <c r="I58"/>
  <c r="H67"/>
  <c r="H61"/>
  <c r="H58"/>
  <c r="B48"/>
  <c r="B45"/>
  <c r="B44"/>
  <c r="B47"/>
  <c r="B46"/>
  <c r="B50"/>
  <c r="B53"/>
  <c r="B51"/>
  <c r="B49"/>
  <c r="B52"/>
  <c r="B43"/>
  <c r="P73" i="130"/>
  <c r="P54"/>
  <c r="P63"/>
  <c r="P61"/>
  <c r="P70"/>
  <c r="P58"/>
  <c r="P65"/>
  <c r="P55"/>
  <c r="P66"/>
  <c r="P60"/>
  <c r="P68"/>
  <c r="P74"/>
  <c r="P75"/>
  <c r="P72"/>
  <c r="P62"/>
  <c r="P69"/>
  <c r="P51"/>
  <c r="P57"/>
  <c r="P56"/>
  <c r="P53"/>
  <c r="P59"/>
  <c r="P67"/>
  <c r="P71"/>
  <c r="P76"/>
  <c r="P52"/>
  <c r="P64"/>
  <c r="P50"/>
  <c r="B49"/>
  <c r="P49" s="1"/>
  <c r="O6" i="25"/>
  <c r="A6" s="1"/>
  <c r="O4"/>
  <c r="A4" s="1"/>
  <c r="O23"/>
  <c r="O22"/>
  <c r="O8"/>
  <c r="A8" s="1"/>
  <c r="O16"/>
  <c r="A16" s="1"/>
  <c r="O13"/>
  <c r="A13" s="1"/>
  <c r="O15"/>
  <c r="A15" s="1"/>
  <c r="O9"/>
  <c r="A9" s="1"/>
  <c r="O14"/>
  <c r="A14" s="1"/>
  <c r="O5"/>
  <c r="A5" s="1"/>
  <c r="O17"/>
  <c r="A17" s="1"/>
  <c r="O10"/>
  <c r="A10" s="1"/>
  <c r="O19"/>
  <c r="A19" s="1"/>
  <c r="O20"/>
  <c r="A20" s="1"/>
  <c r="O12"/>
  <c r="A12" s="1"/>
  <c r="O18"/>
  <c r="A18" s="1"/>
  <c r="O24"/>
  <c r="A24" s="1"/>
  <c r="O21"/>
  <c r="A21" s="1"/>
  <c r="O11"/>
  <c r="A11" s="1"/>
  <c r="O25"/>
  <c r="A25" s="1"/>
  <c r="O3"/>
  <c r="A23"/>
  <c r="A22"/>
  <c r="B25"/>
  <c r="C25"/>
  <c r="D25"/>
  <c r="I25"/>
  <c r="E25" s="1"/>
  <c r="J25"/>
  <c r="G25" s="1"/>
  <c r="K25"/>
  <c r="N25"/>
  <c r="E58" i="54" l="1"/>
  <c r="L7" i="25"/>
  <c r="M7"/>
  <c r="H49" i="130"/>
  <c r="H73"/>
  <c r="H54"/>
  <c r="H63"/>
  <c r="H61"/>
  <c r="H70"/>
  <c r="H58"/>
  <c r="H65"/>
  <c r="H55"/>
  <c r="H66"/>
  <c r="H60"/>
  <c r="H68"/>
  <c r="H74"/>
  <c r="H75"/>
  <c r="H72"/>
  <c r="H62"/>
  <c r="H69"/>
  <c r="H51"/>
  <c r="H57"/>
  <c r="H56"/>
  <c r="H53"/>
  <c r="H59"/>
  <c r="H67"/>
  <c r="H71"/>
  <c r="H76"/>
  <c r="H52"/>
  <c r="H64"/>
  <c r="H50"/>
  <c r="G49"/>
  <c r="G73"/>
  <c r="G54"/>
  <c r="G63"/>
  <c r="G61"/>
  <c r="G70"/>
  <c r="G58"/>
  <c r="G65"/>
  <c r="G55"/>
  <c r="G66"/>
  <c r="G60"/>
  <c r="G68"/>
  <c r="G74"/>
  <c r="G75"/>
  <c r="G72"/>
  <c r="G62"/>
  <c r="G69"/>
  <c r="G51"/>
  <c r="G57"/>
  <c r="G56"/>
  <c r="G53"/>
  <c r="G59"/>
  <c r="G67"/>
  <c r="G71"/>
  <c r="G76"/>
  <c r="G52"/>
  <c r="G64"/>
  <c r="G50"/>
  <c r="L25" i="25"/>
  <c r="M25"/>
  <c r="A3"/>
  <c r="H25"/>
  <c r="F25"/>
  <c r="A4" i="68"/>
  <c r="A17"/>
  <c r="A11"/>
  <c r="A28"/>
  <c r="A7"/>
  <c r="A15"/>
  <c r="A5"/>
  <c r="A21"/>
  <c r="A18"/>
  <c r="A14"/>
  <c r="A9"/>
  <c r="A8"/>
  <c r="A29"/>
  <c r="A20"/>
  <c r="A10"/>
  <c r="A22"/>
  <c r="A12"/>
  <c r="A24"/>
  <c r="A13"/>
  <c r="A23"/>
  <c r="A19"/>
  <c r="A16"/>
  <c r="A26"/>
  <c r="A6"/>
  <c r="A25"/>
  <c r="A27"/>
  <c r="A30"/>
  <c r="A31"/>
  <c r="A3"/>
  <c r="A11" i="66"/>
  <c r="A4"/>
  <c r="A7"/>
  <c r="A9"/>
  <c r="A14"/>
  <c r="A8"/>
  <c r="A18"/>
  <c r="A20"/>
  <c r="A16"/>
  <c r="A23"/>
  <c r="A26"/>
  <c r="A12"/>
  <c r="A15"/>
  <c r="A29"/>
  <c r="A28"/>
  <c r="A17"/>
  <c r="A13"/>
  <c r="A31"/>
  <c r="A27"/>
  <c r="A5"/>
  <c r="A6"/>
  <c r="A10"/>
  <c r="A21"/>
  <c r="A24"/>
  <c r="A22"/>
  <c r="A19"/>
  <c r="A25"/>
  <c r="A30"/>
  <c r="A32"/>
  <c r="A3"/>
  <c r="A22" i="64"/>
  <c r="A32"/>
  <c r="A4"/>
  <c r="A28"/>
  <c r="A6"/>
  <c r="A29"/>
  <c r="A5"/>
  <c r="A27"/>
  <c r="A30"/>
  <c r="A9"/>
  <c r="A21"/>
  <c r="A10"/>
  <c r="A12"/>
  <c r="A7"/>
  <c r="A15"/>
  <c r="A11"/>
  <c r="A17"/>
  <c r="A23"/>
  <c r="A8"/>
  <c r="A20"/>
  <c r="A19"/>
  <c r="A25"/>
  <c r="A13"/>
  <c r="A16"/>
  <c r="A14"/>
  <c r="A26"/>
  <c r="A24"/>
  <c r="A31"/>
  <c r="A18"/>
  <c r="A3"/>
  <c r="O6" i="62"/>
  <c r="A6" s="1"/>
  <c r="O5"/>
  <c r="A5" s="1"/>
  <c r="O10"/>
  <c r="O8"/>
  <c r="O4"/>
  <c r="A4" s="1"/>
  <c r="O7"/>
  <c r="A7" s="1"/>
  <c r="O9"/>
  <c r="A9" s="1"/>
  <c r="O11"/>
  <c r="A11" s="1"/>
  <c r="O17"/>
  <c r="A17" s="1"/>
  <c r="O14"/>
  <c r="A14" s="1"/>
  <c r="O31"/>
  <c r="A31" s="1"/>
  <c r="O13"/>
  <c r="A13" s="1"/>
  <c r="O15"/>
  <c r="A15" s="1"/>
  <c r="O22"/>
  <c r="A22" s="1"/>
  <c r="O20"/>
  <c r="A20" s="1"/>
  <c r="O21"/>
  <c r="A21" s="1"/>
  <c r="O18"/>
  <c r="A18" s="1"/>
  <c r="O12"/>
  <c r="A12" s="1"/>
  <c r="O24"/>
  <c r="A24" s="1"/>
  <c r="O19"/>
  <c r="A19" s="1"/>
  <c r="O16"/>
  <c r="A16" s="1"/>
  <c r="O28"/>
  <c r="A28" s="1"/>
  <c r="O23"/>
  <c r="A23" s="1"/>
  <c r="O26"/>
  <c r="A26" s="1"/>
  <c r="O25"/>
  <c r="A25" s="1"/>
  <c r="O27"/>
  <c r="A27" s="1"/>
  <c r="O29"/>
  <c r="A29" s="1"/>
  <c r="O30"/>
  <c r="A30" s="1"/>
  <c r="O32"/>
  <c r="A32" s="1"/>
  <c r="O3"/>
  <c r="A3" s="1"/>
  <c r="A10"/>
  <c r="A8"/>
  <c r="O5" i="60"/>
  <c r="A5" s="1"/>
  <c r="O4"/>
  <c r="A4" s="1"/>
  <c r="O30"/>
  <c r="A30" s="1"/>
  <c r="O27"/>
  <c r="A27" s="1"/>
  <c r="O8"/>
  <c r="A8" s="1"/>
  <c r="O16"/>
  <c r="A16" s="1"/>
  <c r="O25"/>
  <c r="A25" s="1"/>
  <c r="O7"/>
  <c r="A7" s="1"/>
  <c r="O6"/>
  <c r="A6" s="1"/>
  <c r="O23"/>
  <c r="A23" s="1"/>
  <c r="O20"/>
  <c r="A20" s="1"/>
  <c r="O10"/>
  <c r="A10" s="1"/>
  <c r="O9"/>
  <c r="A9" s="1"/>
  <c r="O12"/>
  <c r="A12" s="1"/>
  <c r="O26"/>
  <c r="A26" s="1"/>
  <c r="O17"/>
  <c r="A17" s="1"/>
  <c r="O13"/>
  <c r="A13" s="1"/>
  <c r="O11"/>
  <c r="A11" s="1"/>
  <c r="O19"/>
  <c r="A19" s="1"/>
  <c r="O31"/>
  <c r="A31" s="1"/>
  <c r="O24"/>
  <c r="A24" s="1"/>
  <c r="O18"/>
  <c r="A18" s="1"/>
  <c r="O21"/>
  <c r="A21" s="1"/>
  <c r="O22"/>
  <c r="A22" s="1"/>
  <c r="O14"/>
  <c r="A14" s="1"/>
  <c r="O15"/>
  <c r="A15" s="1"/>
  <c r="O29"/>
  <c r="A29" s="1"/>
  <c r="O28"/>
  <c r="A28" s="1"/>
  <c r="O32"/>
  <c r="A32" s="1"/>
  <c r="O3"/>
  <c r="A3" s="1"/>
  <c r="S17" i="120" l="1"/>
  <c r="Q17"/>
  <c r="P17"/>
  <c r="O17"/>
  <c r="N17"/>
  <c r="S16"/>
  <c r="Q16"/>
  <c r="P16"/>
  <c r="O16"/>
  <c r="N16"/>
  <c r="S15"/>
  <c r="Q15"/>
  <c r="P15"/>
  <c r="O15"/>
  <c r="N15"/>
  <c r="S14"/>
  <c r="Q14"/>
  <c r="P14"/>
  <c r="O14"/>
  <c r="N14"/>
  <c r="S13"/>
  <c r="Q13"/>
  <c r="P13"/>
  <c r="O13"/>
  <c r="N13"/>
  <c r="S12"/>
  <c r="Q12"/>
  <c r="P12"/>
  <c r="O12"/>
  <c r="N12"/>
  <c r="S11"/>
  <c r="Q11"/>
  <c r="P11"/>
  <c r="O11"/>
  <c r="N11"/>
  <c r="S10"/>
  <c r="Q10"/>
  <c r="P10"/>
  <c r="O10"/>
  <c r="N10"/>
  <c r="S9"/>
  <c r="Q9"/>
  <c r="P9"/>
  <c r="O9"/>
  <c r="N9"/>
  <c r="S8"/>
  <c r="Q8"/>
  <c r="P8"/>
  <c r="O8"/>
  <c r="N8"/>
  <c r="S7"/>
  <c r="Q7"/>
  <c r="P7"/>
  <c r="O7"/>
  <c r="N7"/>
  <c r="S6"/>
  <c r="Q6"/>
  <c r="P6"/>
  <c r="O6"/>
  <c r="N6"/>
  <c r="S5"/>
  <c r="Q5"/>
  <c r="P5"/>
  <c r="O5"/>
  <c r="N5"/>
  <c r="S4"/>
  <c r="Q4"/>
  <c r="P4"/>
  <c r="O4"/>
  <c r="N4"/>
  <c r="M3"/>
  <c r="K3"/>
  <c r="J3"/>
  <c r="I3"/>
  <c r="H3"/>
  <c r="G3"/>
  <c r="E3"/>
  <c r="D3"/>
  <c r="C3"/>
  <c r="B3"/>
  <c r="S17" i="118"/>
  <c r="Q17"/>
  <c r="P17"/>
  <c r="O17"/>
  <c r="N17"/>
  <c r="S16"/>
  <c r="Q16"/>
  <c r="P16"/>
  <c r="O16"/>
  <c r="N16"/>
  <c r="S15"/>
  <c r="Q15"/>
  <c r="P15"/>
  <c r="O15"/>
  <c r="N15"/>
  <c r="S14"/>
  <c r="Q14"/>
  <c r="P14"/>
  <c r="O14"/>
  <c r="N14"/>
  <c r="S13"/>
  <c r="Q13"/>
  <c r="P13"/>
  <c r="O13"/>
  <c r="N13"/>
  <c r="S12"/>
  <c r="Q12"/>
  <c r="P12"/>
  <c r="O12"/>
  <c r="N12"/>
  <c r="S11"/>
  <c r="Q11"/>
  <c r="P11"/>
  <c r="O11"/>
  <c r="N11"/>
  <c r="S10"/>
  <c r="Q10"/>
  <c r="P10"/>
  <c r="O10"/>
  <c r="N10"/>
  <c r="S9"/>
  <c r="Q9"/>
  <c r="P9"/>
  <c r="O9"/>
  <c r="N9"/>
  <c r="S8"/>
  <c r="Q8"/>
  <c r="P8"/>
  <c r="O8"/>
  <c r="N8"/>
  <c r="S7"/>
  <c r="Q7"/>
  <c r="P7"/>
  <c r="O7"/>
  <c r="N7"/>
  <c r="S6"/>
  <c r="Q6"/>
  <c r="P6"/>
  <c r="O6"/>
  <c r="N6"/>
  <c r="S5"/>
  <c r="Q5"/>
  <c r="P5"/>
  <c r="O5"/>
  <c r="N5"/>
  <c r="S4"/>
  <c r="Q4"/>
  <c r="P4"/>
  <c r="O4"/>
  <c r="N4"/>
  <c r="M3"/>
  <c r="K3"/>
  <c r="J3"/>
  <c r="I3"/>
  <c r="H3"/>
  <c r="G3"/>
  <c r="E3"/>
  <c r="D3"/>
  <c r="C3"/>
  <c r="B3"/>
  <c r="M3" i="114"/>
  <c r="K3"/>
  <c r="J3"/>
  <c r="I3"/>
  <c r="H3"/>
  <c r="S17"/>
  <c r="Q17"/>
  <c r="P17"/>
  <c r="O17"/>
  <c r="N17"/>
  <c r="S16"/>
  <c r="Q16"/>
  <c r="P16"/>
  <c r="O16"/>
  <c r="N16"/>
  <c r="S15"/>
  <c r="Q15"/>
  <c r="P15"/>
  <c r="O15"/>
  <c r="N15"/>
  <c r="S14"/>
  <c r="Q14"/>
  <c r="P14"/>
  <c r="O14"/>
  <c r="N14"/>
  <c r="S13"/>
  <c r="Q13"/>
  <c r="P13"/>
  <c r="O13"/>
  <c r="N13"/>
  <c r="S12"/>
  <c r="Q12"/>
  <c r="P12"/>
  <c r="O12"/>
  <c r="N12"/>
  <c r="S11"/>
  <c r="Q11"/>
  <c r="P11"/>
  <c r="O11"/>
  <c r="N11"/>
  <c r="S10"/>
  <c r="Q10"/>
  <c r="P10"/>
  <c r="O10"/>
  <c r="N10"/>
  <c r="S9"/>
  <c r="Q9"/>
  <c r="P9"/>
  <c r="O9"/>
  <c r="N9"/>
  <c r="S8"/>
  <c r="Q8"/>
  <c r="P8"/>
  <c r="O8"/>
  <c r="N8"/>
  <c r="S7"/>
  <c r="Q7"/>
  <c r="P7"/>
  <c r="O7"/>
  <c r="N7"/>
  <c r="S6"/>
  <c r="Q6"/>
  <c r="P6"/>
  <c r="O6"/>
  <c r="N6"/>
  <c r="S5"/>
  <c r="Q5"/>
  <c r="P5"/>
  <c r="O5"/>
  <c r="N5"/>
  <c r="S4"/>
  <c r="Q4"/>
  <c r="P4"/>
  <c r="O4"/>
  <c r="N4"/>
  <c r="O3"/>
  <c r="N3" i="118" l="1"/>
  <c r="P3" i="114"/>
  <c r="N3"/>
  <c r="S3"/>
  <c r="Q3"/>
  <c r="N3" i="120"/>
  <c r="P3"/>
  <c r="S3"/>
  <c r="O3"/>
  <c r="Q3"/>
  <c r="P3" i="118"/>
  <c r="S3"/>
  <c r="O3"/>
  <c r="Q3"/>
  <c r="E12" i="106" l="1"/>
  <c r="F12"/>
  <c r="G12"/>
  <c r="H12"/>
  <c r="I12"/>
  <c r="J12"/>
  <c r="K12"/>
  <c r="L12"/>
  <c r="M12"/>
  <c r="N12"/>
  <c r="O12"/>
  <c r="P12"/>
  <c r="Q12"/>
  <c r="R12"/>
  <c r="S12"/>
  <c r="E14"/>
  <c r="F14"/>
  <c r="G14"/>
  <c r="H14"/>
  <c r="I14"/>
  <c r="J14"/>
  <c r="K14"/>
  <c r="L14"/>
  <c r="M14"/>
  <c r="N14"/>
  <c r="O14"/>
  <c r="P14"/>
  <c r="Q14"/>
  <c r="R14"/>
  <c r="S14"/>
  <c r="E18"/>
  <c r="F18"/>
  <c r="G18"/>
  <c r="H18"/>
  <c r="I18"/>
  <c r="J18"/>
  <c r="K18"/>
  <c r="L18"/>
  <c r="M18"/>
  <c r="N18"/>
  <c r="O18"/>
  <c r="P18"/>
  <c r="Q18"/>
  <c r="R18"/>
  <c r="S18"/>
  <c r="E25"/>
  <c r="F25"/>
  <c r="G25"/>
  <c r="H25"/>
  <c r="I25"/>
  <c r="J25"/>
  <c r="K25"/>
  <c r="L25"/>
  <c r="M25"/>
  <c r="N25"/>
  <c r="O25"/>
  <c r="P25"/>
  <c r="Q25"/>
  <c r="R25"/>
  <c r="S25"/>
  <c r="E27"/>
  <c r="F27"/>
  <c r="G27"/>
  <c r="H27"/>
  <c r="I27"/>
  <c r="J27"/>
  <c r="K27"/>
  <c r="L27"/>
  <c r="M27"/>
  <c r="N27"/>
  <c r="O27"/>
  <c r="P27"/>
  <c r="Q27"/>
  <c r="R27"/>
  <c r="S27"/>
  <c r="E29"/>
  <c r="F29"/>
  <c r="G29"/>
  <c r="H29"/>
  <c r="I29"/>
  <c r="J29"/>
  <c r="K29"/>
  <c r="L29"/>
  <c r="M29"/>
  <c r="N29"/>
  <c r="O29"/>
  <c r="P29"/>
  <c r="Q29"/>
  <c r="R29"/>
  <c r="S29"/>
  <c r="E33"/>
  <c r="F33"/>
  <c r="G33"/>
  <c r="H33"/>
  <c r="I33"/>
  <c r="J33"/>
  <c r="K33"/>
  <c r="L33"/>
  <c r="M33"/>
  <c r="N33"/>
  <c r="O33"/>
  <c r="P33"/>
  <c r="Q33"/>
  <c r="R33"/>
  <c r="S33"/>
  <c r="E35"/>
  <c r="F35"/>
  <c r="G35"/>
  <c r="H35"/>
  <c r="I35"/>
  <c r="J35"/>
  <c r="K35"/>
  <c r="L35"/>
  <c r="M35"/>
  <c r="N35"/>
  <c r="O35"/>
  <c r="P35"/>
  <c r="Q35"/>
  <c r="R35"/>
  <c r="S35"/>
  <c r="D37"/>
  <c r="E37"/>
  <c r="F37"/>
  <c r="G37"/>
  <c r="H37"/>
  <c r="I37"/>
  <c r="J37"/>
  <c r="K37"/>
  <c r="L37"/>
  <c r="M37"/>
  <c r="N37"/>
  <c r="O37"/>
  <c r="P37"/>
  <c r="Q37"/>
  <c r="R37"/>
  <c r="S37"/>
  <c r="D39"/>
  <c r="E39"/>
  <c r="F39"/>
  <c r="G39"/>
  <c r="H39"/>
  <c r="I39"/>
  <c r="J39"/>
  <c r="K39"/>
  <c r="L39"/>
  <c r="M39"/>
  <c r="N39"/>
  <c r="O39"/>
  <c r="P39"/>
  <c r="Q39"/>
  <c r="R39"/>
  <c r="S39"/>
  <c r="D41"/>
  <c r="E41"/>
  <c r="F41"/>
  <c r="G41"/>
  <c r="H41"/>
  <c r="I41"/>
  <c r="J41"/>
  <c r="K41"/>
  <c r="L41"/>
  <c r="M41"/>
  <c r="N41"/>
  <c r="O41"/>
  <c r="P41"/>
  <c r="Q41"/>
  <c r="R41"/>
  <c r="S41"/>
  <c r="D43"/>
  <c r="E43"/>
  <c r="F43"/>
  <c r="G43"/>
  <c r="H43"/>
  <c r="I43"/>
  <c r="J43"/>
  <c r="K43"/>
  <c r="L43"/>
  <c r="M43"/>
  <c r="N43"/>
  <c r="O43"/>
  <c r="P43"/>
  <c r="Q43"/>
  <c r="R43"/>
  <c r="S43"/>
  <c r="D35" l="1"/>
  <c r="D33"/>
  <c r="D29"/>
  <c r="D27"/>
  <c r="D25"/>
  <c r="D18"/>
  <c r="D14"/>
  <c r="D51"/>
  <c r="D55"/>
  <c r="D53"/>
  <c r="D49"/>
  <c r="D47"/>
  <c r="F9" i="42" l="1"/>
  <c r="F8"/>
  <c r="F7"/>
  <c r="F6"/>
  <c r="F5"/>
  <c r="H20" i="41" l="1"/>
  <c r="H19"/>
  <c r="H18"/>
  <c r="H17"/>
  <c r="H16"/>
  <c r="H15"/>
  <c r="H14"/>
  <c r="H13"/>
  <c r="H12"/>
  <c r="H11"/>
  <c r="H10"/>
  <c r="H9"/>
  <c r="H8"/>
  <c r="H7"/>
  <c r="H50" i="54"/>
  <c r="H47"/>
  <c r="H20" i="81"/>
  <c r="H19"/>
  <c r="H18"/>
  <c r="H17"/>
  <c r="H16"/>
  <c r="H15"/>
  <c r="H14"/>
  <c r="H13"/>
  <c r="H12"/>
  <c r="H11"/>
  <c r="H10"/>
  <c r="H9"/>
  <c r="H8"/>
  <c r="A21"/>
  <c r="A20"/>
  <c r="A19"/>
  <c r="A18"/>
  <c r="A17"/>
  <c r="A16"/>
  <c r="A15"/>
  <c r="A14"/>
  <c r="A13"/>
  <c r="A12"/>
  <c r="A11"/>
  <c r="A10"/>
  <c r="A9"/>
  <c r="A8"/>
  <c r="A7"/>
  <c r="O50" i="54" l="1"/>
  <c r="N50"/>
  <c r="F6" i="81"/>
  <c r="E50" i="54"/>
  <c r="H6" i="81"/>
  <c r="F8"/>
  <c r="F10"/>
  <c r="F12"/>
  <c r="F14"/>
  <c r="F16"/>
  <c r="F18"/>
  <c r="F20"/>
  <c r="F8" i="41"/>
  <c r="F10"/>
  <c r="F12"/>
  <c r="F14"/>
  <c r="F16"/>
  <c r="F18"/>
  <c r="F20"/>
  <c r="F65" i="54"/>
  <c r="F7" i="81"/>
  <c r="F9"/>
  <c r="F11"/>
  <c r="F13"/>
  <c r="F15"/>
  <c r="F17"/>
  <c r="F19"/>
  <c r="H7"/>
  <c r="F7" i="41"/>
  <c r="F9"/>
  <c r="F11"/>
  <c r="F13"/>
  <c r="F15"/>
  <c r="F17"/>
  <c r="F19"/>
  <c r="E8" i="81"/>
  <c r="E9"/>
  <c r="E10"/>
  <c r="E11"/>
  <c r="E12"/>
  <c r="E13"/>
  <c r="E14"/>
  <c r="E15"/>
  <c r="E16"/>
  <c r="E17"/>
  <c r="E18"/>
  <c r="E19"/>
  <c r="E20"/>
  <c r="C50" i="54"/>
  <c r="E65"/>
  <c r="F50"/>
  <c r="I50"/>
  <c r="E7" i="81"/>
  <c r="E6"/>
  <c r="F13" i="42" l="1"/>
  <c r="J15" i="68"/>
  <c r="G15" s="1"/>
  <c r="B15"/>
  <c r="L20"/>
  <c r="N28"/>
  <c r="N5"/>
  <c r="B7"/>
  <c r="I11"/>
  <c r="M17"/>
  <c r="M4"/>
  <c r="I3"/>
  <c r="F3" s="1"/>
  <c r="C3"/>
  <c r="I32" i="66"/>
  <c r="J22"/>
  <c r="G22" s="1"/>
  <c r="B22"/>
  <c r="I16"/>
  <c r="B12"/>
  <c r="B23"/>
  <c r="B21"/>
  <c r="B14"/>
  <c r="B10"/>
  <c r="B7"/>
  <c r="B11"/>
  <c r="B3"/>
  <c r="B17" i="64"/>
  <c r="I11"/>
  <c r="C20"/>
  <c r="B20"/>
  <c r="C7"/>
  <c r="I7"/>
  <c r="F7" s="1"/>
  <c r="C27"/>
  <c r="I27"/>
  <c r="F27" s="1"/>
  <c r="I4"/>
  <c r="I32"/>
  <c r="E13" i="42"/>
  <c r="I3" i="64"/>
  <c r="J29" i="62"/>
  <c r="G29" s="1"/>
  <c r="B29"/>
  <c r="J30"/>
  <c r="G30" s="1"/>
  <c r="B30"/>
  <c r="J28"/>
  <c r="I19"/>
  <c r="I16"/>
  <c r="I21"/>
  <c r="I20"/>
  <c r="I18"/>
  <c r="D29"/>
  <c r="D32"/>
  <c r="D30"/>
  <c r="D27"/>
  <c r="D28"/>
  <c r="D25"/>
  <c r="D19"/>
  <c r="D23"/>
  <c r="D26"/>
  <c r="D16"/>
  <c r="D24"/>
  <c r="D21"/>
  <c r="D12"/>
  <c r="D20"/>
  <c r="D15"/>
  <c r="D18"/>
  <c r="D22"/>
  <c r="D17"/>
  <c r="D14"/>
  <c r="D9"/>
  <c r="D13"/>
  <c r="D4"/>
  <c r="D31"/>
  <c r="D7"/>
  <c r="D8"/>
  <c r="D11"/>
  <c r="D10"/>
  <c r="D5"/>
  <c r="D6"/>
  <c r="D3"/>
  <c r="O16" i="58"/>
  <c r="O14"/>
  <c r="O10"/>
  <c r="O12"/>
  <c r="O7"/>
  <c r="O13"/>
  <c r="O8"/>
  <c r="O6"/>
  <c r="O9"/>
  <c r="O11"/>
  <c r="O15"/>
  <c r="O5"/>
  <c r="O4"/>
  <c r="O17"/>
  <c r="C52" i="54"/>
  <c r="C49"/>
  <c r="C51"/>
  <c r="C53"/>
  <c r="C46"/>
  <c r="C47"/>
  <c r="C44"/>
  <c r="C45"/>
  <c r="C48"/>
  <c r="C43"/>
  <c r="K71"/>
  <c r="J71"/>
  <c r="A71"/>
  <c r="A70"/>
  <c r="K69"/>
  <c r="J69"/>
  <c r="A69"/>
  <c r="K68"/>
  <c r="J68"/>
  <c r="A68"/>
  <c r="A67"/>
  <c r="A66"/>
  <c r="K65"/>
  <c r="J65"/>
  <c r="A65"/>
  <c r="A64"/>
  <c r="A63"/>
  <c r="A62"/>
  <c r="A61"/>
  <c r="A60"/>
  <c r="K59"/>
  <c r="J59"/>
  <c r="E59"/>
  <c r="A59"/>
  <c r="A58"/>
  <c r="E56"/>
  <c r="H52"/>
  <c r="I52"/>
  <c r="P53" s="1"/>
  <c r="F52"/>
  <c r="E52"/>
  <c r="H49"/>
  <c r="I49"/>
  <c r="P52" s="1"/>
  <c r="F49"/>
  <c r="H51"/>
  <c r="I51"/>
  <c r="P51" s="1"/>
  <c r="F51"/>
  <c r="H53"/>
  <c r="I53"/>
  <c r="P50" s="1"/>
  <c r="F53"/>
  <c r="H46"/>
  <c r="I46"/>
  <c r="I47"/>
  <c r="F47"/>
  <c r="H44"/>
  <c r="I44"/>
  <c r="P46" s="1"/>
  <c r="F44"/>
  <c r="H45"/>
  <c r="I45"/>
  <c r="P45" s="1"/>
  <c r="F45"/>
  <c r="H48"/>
  <c r="I48"/>
  <c r="P44" s="1"/>
  <c r="F48"/>
  <c r="I43"/>
  <c r="P43" s="1"/>
  <c r="F43"/>
  <c r="B3" i="25"/>
  <c r="C3"/>
  <c r="D3"/>
  <c r="I3"/>
  <c r="F3" s="1"/>
  <c r="J3"/>
  <c r="G3" s="1"/>
  <c r="L3"/>
  <c r="M3"/>
  <c r="N3"/>
  <c r="B16"/>
  <c r="C16"/>
  <c r="D16"/>
  <c r="I16"/>
  <c r="F16" s="1"/>
  <c r="J16"/>
  <c r="G16" s="1"/>
  <c r="L16"/>
  <c r="M16"/>
  <c r="N16"/>
  <c r="B6"/>
  <c r="C6"/>
  <c r="D6"/>
  <c r="I6"/>
  <c r="F6" s="1"/>
  <c r="J6"/>
  <c r="G6" s="1"/>
  <c r="L6"/>
  <c r="M6"/>
  <c r="N6"/>
  <c r="B8"/>
  <c r="C8"/>
  <c r="D8"/>
  <c r="I8"/>
  <c r="F8" s="1"/>
  <c r="J8"/>
  <c r="H8" s="1"/>
  <c r="L8"/>
  <c r="M8"/>
  <c r="N8"/>
  <c r="B4"/>
  <c r="C4"/>
  <c r="D4"/>
  <c r="I4"/>
  <c r="F4" s="1"/>
  <c r="J4"/>
  <c r="G4" s="1"/>
  <c r="L4"/>
  <c r="M4"/>
  <c r="N4"/>
  <c r="B9"/>
  <c r="C9"/>
  <c r="D9"/>
  <c r="I9"/>
  <c r="F9" s="1"/>
  <c r="J9"/>
  <c r="H9" s="1"/>
  <c r="L9"/>
  <c r="M9"/>
  <c r="N9"/>
  <c r="B23"/>
  <c r="C23"/>
  <c r="D23"/>
  <c r="I23"/>
  <c r="F23" s="1"/>
  <c r="J23"/>
  <c r="G23" s="1"/>
  <c r="L23"/>
  <c r="M23"/>
  <c r="N23"/>
  <c r="B13"/>
  <c r="C13"/>
  <c r="D13"/>
  <c r="I13"/>
  <c r="F13" s="1"/>
  <c r="J13"/>
  <c r="H13" s="1"/>
  <c r="L13"/>
  <c r="M13"/>
  <c r="N13"/>
  <c r="B10"/>
  <c r="C10"/>
  <c r="K10" s="1"/>
  <c r="D10"/>
  <c r="I10"/>
  <c r="F10" s="1"/>
  <c r="J10"/>
  <c r="G10" s="1"/>
  <c r="L10"/>
  <c r="M10"/>
  <c r="N10"/>
  <c r="B12"/>
  <c r="C12"/>
  <c r="D12"/>
  <c r="I12"/>
  <c r="F12" s="1"/>
  <c r="J12"/>
  <c r="H12" s="1"/>
  <c r="L12"/>
  <c r="M12"/>
  <c r="N12"/>
  <c r="B22"/>
  <c r="C22"/>
  <c r="D22"/>
  <c r="I22"/>
  <c r="F22" s="1"/>
  <c r="J22"/>
  <c r="G22" s="1"/>
  <c r="L22"/>
  <c r="M22"/>
  <c r="N22"/>
  <c r="B17"/>
  <c r="C17"/>
  <c r="D17"/>
  <c r="I17"/>
  <c r="F17" s="1"/>
  <c r="J17"/>
  <c r="H17" s="1"/>
  <c r="L17"/>
  <c r="M17"/>
  <c r="N17"/>
  <c r="B20"/>
  <c r="C20"/>
  <c r="K20" s="1"/>
  <c r="D20"/>
  <c r="I20"/>
  <c r="F20" s="1"/>
  <c r="J20"/>
  <c r="G20" s="1"/>
  <c r="L20"/>
  <c r="M20"/>
  <c r="N20"/>
  <c r="B5"/>
  <c r="C5"/>
  <c r="D5"/>
  <c r="I5"/>
  <c r="F5" s="1"/>
  <c r="J5"/>
  <c r="H5" s="1"/>
  <c r="L5"/>
  <c r="M5"/>
  <c r="N5"/>
  <c r="B15"/>
  <c r="C15"/>
  <c r="D15"/>
  <c r="I15"/>
  <c r="F15" s="1"/>
  <c r="J15"/>
  <c r="G15" s="1"/>
  <c r="L15"/>
  <c r="M15"/>
  <c r="N15"/>
  <c r="B21"/>
  <c r="C21"/>
  <c r="D21"/>
  <c r="I21"/>
  <c r="F21" s="1"/>
  <c r="J21"/>
  <c r="H21" s="1"/>
  <c r="L21"/>
  <c r="M21"/>
  <c r="N21"/>
  <c r="B18"/>
  <c r="C18"/>
  <c r="D18"/>
  <c r="I18"/>
  <c r="F18" s="1"/>
  <c r="J18"/>
  <c r="G18" s="1"/>
  <c r="L18"/>
  <c r="M18"/>
  <c r="N18"/>
  <c r="B19"/>
  <c r="C19"/>
  <c r="D19"/>
  <c r="I19"/>
  <c r="F19" s="1"/>
  <c r="J19"/>
  <c r="G19" s="1"/>
  <c r="L19"/>
  <c r="M19"/>
  <c r="N19"/>
  <c r="B11"/>
  <c r="C11"/>
  <c r="D11"/>
  <c r="I11"/>
  <c r="F11" s="1"/>
  <c r="J11"/>
  <c r="G11" s="1"/>
  <c r="L11"/>
  <c r="M11"/>
  <c r="N11"/>
  <c r="B24"/>
  <c r="C24"/>
  <c r="D24"/>
  <c r="I24"/>
  <c r="F24" s="1"/>
  <c r="J24"/>
  <c r="H24" s="1"/>
  <c r="L24"/>
  <c r="M24"/>
  <c r="N24"/>
  <c r="B14"/>
  <c r="C14"/>
  <c r="K14" s="1"/>
  <c r="D14"/>
  <c r="I14"/>
  <c r="F14" s="1"/>
  <c r="J14"/>
  <c r="G14" s="1"/>
  <c r="L14"/>
  <c r="M14"/>
  <c r="N14"/>
  <c r="E5" i="42"/>
  <c r="E6"/>
  <c r="E7"/>
  <c r="E8"/>
  <c r="E9"/>
  <c r="F10"/>
  <c r="A7" i="41"/>
  <c r="E7"/>
  <c r="A8"/>
  <c r="E8"/>
  <c r="A9"/>
  <c r="E9"/>
  <c r="A10"/>
  <c r="E10"/>
  <c r="A11"/>
  <c r="E11"/>
  <c r="A12"/>
  <c r="E12"/>
  <c r="A13"/>
  <c r="E13"/>
  <c r="A14"/>
  <c r="E14"/>
  <c r="A15"/>
  <c r="E15"/>
  <c r="A16"/>
  <c r="E16"/>
  <c r="A17"/>
  <c r="E17"/>
  <c r="A18"/>
  <c r="E18"/>
  <c r="A19"/>
  <c r="E19"/>
  <c r="A20"/>
  <c r="E20"/>
  <c r="A21"/>
  <c r="E61" i="54"/>
  <c r="E63"/>
  <c r="E66"/>
  <c r="F70"/>
  <c r="K70" s="1"/>
  <c r="Q44"/>
  <c r="Q45"/>
  <c r="Q46"/>
  <c r="Q50"/>
  <c r="Q51"/>
  <c r="Q52"/>
  <c r="E48"/>
  <c r="E45"/>
  <c r="E44"/>
  <c r="E46"/>
  <c r="E53"/>
  <c r="E51"/>
  <c r="E49"/>
  <c r="H15" i="25"/>
  <c r="E16"/>
  <c r="H14"/>
  <c r="H20"/>
  <c r="H10"/>
  <c r="H4"/>
  <c r="G24"/>
  <c r="G21"/>
  <c r="G5"/>
  <c r="G17"/>
  <c r="G12"/>
  <c r="G13"/>
  <c r="G9"/>
  <c r="G8"/>
  <c r="H16"/>
  <c r="N53" i="54" l="1"/>
  <c r="O53"/>
  <c r="P48"/>
  <c r="O48"/>
  <c r="N48"/>
  <c r="O51"/>
  <c r="N51"/>
  <c r="Q48"/>
  <c r="N45"/>
  <c r="O45"/>
  <c r="O52"/>
  <c r="N52"/>
  <c r="O44"/>
  <c r="O46"/>
  <c r="N46"/>
  <c r="B3" i="68"/>
  <c r="B4"/>
  <c r="J4"/>
  <c r="G4" s="1"/>
  <c r="I7"/>
  <c r="F7" s="1"/>
  <c r="C7"/>
  <c r="B5"/>
  <c r="I20"/>
  <c r="B8"/>
  <c r="C8"/>
  <c r="I18"/>
  <c r="I9"/>
  <c r="F9" s="1"/>
  <c r="C9"/>
  <c r="B21"/>
  <c r="I24"/>
  <c r="B13"/>
  <c r="C13"/>
  <c r="B16"/>
  <c r="J16"/>
  <c r="G16" s="1"/>
  <c r="I29"/>
  <c r="B23"/>
  <c r="C23"/>
  <c r="B12"/>
  <c r="J12"/>
  <c r="G12" s="1"/>
  <c r="N19"/>
  <c r="I22"/>
  <c r="B27"/>
  <c r="C27"/>
  <c r="B25"/>
  <c r="J25"/>
  <c r="G25" s="1"/>
  <c r="I6"/>
  <c r="E6" s="1"/>
  <c r="K4" i="25"/>
  <c r="I15" i="58"/>
  <c r="E15" s="1"/>
  <c r="J15"/>
  <c r="G15" s="1"/>
  <c r="I6"/>
  <c r="E6" s="1"/>
  <c r="I13"/>
  <c r="E13" s="1"/>
  <c r="I14"/>
  <c r="F14" s="1"/>
  <c r="M12" i="68"/>
  <c r="M22" i="62"/>
  <c r="M15"/>
  <c r="M12"/>
  <c r="M24"/>
  <c r="M23"/>
  <c r="N25"/>
  <c r="M22" i="64"/>
  <c r="M28"/>
  <c r="M6"/>
  <c r="M5"/>
  <c r="M21"/>
  <c r="M8"/>
  <c r="M23"/>
  <c r="M12"/>
  <c r="N15"/>
  <c r="N5" i="66"/>
  <c r="N6"/>
  <c r="N4"/>
  <c r="N8"/>
  <c r="N9"/>
  <c r="N18"/>
  <c r="N20"/>
  <c r="M15" i="68"/>
  <c r="M14"/>
  <c r="N10"/>
  <c r="M30"/>
  <c r="N31"/>
  <c r="K20" i="64"/>
  <c r="E8" i="25"/>
  <c r="E13"/>
  <c r="E17"/>
  <c r="E24"/>
  <c r="E9"/>
  <c r="E10" i="42"/>
  <c r="K16" i="25"/>
  <c r="K3"/>
  <c r="E60" i="54"/>
  <c r="E62"/>
  <c r="E64"/>
  <c r="F67"/>
  <c r="K67" s="1"/>
  <c r="I27" i="60"/>
  <c r="F27" s="1"/>
  <c r="C27"/>
  <c r="B5"/>
  <c r="J5"/>
  <c r="G5" s="1"/>
  <c r="M30"/>
  <c r="N6"/>
  <c r="I10"/>
  <c r="F10" s="1"/>
  <c r="C10"/>
  <c r="I13"/>
  <c r="B19"/>
  <c r="N12"/>
  <c r="I24"/>
  <c r="I18"/>
  <c r="I15"/>
  <c r="I28"/>
  <c r="B32"/>
  <c r="C23" i="62"/>
  <c r="I3"/>
  <c r="F3" s="1"/>
  <c r="B6"/>
  <c r="J6"/>
  <c r="G6" s="1"/>
  <c r="I5"/>
  <c r="B10"/>
  <c r="J10"/>
  <c r="G10" s="1"/>
  <c r="I11"/>
  <c r="B8"/>
  <c r="I31"/>
  <c r="I14"/>
  <c r="J22"/>
  <c r="G22" s="1"/>
  <c r="B15"/>
  <c r="J15"/>
  <c r="G15" s="1"/>
  <c r="B12"/>
  <c r="J12"/>
  <c r="G12" s="1"/>
  <c r="B24"/>
  <c r="J24"/>
  <c r="G24" s="1"/>
  <c r="B26"/>
  <c r="I27"/>
  <c r="E27" s="1"/>
  <c r="I32"/>
  <c r="I8" i="68"/>
  <c r="F8" s="1"/>
  <c r="B9"/>
  <c r="I21"/>
  <c r="C30"/>
  <c r="N11" i="58"/>
  <c r="N6"/>
  <c r="N13"/>
  <c r="N14"/>
  <c r="M13" i="66"/>
  <c r="N4" i="68"/>
  <c r="N17"/>
  <c r="L11"/>
  <c r="M5"/>
  <c r="M28"/>
  <c r="N15"/>
  <c r="N14"/>
  <c r="L18"/>
  <c r="L21"/>
  <c r="M10"/>
  <c r="M16"/>
  <c r="N26"/>
  <c r="M25"/>
  <c r="N30"/>
  <c r="M31"/>
  <c r="K13"/>
  <c r="K27"/>
  <c r="L4" i="60"/>
  <c r="M26"/>
  <c r="M9"/>
  <c r="N17"/>
  <c r="M22"/>
  <c r="M29"/>
  <c r="H3" i="25"/>
  <c r="E12"/>
  <c r="Q53" i="54"/>
  <c r="Q43"/>
  <c r="K15" i="25"/>
  <c r="K22"/>
  <c r="K23"/>
  <c r="K6"/>
  <c r="M5" i="60"/>
  <c r="C13" i="66"/>
  <c r="I3"/>
  <c r="F3" s="1"/>
  <c r="B5"/>
  <c r="I11"/>
  <c r="F11" s="1"/>
  <c r="B6"/>
  <c r="I7"/>
  <c r="F7" s="1"/>
  <c r="B4"/>
  <c r="I10"/>
  <c r="F10" s="1"/>
  <c r="B8"/>
  <c r="I14"/>
  <c r="F14" s="1"/>
  <c r="B9"/>
  <c r="I21"/>
  <c r="F21" s="1"/>
  <c r="B18"/>
  <c r="I23"/>
  <c r="F23" s="1"/>
  <c r="B20"/>
  <c r="I12"/>
  <c r="F12" s="1"/>
  <c r="B16"/>
  <c r="B15"/>
  <c r="K15" s="1"/>
  <c r="C15"/>
  <c r="I24"/>
  <c r="E24" s="1"/>
  <c r="B26"/>
  <c r="C26"/>
  <c r="B29"/>
  <c r="J29"/>
  <c r="G29" s="1"/>
  <c r="N19"/>
  <c r="I28"/>
  <c r="E28" s="1"/>
  <c r="B17"/>
  <c r="C17"/>
  <c r="B30"/>
  <c r="I31"/>
  <c r="E31" s="1"/>
  <c r="J5" i="68"/>
  <c r="G5" s="1"/>
  <c r="C10"/>
  <c r="C31"/>
  <c r="L31" i="60"/>
  <c r="M21"/>
  <c r="M14"/>
  <c r="H6" i="41"/>
  <c r="F6"/>
  <c r="E6"/>
  <c r="M3" i="60"/>
  <c r="M5" i="66"/>
  <c r="M6"/>
  <c r="M4"/>
  <c r="M8"/>
  <c r="M9"/>
  <c r="M18"/>
  <c r="M20"/>
  <c r="L16"/>
  <c r="M22"/>
  <c r="N25"/>
  <c r="M30"/>
  <c r="N27"/>
  <c r="N13"/>
  <c r="L32"/>
  <c r="H18" i="25"/>
  <c r="H6"/>
  <c r="H23"/>
  <c r="H22"/>
  <c r="E19"/>
  <c r="K11"/>
  <c r="K19"/>
  <c r="E18"/>
  <c r="K18"/>
  <c r="E20"/>
  <c r="K17"/>
  <c r="K9"/>
  <c r="E4"/>
  <c r="K8"/>
  <c r="N3" i="60"/>
  <c r="B24"/>
  <c r="B22" i="64"/>
  <c r="J22"/>
  <c r="G22" s="1"/>
  <c r="B28"/>
  <c r="J28"/>
  <c r="G28" s="1"/>
  <c r="B6"/>
  <c r="J6"/>
  <c r="G6" s="1"/>
  <c r="I18"/>
  <c r="M29" i="66"/>
  <c r="J30"/>
  <c r="G30" s="1"/>
  <c r="I4" i="68"/>
  <c r="B17"/>
  <c r="C17"/>
  <c r="B11"/>
  <c r="I5"/>
  <c r="B28"/>
  <c r="C28"/>
  <c r="B20"/>
  <c r="I15"/>
  <c r="B14"/>
  <c r="C14"/>
  <c r="B18"/>
  <c r="B10"/>
  <c r="B24"/>
  <c r="I16"/>
  <c r="B26"/>
  <c r="C26"/>
  <c r="B29"/>
  <c r="I12"/>
  <c r="B19"/>
  <c r="C19"/>
  <c r="B22"/>
  <c r="I25"/>
  <c r="B6"/>
  <c r="B30"/>
  <c r="B31"/>
  <c r="J70" i="54"/>
  <c r="E70"/>
  <c r="F66"/>
  <c r="K66" s="1"/>
  <c r="F63"/>
  <c r="J63" s="1"/>
  <c r="F58"/>
  <c r="K58" s="1"/>
  <c r="F61"/>
  <c r="K61" s="1"/>
  <c r="E67"/>
  <c r="J67"/>
  <c r="J58"/>
  <c r="J61"/>
  <c r="J66"/>
  <c r="F60"/>
  <c r="F62"/>
  <c r="F64"/>
  <c r="E5" i="25"/>
  <c r="M7" i="62"/>
  <c r="N4"/>
  <c r="L13"/>
  <c r="I4" i="60"/>
  <c r="B27"/>
  <c r="N5"/>
  <c r="N30"/>
  <c r="M6"/>
  <c r="B25"/>
  <c r="N16"/>
  <c r="B8"/>
  <c r="N20"/>
  <c r="N7"/>
  <c r="L23"/>
  <c r="B26"/>
  <c r="J26"/>
  <c r="G26" s="1"/>
  <c r="I11"/>
  <c r="F11" s="1"/>
  <c r="C11"/>
  <c r="H19" i="25"/>
  <c r="E21"/>
  <c r="E14"/>
  <c r="E10"/>
  <c r="K12"/>
  <c r="H11"/>
  <c r="K5"/>
  <c r="K24"/>
  <c r="K21"/>
  <c r="K13"/>
  <c r="E3"/>
  <c r="L8" i="62"/>
  <c r="M9"/>
  <c r="M28"/>
  <c r="N17"/>
  <c r="L26"/>
  <c r="M30"/>
  <c r="M29"/>
  <c r="J6" i="60"/>
  <c r="G6" s="1"/>
  <c r="B3"/>
  <c r="C3"/>
  <c r="B4"/>
  <c r="I5"/>
  <c r="B30"/>
  <c r="C30"/>
  <c r="I6"/>
  <c r="I25"/>
  <c r="E25" s="1"/>
  <c r="I16"/>
  <c r="I8"/>
  <c r="I20"/>
  <c r="C7"/>
  <c r="B23"/>
  <c r="B10"/>
  <c r="I26"/>
  <c r="C9"/>
  <c r="B13"/>
  <c r="I19"/>
  <c r="F19" s="1"/>
  <c r="I17"/>
  <c r="C12"/>
  <c r="B31"/>
  <c r="B11"/>
  <c r="B18"/>
  <c r="B15"/>
  <c r="B28"/>
  <c r="I32"/>
  <c r="F32" s="1"/>
  <c r="M6" i="62"/>
  <c r="M10"/>
  <c r="C7"/>
  <c r="B3" i="64"/>
  <c r="N22"/>
  <c r="B32"/>
  <c r="N28"/>
  <c r="B4"/>
  <c r="N6"/>
  <c r="N5"/>
  <c r="I29"/>
  <c r="L29"/>
  <c r="B27"/>
  <c r="B21"/>
  <c r="J21"/>
  <c r="G21" s="1"/>
  <c r="I10"/>
  <c r="B7"/>
  <c r="I9"/>
  <c r="J9"/>
  <c r="G9" s="1"/>
  <c r="B23"/>
  <c r="J23"/>
  <c r="G23" s="1"/>
  <c r="I17"/>
  <c r="F17" s="1"/>
  <c r="C17"/>
  <c r="B15"/>
  <c r="I16"/>
  <c r="B19"/>
  <c r="C19"/>
  <c r="B13"/>
  <c r="J13"/>
  <c r="G13" s="1"/>
  <c r="N14"/>
  <c r="I25"/>
  <c r="B24"/>
  <c r="C24"/>
  <c r="B26"/>
  <c r="J26"/>
  <c r="G26" s="1"/>
  <c r="J5" i="66"/>
  <c r="G5" s="1"/>
  <c r="J6"/>
  <c r="G6" s="1"/>
  <c r="J4"/>
  <c r="G4" s="1"/>
  <c r="J8"/>
  <c r="G8" s="1"/>
  <c r="J9"/>
  <c r="G9" s="1"/>
  <c r="J18"/>
  <c r="G18" s="1"/>
  <c r="J20"/>
  <c r="G20" s="1"/>
  <c r="I5"/>
  <c r="F5" s="1"/>
  <c r="I6"/>
  <c r="E6" s="1"/>
  <c r="I4"/>
  <c r="I8"/>
  <c r="E8" s="1"/>
  <c r="I9"/>
  <c r="I18"/>
  <c r="E18" s="1"/>
  <c r="I20"/>
  <c r="I22"/>
  <c r="F22" s="1"/>
  <c r="B25"/>
  <c r="C25"/>
  <c r="B24"/>
  <c r="I29"/>
  <c r="F29" s="1"/>
  <c r="B19"/>
  <c r="C19"/>
  <c r="B28"/>
  <c r="I30"/>
  <c r="F30" s="1"/>
  <c r="B27"/>
  <c r="C27"/>
  <c r="B31"/>
  <c r="B32"/>
  <c r="N3" i="68"/>
  <c r="L4"/>
  <c r="M11"/>
  <c r="N7"/>
  <c r="L5"/>
  <c r="M20"/>
  <c r="N8"/>
  <c r="L15"/>
  <c r="M18"/>
  <c r="N9"/>
  <c r="M21"/>
  <c r="M24"/>
  <c r="N13"/>
  <c r="M29"/>
  <c r="N23"/>
  <c r="M22"/>
  <c r="N27"/>
  <c r="M6"/>
  <c r="N3" i="66"/>
  <c r="M3"/>
  <c r="C3"/>
  <c r="K3" s="1"/>
  <c r="N11"/>
  <c r="M11"/>
  <c r="C11"/>
  <c r="K11" s="1"/>
  <c r="N7"/>
  <c r="M7"/>
  <c r="C7"/>
  <c r="N10"/>
  <c r="M10"/>
  <c r="C10"/>
  <c r="N14"/>
  <c r="M14"/>
  <c r="C14"/>
  <c r="N21"/>
  <c r="M21"/>
  <c r="C21"/>
  <c r="K21" s="1"/>
  <c r="N23"/>
  <c r="M23"/>
  <c r="C23"/>
  <c r="K23" s="1"/>
  <c r="N12"/>
  <c r="M12"/>
  <c r="C12"/>
  <c r="K12" s="1"/>
  <c r="M16"/>
  <c r="N16"/>
  <c r="J16"/>
  <c r="M24"/>
  <c r="J24"/>
  <c r="G24" s="1"/>
  <c r="M28"/>
  <c r="J28"/>
  <c r="G28" s="1"/>
  <c r="M31"/>
  <c r="J31"/>
  <c r="G31" s="1"/>
  <c r="B13"/>
  <c r="K13" s="1"/>
  <c r="I13"/>
  <c r="M32"/>
  <c r="N32"/>
  <c r="J32"/>
  <c r="G32" s="1"/>
  <c r="N3" i="58"/>
  <c r="N17"/>
  <c r="C9" i="62"/>
  <c r="B3"/>
  <c r="N6"/>
  <c r="B5"/>
  <c r="N10"/>
  <c r="B11"/>
  <c r="I8"/>
  <c r="N7"/>
  <c r="L31"/>
  <c r="M4"/>
  <c r="I13"/>
  <c r="N9"/>
  <c r="L14"/>
  <c r="M17"/>
  <c r="N22"/>
  <c r="B18"/>
  <c r="N15"/>
  <c r="B20"/>
  <c r="N12"/>
  <c r="B21"/>
  <c r="N24"/>
  <c r="B16"/>
  <c r="I26"/>
  <c r="F26" s="1"/>
  <c r="N23"/>
  <c r="L19"/>
  <c r="M25"/>
  <c r="N28"/>
  <c r="B27"/>
  <c r="N30"/>
  <c r="B32"/>
  <c r="N29"/>
  <c r="B9" i="64"/>
  <c r="M13"/>
  <c r="L5" i="66"/>
  <c r="L6"/>
  <c r="L4"/>
  <c r="L8"/>
  <c r="L9"/>
  <c r="L18"/>
  <c r="L20"/>
  <c r="N15"/>
  <c r="K25"/>
  <c r="N26"/>
  <c r="K19"/>
  <c r="N17"/>
  <c r="K27"/>
  <c r="M15" i="64"/>
  <c r="J15"/>
  <c r="G15" s="1"/>
  <c r="E3" i="66"/>
  <c r="E11"/>
  <c r="E7"/>
  <c r="E10"/>
  <c r="E14"/>
  <c r="E21"/>
  <c r="E23"/>
  <c r="E12"/>
  <c r="N21" i="64"/>
  <c r="N8"/>
  <c r="N12"/>
  <c r="L11"/>
  <c r="N30"/>
  <c r="M26"/>
  <c r="N31"/>
  <c r="L18"/>
  <c r="K19" i="68"/>
  <c r="I22" i="64"/>
  <c r="I28"/>
  <c r="I6"/>
  <c r="B5"/>
  <c r="C5"/>
  <c r="B29"/>
  <c r="I21"/>
  <c r="B8"/>
  <c r="C8"/>
  <c r="B10"/>
  <c r="I23"/>
  <c r="B12"/>
  <c r="C12"/>
  <c r="B11"/>
  <c r="I15"/>
  <c r="B30"/>
  <c r="C30"/>
  <c r="B16"/>
  <c r="I13"/>
  <c r="B14"/>
  <c r="C14"/>
  <c r="B25"/>
  <c r="I26"/>
  <c r="B31"/>
  <c r="C31"/>
  <c r="B18"/>
  <c r="M3" i="68"/>
  <c r="I17"/>
  <c r="F17" s="1"/>
  <c r="J11"/>
  <c r="G11" s="1"/>
  <c r="N11"/>
  <c r="M7"/>
  <c r="I28"/>
  <c r="F28" s="1"/>
  <c r="J20"/>
  <c r="G20" s="1"/>
  <c r="N20"/>
  <c r="M8"/>
  <c r="I14"/>
  <c r="F14" s="1"/>
  <c r="J18"/>
  <c r="G18" s="1"/>
  <c r="N18"/>
  <c r="M9"/>
  <c r="J21"/>
  <c r="N21"/>
  <c r="I10"/>
  <c r="J24"/>
  <c r="G24" s="1"/>
  <c r="J29"/>
  <c r="G29" s="1"/>
  <c r="J22"/>
  <c r="G22" s="1"/>
  <c r="J6"/>
  <c r="G6" s="1"/>
  <c r="I30"/>
  <c r="I31"/>
  <c r="C4" i="62"/>
  <c r="C17"/>
  <c r="C25"/>
  <c r="I6"/>
  <c r="E6" s="1"/>
  <c r="I10"/>
  <c r="E10" s="1"/>
  <c r="B31"/>
  <c r="B13"/>
  <c r="B14"/>
  <c r="I15"/>
  <c r="E15" s="1"/>
  <c r="I12"/>
  <c r="F12" s="1"/>
  <c r="I24"/>
  <c r="E24" s="1"/>
  <c r="B19"/>
  <c r="I30"/>
  <c r="E30" s="1"/>
  <c r="I29"/>
  <c r="F29" s="1"/>
  <c r="B3" i="58"/>
  <c r="C4"/>
  <c r="N5"/>
  <c r="C15"/>
  <c r="C9"/>
  <c r="B6"/>
  <c r="C8"/>
  <c r="B13"/>
  <c r="C7"/>
  <c r="N12"/>
  <c r="I10"/>
  <c r="E10" s="1"/>
  <c r="B14"/>
  <c r="M4" i="60"/>
  <c r="N27"/>
  <c r="L5"/>
  <c r="L6"/>
  <c r="N21"/>
  <c r="N22"/>
  <c r="N29"/>
  <c r="N14"/>
  <c r="N3" i="64"/>
  <c r="L22"/>
  <c r="N32"/>
  <c r="L28"/>
  <c r="N4"/>
  <c r="L6"/>
  <c r="M29"/>
  <c r="N27"/>
  <c r="L21"/>
  <c r="M10"/>
  <c r="N7"/>
  <c r="M9"/>
  <c r="N20"/>
  <c r="M11"/>
  <c r="N17"/>
  <c r="L15"/>
  <c r="M16"/>
  <c r="N19"/>
  <c r="M25"/>
  <c r="N24"/>
  <c r="M18"/>
  <c r="J10" i="58"/>
  <c r="C10"/>
  <c r="I16"/>
  <c r="B16"/>
  <c r="H6" i="60"/>
  <c r="F8"/>
  <c r="E8"/>
  <c r="E32"/>
  <c r="E11" i="25"/>
  <c r="E15"/>
  <c r="E22"/>
  <c r="E23"/>
  <c r="E6"/>
  <c r="M3" i="58"/>
  <c r="N16"/>
  <c r="I3"/>
  <c r="F3" s="1"/>
  <c r="J4"/>
  <c r="G4" s="1"/>
  <c r="N4"/>
  <c r="J9"/>
  <c r="G9" s="1"/>
  <c r="N9"/>
  <c r="J8"/>
  <c r="G8" s="1"/>
  <c r="N8"/>
  <c r="J7"/>
  <c r="G7" s="1"/>
  <c r="N7"/>
  <c r="N10"/>
  <c r="C16"/>
  <c r="J16"/>
  <c r="N25" i="60"/>
  <c r="M25"/>
  <c r="N8"/>
  <c r="M8"/>
  <c r="C8"/>
  <c r="K8" s="1"/>
  <c r="B7"/>
  <c r="I7"/>
  <c r="F7" s="1"/>
  <c r="M23"/>
  <c r="N23"/>
  <c r="J23"/>
  <c r="G23" s="1"/>
  <c r="N10"/>
  <c r="M10"/>
  <c r="B9"/>
  <c r="I9"/>
  <c r="F9" s="1"/>
  <c r="M13"/>
  <c r="N13"/>
  <c r="J13"/>
  <c r="G13" s="1"/>
  <c r="N19"/>
  <c r="M19"/>
  <c r="B12"/>
  <c r="I12"/>
  <c r="F12" s="1"/>
  <c r="M31"/>
  <c r="N31"/>
  <c r="J31"/>
  <c r="G31" s="1"/>
  <c r="N11"/>
  <c r="M11"/>
  <c r="M24"/>
  <c r="N24"/>
  <c r="J24"/>
  <c r="B21"/>
  <c r="I21"/>
  <c r="M18"/>
  <c r="N18"/>
  <c r="J18"/>
  <c r="G18" s="1"/>
  <c r="B22"/>
  <c r="I22"/>
  <c r="M15"/>
  <c r="N15"/>
  <c r="J15"/>
  <c r="G15" s="1"/>
  <c r="B29"/>
  <c r="I29"/>
  <c r="M28"/>
  <c r="N28"/>
  <c r="J28"/>
  <c r="G28" s="1"/>
  <c r="B14"/>
  <c r="I14"/>
  <c r="N32"/>
  <c r="M32"/>
  <c r="C32"/>
  <c r="K32" s="1"/>
  <c r="F5" i="62"/>
  <c r="E5"/>
  <c r="F11"/>
  <c r="E11"/>
  <c r="G28"/>
  <c r="H28"/>
  <c r="F27"/>
  <c r="F32"/>
  <c r="E32"/>
  <c r="L16" i="60"/>
  <c r="L20"/>
  <c r="L26"/>
  <c r="L17"/>
  <c r="K30" i="64"/>
  <c r="H22" i="62"/>
  <c r="F18"/>
  <c r="E18"/>
  <c r="F20"/>
  <c r="E20"/>
  <c r="F21"/>
  <c r="E21"/>
  <c r="F16"/>
  <c r="E16"/>
  <c r="N3"/>
  <c r="M3"/>
  <c r="C3"/>
  <c r="K3" s="1"/>
  <c r="N5"/>
  <c r="M5"/>
  <c r="C5"/>
  <c r="K5" s="1"/>
  <c r="N11"/>
  <c r="M11"/>
  <c r="C11"/>
  <c r="K11" s="1"/>
  <c r="M8"/>
  <c r="N8"/>
  <c r="J8"/>
  <c r="B7"/>
  <c r="K7" s="1"/>
  <c r="I7"/>
  <c r="M31"/>
  <c r="N31"/>
  <c r="J31"/>
  <c r="G31" s="1"/>
  <c r="B4"/>
  <c r="I4"/>
  <c r="M13"/>
  <c r="N13"/>
  <c r="J13"/>
  <c r="G13" s="1"/>
  <c r="B9"/>
  <c r="K9" s="1"/>
  <c r="I9"/>
  <c r="M14"/>
  <c r="N14"/>
  <c r="J14"/>
  <c r="G14" s="1"/>
  <c r="B17"/>
  <c r="I17"/>
  <c r="I22"/>
  <c r="E22" s="1"/>
  <c r="B22"/>
  <c r="N18"/>
  <c r="M18"/>
  <c r="C18"/>
  <c r="K18" s="1"/>
  <c r="N20"/>
  <c r="M20"/>
  <c r="C20"/>
  <c r="K20" s="1"/>
  <c r="N21"/>
  <c r="M21"/>
  <c r="C21"/>
  <c r="N16"/>
  <c r="M16"/>
  <c r="C16"/>
  <c r="K16" s="1"/>
  <c r="M26"/>
  <c r="N26"/>
  <c r="J26"/>
  <c r="B23"/>
  <c r="K23" s="1"/>
  <c r="I23"/>
  <c r="M19"/>
  <c r="N19"/>
  <c r="J19"/>
  <c r="G19" s="1"/>
  <c r="B25"/>
  <c r="K25" s="1"/>
  <c r="I25"/>
  <c r="I28"/>
  <c r="E28" s="1"/>
  <c r="B28"/>
  <c r="N27"/>
  <c r="M27"/>
  <c r="C27"/>
  <c r="K27" s="1"/>
  <c r="N32"/>
  <c r="M32"/>
  <c r="C32"/>
  <c r="K32" s="1"/>
  <c r="F3" i="64"/>
  <c r="E3"/>
  <c r="F32"/>
  <c r="E32"/>
  <c r="F4"/>
  <c r="E4"/>
  <c r="L16" i="58"/>
  <c r="M10"/>
  <c r="I3" i="60"/>
  <c r="F3" s="1"/>
  <c r="J4"/>
  <c r="G4" s="1"/>
  <c r="N4"/>
  <c r="M27"/>
  <c r="I30"/>
  <c r="F30" s="1"/>
  <c r="B6"/>
  <c r="C25"/>
  <c r="K25" s="1"/>
  <c r="B16"/>
  <c r="J16"/>
  <c r="G16" s="1"/>
  <c r="M16"/>
  <c r="B20"/>
  <c r="J20"/>
  <c r="G20" s="1"/>
  <c r="M20"/>
  <c r="M7"/>
  <c r="I23"/>
  <c r="F23" s="1"/>
  <c r="N26"/>
  <c r="N9"/>
  <c r="L13"/>
  <c r="C19"/>
  <c r="K19" s="1"/>
  <c r="B17"/>
  <c r="J17"/>
  <c r="G17" s="1"/>
  <c r="M17"/>
  <c r="M12"/>
  <c r="I31"/>
  <c r="E31" s="1"/>
  <c r="L24"/>
  <c r="C21"/>
  <c r="K21" s="1"/>
  <c r="L18"/>
  <c r="C22"/>
  <c r="L15"/>
  <c r="C29"/>
  <c r="L28"/>
  <c r="C14"/>
  <c r="L6" i="62"/>
  <c r="L10"/>
  <c r="L22"/>
  <c r="L15"/>
  <c r="L12"/>
  <c r="L24"/>
  <c r="L28"/>
  <c r="L30"/>
  <c r="L29"/>
  <c r="C3" i="64"/>
  <c r="K3" s="1"/>
  <c r="M3"/>
  <c r="C32"/>
  <c r="K32" s="1"/>
  <c r="M32"/>
  <c r="C4"/>
  <c r="K4" s="1"/>
  <c r="M4"/>
  <c r="I5"/>
  <c r="F5" s="1"/>
  <c r="J29"/>
  <c r="G29" s="1"/>
  <c r="N29"/>
  <c r="M27"/>
  <c r="I8"/>
  <c r="F8" s="1"/>
  <c r="J10"/>
  <c r="G10" s="1"/>
  <c r="M7"/>
  <c r="L9"/>
  <c r="I12"/>
  <c r="F12" s="1"/>
  <c r="J11"/>
  <c r="G11" s="1"/>
  <c r="N11"/>
  <c r="M17"/>
  <c r="J16"/>
  <c r="G16" s="1"/>
  <c r="J25"/>
  <c r="G25" s="1"/>
  <c r="J18"/>
  <c r="G18" s="1"/>
  <c r="N18"/>
  <c r="H8" i="66"/>
  <c r="H6" i="64"/>
  <c r="K27"/>
  <c r="E27"/>
  <c r="M17" i="58"/>
  <c r="M4"/>
  <c r="M5"/>
  <c r="M15"/>
  <c r="M11"/>
  <c r="M9"/>
  <c r="M8"/>
  <c r="M13"/>
  <c r="M7"/>
  <c r="M12"/>
  <c r="E27" i="60"/>
  <c r="K30"/>
  <c r="E7"/>
  <c r="H26"/>
  <c r="E9"/>
  <c r="E12"/>
  <c r="H6" i="62"/>
  <c r="H12"/>
  <c r="H22" i="64"/>
  <c r="H21"/>
  <c r="E7"/>
  <c r="E17"/>
  <c r="H6" i="66"/>
  <c r="H18"/>
  <c r="H4" i="68"/>
  <c r="E17"/>
  <c r="E28"/>
  <c r="H15"/>
  <c r="E14"/>
  <c r="K3"/>
  <c r="E3"/>
  <c r="H11"/>
  <c r="K7"/>
  <c r="E7"/>
  <c r="H20"/>
  <c r="K8"/>
  <c r="E8"/>
  <c r="K9"/>
  <c r="E9"/>
  <c r="E4"/>
  <c r="F4"/>
  <c r="E11"/>
  <c r="F11"/>
  <c r="E20"/>
  <c r="F20"/>
  <c r="E18"/>
  <c r="F18"/>
  <c r="E16"/>
  <c r="F16"/>
  <c r="E12"/>
  <c r="F12"/>
  <c r="E25"/>
  <c r="F25"/>
  <c r="K17"/>
  <c r="K14"/>
  <c r="K10"/>
  <c r="K30"/>
  <c r="E5"/>
  <c r="F5"/>
  <c r="E15"/>
  <c r="F15"/>
  <c r="E21"/>
  <c r="F21"/>
  <c r="E24"/>
  <c r="F24"/>
  <c r="E29"/>
  <c r="F29"/>
  <c r="E22"/>
  <c r="F22"/>
  <c r="F6"/>
  <c r="H24"/>
  <c r="L16"/>
  <c r="N16"/>
  <c r="I26"/>
  <c r="M26"/>
  <c r="I23"/>
  <c r="M23"/>
  <c r="H12"/>
  <c r="L22"/>
  <c r="N22"/>
  <c r="I27"/>
  <c r="M27"/>
  <c r="H25"/>
  <c r="L6"/>
  <c r="N6"/>
  <c r="L24"/>
  <c r="N24"/>
  <c r="I13"/>
  <c r="M13"/>
  <c r="H16"/>
  <c r="L29"/>
  <c r="N29"/>
  <c r="L12"/>
  <c r="N12"/>
  <c r="I19"/>
  <c r="M19"/>
  <c r="H22"/>
  <c r="L25"/>
  <c r="N25"/>
  <c r="J3"/>
  <c r="L3"/>
  <c r="C4"/>
  <c r="K4" s="1"/>
  <c r="J17"/>
  <c r="L17"/>
  <c r="C11"/>
  <c r="J7"/>
  <c r="L7"/>
  <c r="C5"/>
  <c r="K5" s="1"/>
  <c r="J28"/>
  <c r="L28"/>
  <c r="C20"/>
  <c r="J8"/>
  <c r="L8"/>
  <c r="C15"/>
  <c r="K15" s="1"/>
  <c r="J14"/>
  <c r="L14"/>
  <c r="C18"/>
  <c r="J9"/>
  <c r="L9"/>
  <c r="C21"/>
  <c r="K21" s="1"/>
  <c r="J10"/>
  <c r="L10"/>
  <c r="C24"/>
  <c r="J13"/>
  <c r="L13"/>
  <c r="C16"/>
  <c r="K16" s="1"/>
  <c r="J26"/>
  <c r="L26"/>
  <c r="C29"/>
  <c r="J23"/>
  <c r="L23"/>
  <c r="C12"/>
  <c r="K12" s="1"/>
  <c r="J19"/>
  <c r="L19"/>
  <c r="C22"/>
  <c r="J27"/>
  <c r="L27"/>
  <c r="C25"/>
  <c r="K25" s="1"/>
  <c r="C6"/>
  <c r="J30"/>
  <c r="L30"/>
  <c r="J31"/>
  <c r="L31"/>
  <c r="H5" i="66"/>
  <c r="H9"/>
  <c r="E5"/>
  <c r="E4"/>
  <c r="F4"/>
  <c r="E9"/>
  <c r="F9"/>
  <c r="E20"/>
  <c r="F20"/>
  <c r="E30"/>
  <c r="E32"/>
  <c r="F32"/>
  <c r="K7"/>
  <c r="K14"/>
  <c r="F6"/>
  <c r="F18"/>
  <c r="E16"/>
  <c r="F16"/>
  <c r="F24"/>
  <c r="F28"/>
  <c r="F31"/>
  <c r="K10"/>
  <c r="I15"/>
  <c r="M15"/>
  <c r="H22"/>
  <c r="L24"/>
  <c r="N24"/>
  <c r="I26"/>
  <c r="M26"/>
  <c r="L28"/>
  <c r="N28"/>
  <c r="I17"/>
  <c r="M17"/>
  <c r="H30"/>
  <c r="L31"/>
  <c r="N31"/>
  <c r="L22"/>
  <c r="N22"/>
  <c r="I25"/>
  <c r="M25"/>
  <c r="L29"/>
  <c r="N29"/>
  <c r="I19"/>
  <c r="M19"/>
  <c r="H28"/>
  <c r="L30"/>
  <c r="N30"/>
  <c r="I27"/>
  <c r="M27"/>
  <c r="H31"/>
  <c r="J3"/>
  <c r="L3"/>
  <c r="C5"/>
  <c r="K5" s="1"/>
  <c r="J11"/>
  <c r="L11"/>
  <c r="C6"/>
  <c r="K6" s="1"/>
  <c r="J7"/>
  <c r="L7"/>
  <c r="C4"/>
  <c r="K4" s="1"/>
  <c r="J10"/>
  <c r="L10"/>
  <c r="C8"/>
  <c r="K8" s="1"/>
  <c r="J14"/>
  <c r="L14"/>
  <c r="C9"/>
  <c r="K9" s="1"/>
  <c r="J21"/>
  <c r="L21"/>
  <c r="C18"/>
  <c r="K18" s="1"/>
  <c r="J23"/>
  <c r="L23"/>
  <c r="C20"/>
  <c r="K20" s="1"/>
  <c r="J12"/>
  <c r="L12"/>
  <c r="C16"/>
  <c r="K16" s="1"/>
  <c r="J15"/>
  <c r="L15"/>
  <c r="C22"/>
  <c r="K22" s="1"/>
  <c r="J25"/>
  <c r="L25"/>
  <c r="C24"/>
  <c r="K24" s="1"/>
  <c r="J26"/>
  <c r="L26"/>
  <c r="C29"/>
  <c r="K29" s="1"/>
  <c r="J19"/>
  <c r="L19"/>
  <c r="C28"/>
  <c r="K28" s="1"/>
  <c r="J17"/>
  <c r="L17"/>
  <c r="C30"/>
  <c r="K30" s="1"/>
  <c r="J27"/>
  <c r="L27"/>
  <c r="C31"/>
  <c r="K31" s="1"/>
  <c r="J13"/>
  <c r="L13"/>
  <c r="C32"/>
  <c r="K32" s="1"/>
  <c r="H28" i="64"/>
  <c r="H9"/>
  <c r="K12"/>
  <c r="H15"/>
  <c r="E22"/>
  <c r="F22"/>
  <c r="E6"/>
  <c r="F6"/>
  <c r="E21"/>
  <c r="F21"/>
  <c r="E28"/>
  <c r="F28"/>
  <c r="E29"/>
  <c r="F29"/>
  <c r="E23"/>
  <c r="F23"/>
  <c r="E15"/>
  <c r="F15"/>
  <c r="E13"/>
  <c r="F13"/>
  <c r="E26"/>
  <c r="F26"/>
  <c r="K5"/>
  <c r="K8"/>
  <c r="K7"/>
  <c r="K17"/>
  <c r="E10"/>
  <c r="F10"/>
  <c r="E9"/>
  <c r="F9"/>
  <c r="E11"/>
  <c r="F11"/>
  <c r="E16"/>
  <c r="F16"/>
  <c r="E25"/>
  <c r="F25"/>
  <c r="E18"/>
  <c r="F18"/>
  <c r="L10"/>
  <c r="N10"/>
  <c r="N9"/>
  <c r="I20"/>
  <c r="M20"/>
  <c r="H23"/>
  <c r="L13"/>
  <c r="N13"/>
  <c r="I14"/>
  <c r="M14"/>
  <c r="L26"/>
  <c r="N26"/>
  <c r="I31"/>
  <c r="M31"/>
  <c r="L23"/>
  <c r="N23"/>
  <c r="I30"/>
  <c r="M30"/>
  <c r="L16"/>
  <c r="N16"/>
  <c r="I19"/>
  <c r="M19"/>
  <c r="H13"/>
  <c r="L25"/>
  <c r="N25"/>
  <c r="I24"/>
  <c r="M24"/>
  <c r="H26"/>
  <c r="J3"/>
  <c r="L3"/>
  <c r="C22"/>
  <c r="K22" s="1"/>
  <c r="J32"/>
  <c r="L32"/>
  <c r="C28"/>
  <c r="K28" s="1"/>
  <c r="J4"/>
  <c r="L4"/>
  <c r="C6"/>
  <c r="K6" s="1"/>
  <c r="J5"/>
  <c r="L5"/>
  <c r="C29"/>
  <c r="K29" s="1"/>
  <c r="J27"/>
  <c r="L27"/>
  <c r="C21"/>
  <c r="K21" s="1"/>
  <c r="J8"/>
  <c r="L8"/>
  <c r="C10"/>
  <c r="K10" s="1"/>
  <c r="J7"/>
  <c r="L7"/>
  <c r="C9"/>
  <c r="K9" s="1"/>
  <c r="J20"/>
  <c r="L20"/>
  <c r="C23"/>
  <c r="K23" s="1"/>
  <c r="J12"/>
  <c r="L12"/>
  <c r="C11"/>
  <c r="K11" s="1"/>
  <c r="J17"/>
  <c r="L17"/>
  <c r="C15"/>
  <c r="K15" s="1"/>
  <c r="J30"/>
  <c r="L30"/>
  <c r="C16"/>
  <c r="K16" s="1"/>
  <c r="J19"/>
  <c r="L19"/>
  <c r="C13"/>
  <c r="K13" s="1"/>
  <c r="J14"/>
  <c r="L14"/>
  <c r="C25"/>
  <c r="K25" s="1"/>
  <c r="J24"/>
  <c r="L24"/>
  <c r="C26"/>
  <c r="K26" s="1"/>
  <c r="J31"/>
  <c r="L31"/>
  <c r="C18"/>
  <c r="K18" s="1"/>
  <c r="H10" i="62"/>
  <c r="H15"/>
  <c r="H24"/>
  <c r="H30"/>
  <c r="F10"/>
  <c r="E31"/>
  <c r="F31"/>
  <c r="E14"/>
  <c r="F14"/>
  <c r="F15"/>
  <c r="F24"/>
  <c r="E19"/>
  <c r="F19"/>
  <c r="F30"/>
  <c r="F6"/>
  <c r="E8"/>
  <c r="F8"/>
  <c r="E13"/>
  <c r="F13"/>
  <c r="E26"/>
  <c r="H29"/>
  <c r="J3"/>
  <c r="L3"/>
  <c r="C6"/>
  <c r="K6" s="1"/>
  <c r="J5"/>
  <c r="L5"/>
  <c r="C10"/>
  <c r="K10" s="1"/>
  <c r="J11"/>
  <c r="L11"/>
  <c r="C8"/>
  <c r="K8" s="1"/>
  <c r="J7"/>
  <c r="L7"/>
  <c r="C31"/>
  <c r="J4"/>
  <c r="L4"/>
  <c r="C13"/>
  <c r="K13" s="1"/>
  <c r="J9"/>
  <c r="L9"/>
  <c r="C14"/>
  <c r="J17"/>
  <c r="L17"/>
  <c r="C22"/>
  <c r="J18"/>
  <c r="L18"/>
  <c r="C15"/>
  <c r="K15" s="1"/>
  <c r="J20"/>
  <c r="L20"/>
  <c r="C12"/>
  <c r="K12" s="1"/>
  <c r="J21"/>
  <c r="L21"/>
  <c r="C24"/>
  <c r="K24" s="1"/>
  <c r="J16"/>
  <c r="L16"/>
  <c r="C26"/>
  <c r="K26" s="1"/>
  <c r="J23"/>
  <c r="L23"/>
  <c r="C19"/>
  <c r="J25"/>
  <c r="L25"/>
  <c r="C28"/>
  <c r="J27"/>
  <c r="L27"/>
  <c r="C30"/>
  <c r="K30" s="1"/>
  <c r="J32"/>
  <c r="L32"/>
  <c r="C29"/>
  <c r="K29" s="1"/>
  <c r="H5" i="60"/>
  <c r="H23"/>
  <c r="K10"/>
  <c r="E10"/>
  <c r="H13"/>
  <c r="E19"/>
  <c r="K11"/>
  <c r="E11"/>
  <c r="H18"/>
  <c r="E4"/>
  <c r="F4"/>
  <c r="E5"/>
  <c r="F5"/>
  <c r="E16"/>
  <c r="F16"/>
  <c r="E23"/>
  <c r="E13"/>
  <c r="F13"/>
  <c r="F31"/>
  <c r="E18"/>
  <c r="F18"/>
  <c r="E28"/>
  <c r="F28"/>
  <c r="K27"/>
  <c r="K7"/>
  <c r="K9"/>
  <c r="K12"/>
  <c r="E6"/>
  <c r="F6"/>
  <c r="E20"/>
  <c r="F20"/>
  <c r="E26"/>
  <c r="F26"/>
  <c r="E17"/>
  <c r="F17"/>
  <c r="E24"/>
  <c r="F24"/>
  <c r="E15"/>
  <c r="F15"/>
  <c r="J3"/>
  <c r="L3"/>
  <c r="C4"/>
  <c r="K4" s="1"/>
  <c r="J27"/>
  <c r="L27"/>
  <c r="C5"/>
  <c r="K5" s="1"/>
  <c r="J30"/>
  <c r="L30"/>
  <c r="C6"/>
  <c r="J25"/>
  <c r="L25"/>
  <c r="C16"/>
  <c r="K16" s="1"/>
  <c r="J8"/>
  <c r="L8"/>
  <c r="C20"/>
  <c r="J7"/>
  <c r="L7"/>
  <c r="C23"/>
  <c r="K23" s="1"/>
  <c r="J10"/>
  <c r="L10"/>
  <c r="C26"/>
  <c r="K26" s="1"/>
  <c r="J9"/>
  <c r="L9"/>
  <c r="C13"/>
  <c r="K13" s="1"/>
  <c r="J19"/>
  <c r="L19"/>
  <c r="C17"/>
  <c r="J12"/>
  <c r="L12"/>
  <c r="C31"/>
  <c r="K31" s="1"/>
  <c r="J11"/>
  <c r="L11"/>
  <c r="C24"/>
  <c r="K24" s="1"/>
  <c r="J21"/>
  <c r="L21"/>
  <c r="C18"/>
  <c r="K18" s="1"/>
  <c r="J22"/>
  <c r="L22"/>
  <c r="C15"/>
  <c r="K15" s="1"/>
  <c r="J29"/>
  <c r="L29"/>
  <c r="C28"/>
  <c r="K28" s="1"/>
  <c r="J14"/>
  <c r="L14"/>
  <c r="J32"/>
  <c r="L32"/>
  <c r="F15" i="58"/>
  <c r="B17"/>
  <c r="I17"/>
  <c r="B5"/>
  <c r="I5"/>
  <c r="H15"/>
  <c r="L15"/>
  <c r="N15"/>
  <c r="B11"/>
  <c r="I11"/>
  <c r="H9"/>
  <c r="L10"/>
  <c r="C3"/>
  <c r="J3"/>
  <c r="L3"/>
  <c r="C17"/>
  <c r="J17"/>
  <c r="L17"/>
  <c r="B4"/>
  <c r="I4"/>
  <c r="E4" s="1"/>
  <c r="C5"/>
  <c r="J5"/>
  <c r="L5"/>
  <c r="B15"/>
  <c r="C11"/>
  <c r="J11"/>
  <c r="L11"/>
  <c r="B9"/>
  <c r="K9" s="1"/>
  <c r="I9"/>
  <c r="C6"/>
  <c r="F6"/>
  <c r="J6"/>
  <c r="L6"/>
  <c r="B8"/>
  <c r="I8"/>
  <c r="C13"/>
  <c r="J13"/>
  <c r="L13"/>
  <c r="B7"/>
  <c r="I7"/>
  <c r="C12"/>
  <c r="J12"/>
  <c r="L12"/>
  <c r="B10"/>
  <c r="C14"/>
  <c r="J14"/>
  <c r="L14"/>
  <c r="M16"/>
  <c r="L4"/>
  <c r="L9"/>
  <c r="M6"/>
  <c r="L8"/>
  <c r="L7"/>
  <c r="B12"/>
  <c r="I12"/>
  <c r="M14"/>
  <c r="H4" l="1"/>
  <c r="K7"/>
  <c r="K6"/>
  <c r="K13"/>
  <c r="K3"/>
  <c r="H8"/>
  <c r="K15"/>
  <c r="F8" i="66"/>
  <c r="E22"/>
  <c r="E29"/>
  <c r="K6" i="60"/>
  <c r="F10" i="58"/>
  <c r="K8"/>
  <c r="K10"/>
  <c r="E14"/>
  <c r="F28" i="62"/>
  <c r="K19"/>
  <c r="K14"/>
  <c r="K31"/>
  <c r="E12"/>
  <c r="K14" i="64"/>
  <c r="H18"/>
  <c r="K31"/>
  <c r="F25" i="60"/>
  <c r="H28"/>
  <c r="H31"/>
  <c r="H7" i="58"/>
  <c r="K29" i="60"/>
  <c r="K26" i="68"/>
  <c r="H16" i="64"/>
  <c r="E5"/>
  <c r="K11" i="58"/>
  <c r="H18" i="68"/>
  <c r="K28"/>
  <c r="K31"/>
  <c r="H24" i="66"/>
  <c r="K28" i="62"/>
  <c r="K17"/>
  <c r="K21"/>
  <c r="E29"/>
  <c r="H31"/>
  <c r="K22"/>
  <c r="K14" i="58"/>
  <c r="K4"/>
  <c r="E3"/>
  <c r="K17" i="60"/>
  <c r="K3"/>
  <c r="K6" i="68"/>
  <c r="K22"/>
  <c r="K29"/>
  <c r="K24"/>
  <c r="K18"/>
  <c r="K20"/>
  <c r="K11"/>
  <c r="H6"/>
  <c r="H5"/>
  <c r="K23"/>
  <c r="H29"/>
  <c r="H10" i="64"/>
  <c r="K24"/>
  <c r="K19"/>
  <c r="H25"/>
  <c r="H11"/>
  <c r="H14" i="62"/>
  <c r="K4"/>
  <c r="E3"/>
  <c r="H29" i="66"/>
  <c r="H20"/>
  <c r="H4"/>
  <c r="K17"/>
  <c r="K26"/>
  <c r="E12" i="64"/>
  <c r="F22" i="62"/>
  <c r="H13"/>
  <c r="H15" i="60"/>
  <c r="K14"/>
  <c r="K20"/>
  <c r="H16"/>
  <c r="E3"/>
  <c r="K22"/>
  <c r="F13" i="58"/>
  <c r="H32" i="66"/>
  <c r="K16" i="58"/>
  <c r="K63" i="54"/>
  <c r="K64"/>
  <c r="J64"/>
  <c r="K60"/>
  <c r="J60"/>
  <c r="K62"/>
  <c r="J62"/>
  <c r="H29" i="64"/>
  <c r="H19" i="62"/>
  <c r="F31" i="68"/>
  <c r="E31"/>
  <c r="F10"/>
  <c r="E10"/>
  <c r="G21"/>
  <c r="H21"/>
  <c r="F30"/>
  <c r="E30"/>
  <c r="F13" i="66"/>
  <c r="E13"/>
  <c r="G16"/>
  <c r="H16"/>
  <c r="H17" i="60"/>
  <c r="E30"/>
  <c r="K17" i="58"/>
  <c r="E8" i="64"/>
  <c r="F23" i="62"/>
  <c r="E23"/>
  <c r="G26"/>
  <c r="H26"/>
  <c r="F9"/>
  <c r="E9"/>
  <c r="F7"/>
  <c r="E7"/>
  <c r="G8"/>
  <c r="H8"/>
  <c r="F29" i="60"/>
  <c r="E29"/>
  <c r="F21"/>
  <c r="E21"/>
  <c r="G24"/>
  <c r="H24"/>
  <c r="F25" i="62"/>
  <c r="E25"/>
  <c r="F17"/>
  <c r="E17"/>
  <c r="F4"/>
  <c r="E4"/>
  <c r="F14" i="60"/>
  <c r="E14"/>
  <c r="F22"/>
  <c r="E22"/>
  <c r="G16" i="58"/>
  <c r="H16"/>
  <c r="E16"/>
  <c r="F16"/>
  <c r="G10"/>
  <c r="H10"/>
  <c r="K5"/>
  <c r="H20" i="60"/>
  <c r="H4"/>
  <c r="H31" i="68"/>
  <c r="G31"/>
  <c r="H19"/>
  <c r="G19"/>
  <c r="H26"/>
  <c r="G26"/>
  <c r="H10"/>
  <c r="G10"/>
  <c r="H14"/>
  <c r="G14"/>
  <c r="H28"/>
  <c r="G28"/>
  <c r="H17"/>
  <c r="G17"/>
  <c r="F13"/>
  <c r="E13"/>
  <c r="F23"/>
  <c r="E23"/>
  <c r="H30"/>
  <c r="G30"/>
  <c r="H27"/>
  <c r="G27"/>
  <c r="H23"/>
  <c r="G23"/>
  <c r="H13"/>
  <c r="G13"/>
  <c r="H9"/>
  <c r="G9"/>
  <c r="H8"/>
  <c r="G8"/>
  <c r="H7"/>
  <c r="G7"/>
  <c r="H3"/>
  <c r="G3"/>
  <c r="F19"/>
  <c r="E19"/>
  <c r="F27"/>
  <c r="E27"/>
  <c r="F26"/>
  <c r="E26"/>
  <c r="H13" i="66"/>
  <c r="G13"/>
  <c r="H17"/>
  <c r="G17"/>
  <c r="H26"/>
  <c r="G26"/>
  <c r="H15"/>
  <c r="G15"/>
  <c r="H23"/>
  <c r="G23"/>
  <c r="H14"/>
  <c r="G14"/>
  <c r="H7"/>
  <c r="G7"/>
  <c r="H3"/>
  <c r="G3"/>
  <c r="F19"/>
  <c r="E19"/>
  <c r="F17"/>
  <c r="E17"/>
  <c r="F15"/>
  <c r="E15"/>
  <c r="H27"/>
  <c r="G27"/>
  <c r="H19"/>
  <c r="G19"/>
  <c r="H25"/>
  <c r="G25"/>
  <c r="H12"/>
  <c r="G12"/>
  <c r="H21"/>
  <c r="G21"/>
  <c r="H10"/>
  <c r="G10"/>
  <c r="H11"/>
  <c r="G11"/>
  <c r="F27"/>
  <c r="E27"/>
  <c r="F25"/>
  <c r="E25"/>
  <c r="F26"/>
  <c r="E26"/>
  <c r="H31" i="64"/>
  <c r="G31"/>
  <c r="H14"/>
  <c r="G14"/>
  <c r="H30"/>
  <c r="G30"/>
  <c r="H12"/>
  <c r="G12"/>
  <c r="H7"/>
  <c r="G7"/>
  <c r="H27"/>
  <c r="G27"/>
  <c r="H4"/>
  <c r="G4"/>
  <c r="H3"/>
  <c r="G3"/>
  <c r="F19"/>
  <c r="E19"/>
  <c r="F30"/>
  <c r="E30"/>
  <c r="F31"/>
  <c r="E31"/>
  <c r="H24"/>
  <c r="G24"/>
  <c r="H19"/>
  <c r="G19"/>
  <c r="H17"/>
  <c r="G17"/>
  <c r="H20"/>
  <c r="G20"/>
  <c r="H8"/>
  <c r="G8"/>
  <c r="H5"/>
  <c r="G5"/>
  <c r="H32"/>
  <c r="G32"/>
  <c r="F24"/>
  <c r="E24"/>
  <c r="F14"/>
  <c r="E14"/>
  <c r="F20"/>
  <c r="E20"/>
  <c r="H32" i="62"/>
  <c r="G32"/>
  <c r="H25"/>
  <c r="G25"/>
  <c r="H16"/>
  <c r="G16"/>
  <c r="H20"/>
  <c r="G20"/>
  <c r="H17"/>
  <c r="G17"/>
  <c r="H4"/>
  <c r="G4"/>
  <c r="H11"/>
  <c r="G11"/>
  <c r="H3"/>
  <c r="G3"/>
  <c r="H27"/>
  <c r="G27"/>
  <c r="H23"/>
  <c r="G23"/>
  <c r="H21"/>
  <c r="G21"/>
  <c r="H18"/>
  <c r="G18"/>
  <c r="H9"/>
  <c r="G9"/>
  <c r="H7"/>
  <c r="G7"/>
  <c r="H5"/>
  <c r="G5"/>
  <c r="H14" i="60"/>
  <c r="G14"/>
  <c r="H22"/>
  <c r="G22"/>
  <c r="H11"/>
  <c r="G11"/>
  <c r="H19"/>
  <c r="G19"/>
  <c r="H10"/>
  <c r="G10"/>
  <c r="H8"/>
  <c r="G8"/>
  <c r="H30"/>
  <c r="G30"/>
  <c r="H3"/>
  <c r="G3"/>
  <c r="H32"/>
  <c r="G32"/>
  <c r="H29"/>
  <c r="G29"/>
  <c r="H21"/>
  <c r="G21"/>
  <c r="H12"/>
  <c r="G12"/>
  <c r="H9"/>
  <c r="G9"/>
  <c r="H7"/>
  <c r="G7"/>
  <c r="H25"/>
  <c r="G25"/>
  <c r="H27"/>
  <c r="G27"/>
  <c r="G14" i="58"/>
  <c r="H14"/>
  <c r="G12"/>
  <c r="H12"/>
  <c r="E7"/>
  <c r="F7"/>
  <c r="E8"/>
  <c r="F8"/>
  <c r="E9"/>
  <c r="F9"/>
  <c r="H17"/>
  <c r="G17"/>
  <c r="F5"/>
  <c r="E5"/>
  <c r="E12"/>
  <c r="F12"/>
  <c r="G13"/>
  <c r="H13"/>
  <c r="G6"/>
  <c r="H6"/>
  <c r="H11"/>
  <c r="G11"/>
  <c r="H5"/>
  <c r="G5"/>
  <c r="F4"/>
  <c r="G3"/>
  <c r="H3"/>
  <c r="F11"/>
  <c r="E11"/>
  <c r="F17"/>
  <c r="E17"/>
  <c r="K12"/>
  <c r="E47" i="54" l="1"/>
  <c r="E43"/>
  <c r="H43"/>
  <c r="O43" l="1"/>
  <c r="N43"/>
</calcChain>
</file>

<file path=xl/sharedStrings.xml><?xml version="1.0" encoding="utf-8"?>
<sst xmlns="http://schemas.openxmlformats.org/spreadsheetml/2006/main" count="4118" uniqueCount="867">
  <si>
    <r>
      <t xml:space="preserve">1. In some instances, </t>
    </r>
    <r>
      <rPr>
        <b/>
        <sz val="8"/>
        <rFont val="Arial"/>
        <family val="2"/>
      </rPr>
      <t>data entered into eSSCA are assigned to admitting hospitals other than the main acute hospitals</t>
    </r>
    <r>
      <rPr>
        <sz val="8"/>
        <rFont val="Arial"/>
        <family val="2"/>
      </rPr>
      <t xml:space="preserve"> participating in the Scottish Stroke Care Audit. Data for these hospitals are combined with data for their respective main acute hospitals.</t>
    </r>
  </si>
  <si>
    <r>
      <t xml:space="preserve">2. Some percentages are based on </t>
    </r>
    <r>
      <rPr>
        <b/>
        <sz val="8"/>
        <rFont val="Arial"/>
        <family val="2"/>
      </rPr>
      <t>very</t>
    </r>
    <r>
      <rPr>
        <sz val="8"/>
        <rFont val="Arial"/>
        <family val="2"/>
      </rPr>
      <t xml:space="preserve"> </t>
    </r>
    <r>
      <rPr>
        <b/>
        <sz val="8"/>
        <rFont val="Arial"/>
        <family val="2"/>
      </rPr>
      <t>small numbers</t>
    </r>
    <r>
      <rPr>
        <sz val="8"/>
        <rFont val="Arial"/>
        <family val="2"/>
      </rPr>
      <t xml:space="preserve"> (see numbers in brackets on axis) and </t>
    </r>
    <r>
      <rPr>
        <b/>
        <sz val="8"/>
        <rFont val="Arial"/>
        <family val="2"/>
      </rPr>
      <t>should be interpreted with caution.</t>
    </r>
  </si>
  <si>
    <r>
      <t xml:space="preserve">4.  In some instances, </t>
    </r>
    <r>
      <rPr>
        <b/>
        <sz val="8"/>
        <rFont val="Arial"/>
        <family val="2"/>
      </rPr>
      <t xml:space="preserve">data entered into eSSCA are assigned to admitting hospitals other than the main acute hospitals </t>
    </r>
    <r>
      <rPr>
        <sz val="8"/>
        <rFont val="Arial"/>
        <family val="2"/>
      </rPr>
      <t>participating in the Scottish Stroke Care Audit. Data for these hospitals are combined with data for their respective main acute hospitals.</t>
    </r>
  </si>
  <si>
    <t>&gt;60&lt;=75 mins</t>
  </si>
  <si>
    <t>3. Data for this table are derived from the ‘admission hospital’ field (inpatient dataset).</t>
  </si>
  <si>
    <t>2. A small proportion of records could not be assigned to a Health Board because they were either for non-Scottish residents or there was insufficient information to allow their assignment to a Health Board (e.g. partial or incorrect postcode).</t>
  </si>
  <si>
    <r>
      <t xml:space="preserve">5. </t>
    </r>
    <r>
      <rPr>
        <b/>
        <sz val="8"/>
        <rFont val="Arial"/>
        <family val="2"/>
      </rPr>
      <t>Some hospitals admitted ischaemic stroke patients for thrombolysis but did not thrombolyse any patients within the time spans included in this chart</t>
    </r>
    <r>
      <rPr>
        <sz val="8"/>
        <rFont val="Arial"/>
        <family val="2"/>
      </rPr>
      <t>. These hospitals are included in the chart denominator but show as zero percent with regard to the time spans analysed.</t>
    </r>
  </si>
  <si>
    <r>
      <t xml:space="preserve">2. Due to the number of beds within some of the hospitals indicated (*) and the </t>
    </r>
    <r>
      <rPr>
        <b/>
        <sz val="8"/>
        <rFont val="Arial"/>
        <family val="2"/>
      </rPr>
      <t>small numbers of stroke admissions to these hospitals it is not practical to have a defined</t>
    </r>
  </si>
  <si>
    <r>
      <t xml:space="preserve">    </t>
    </r>
    <r>
      <rPr>
        <b/>
        <sz val="8"/>
        <rFont val="Arial"/>
        <family val="2"/>
      </rPr>
      <t>Stroke Unit</t>
    </r>
    <r>
      <rPr>
        <sz val="8"/>
        <rFont val="Arial"/>
        <family val="2"/>
      </rPr>
      <t xml:space="preserve">. We have </t>
    </r>
    <r>
      <rPr>
        <b/>
        <sz val="8"/>
        <rFont val="Arial"/>
        <family val="2"/>
      </rPr>
      <t>confirmed however that a defined stroke pathway is in place in these hospitals</t>
    </r>
    <r>
      <rPr>
        <sz val="8"/>
        <rFont val="Arial"/>
        <family val="2"/>
      </rPr>
      <t xml:space="preserve"> and that the Scottish Stroke Care Standards criteria are established within that pathway.</t>
    </r>
  </si>
  <si>
    <r>
      <t xml:space="preserve">3. In some instances, </t>
    </r>
    <r>
      <rPr>
        <b/>
        <sz val="8"/>
        <rFont val="Arial"/>
        <family val="2"/>
      </rPr>
      <t>data entered into eSSCA are assigned to admitting hospitals other than the main acute hospitals</t>
    </r>
    <r>
      <rPr>
        <sz val="8"/>
        <rFont val="Arial"/>
        <family val="2"/>
      </rPr>
      <t xml:space="preserve"> participating in the Scottish Stroke Care Audit. Data for these hospitals are combined with data for their respective main acute hospitals.</t>
    </r>
  </si>
  <si>
    <r>
      <t xml:space="preserve">1. </t>
    </r>
    <r>
      <rPr>
        <b/>
        <sz val="8"/>
        <color indexed="8"/>
        <rFont val="Arial"/>
        <family val="2"/>
      </rPr>
      <t xml:space="preserve">Data presented are for hospitals using eSSCA where all relevant dates </t>
    </r>
    <r>
      <rPr>
        <sz val="8"/>
        <color indexed="8"/>
        <rFont val="Arial"/>
        <family val="2"/>
      </rPr>
      <t>(last event, referral, referral-received, appointment and examination)</t>
    </r>
    <r>
      <rPr>
        <b/>
        <sz val="8"/>
        <color indexed="8"/>
        <rFont val="Arial"/>
        <family val="2"/>
      </rPr>
      <t xml:space="preserve"> are present and ordered chronologically</t>
    </r>
    <r>
      <rPr>
        <sz val="8"/>
        <color indexed="8"/>
        <rFont val="Arial"/>
        <family val="2"/>
      </rPr>
      <t>.</t>
    </r>
  </si>
  <si>
    <r>
      <t xml:space="preserve">2. Patients in Borders, Orkney, Shetland &amp; Western Isles are </t>
    </r>
    <r>
      <rPr>
        <b/>
        <sz val="8"/>
        <rFont val="Arial"/>
        <family val="2"/>
      </rPr>
      <t>treated in other Health Boards</t>
    </r>
    <r>
      <rPr>
        <sz val="8"/>
        <rFont val="Arial"/>
        <family val="2"/>
      </rPr>
      <t xml:space="preserve"> as part of their respective carotid intervention pathways.</t>
    </r>
  </si>
  <si>
    <r>
      <t xml:space="preserve">1. </t>
    </r>
    <r>
      <rPr>
        <b/>
        <sz val="8"/>
        <rFont val="Arial"/>
        <family val="2"/>
      </rPr>
      <t>The denominator for the admission to Stroke Unit excludes</t>
    </r>
    <r>
      <rPr>
        <sz val="8"/>
        <rFont val="Arial"/>
        <family val="2"/>
      </rPr>
      <t>: in-hospital strokes, patients discharged within 1 day and transfers in from another hospital.</t>
    </r>
  </si>
  <si>
    <t>Horizontal solid line reflects Scottish Stroke Care Standard (2013) of 90% of stroke patients to receive a brain scan within 24 hours of admission.</t>
  </si>
  <si>
    <r>
      <t xml:space="preserve">1. Note that a </t>
    </r>
    <r>
      <rPr>
        <b/>
        <sz val="8"/>
        <rFont val="Arial"/>
        <family val="2"/>
      </rPr>
      <t xml:space="preserve">small proportion of records are excluded from this table because of missing or invalid dates or anomalies </t>
    </r>
    <r>
      <rPr>
        <sz val="8"/>
        <rFont val="Arial"/>
        <family val="2"/>
      </rPr>
      <t>in the chronology from date of: admission, Stroke Unit admission/discharge</t>
    </r>
  </si>
  <si>
    <t>Upper
CI</t>
  </si>
  <si>
    <t>Lower
CI</t>
  </si>
  <si>
    <t>&lt;= 14 days</t>
  </si>
  <si>
    <r>
      <t>Within 4 Days: Confidence Interval</t>
    </r>
    <r>
      <rPr>
        <b/>
        <vertAlign val="superscript"/>
        <sz val="8"/>
        <color indexed="9"/>
        <rFont val="Arial"/>
        <family val="2"/>
      </rPr>
      <t>†</t>
    </r>
  </si>
  <si>
    <t>NHS Board</t>
  </si>
  <si>
    <t>Number of patients</t>
  </si>
  <si>
    <t>Stroke Standard</t>
  </si>
  <si>
    <t>Difference in %</t>
  </si>
  <si>
    <t>Statistically Significant</t>
  </si>
  <si>
    <t>Chart Axis</t>
  </si>
  <si>
    <t>Hospital</t>
  </si>
  <si>
    <t>Numerator</t>
  </si>
  <si>
    <t>Denominator</t>
  </si>
  <si>
    <t>Borders</t>
  </si>
  <si>
    <t>Lanarkshire</t>
  </si>
  <si>
    <t>Fife</t>
  </si>
  <si>
    <t>Dumfries &amp; Galloway</t>
  </si>
  <si>
    <t>Tayside</t>
  </si>
  <si>
    <t>Ayrshire &amp; Arran</t>
  </si>
  <si>
    <t>Grampian</t>
  </si>
  <si>
    <t>Forth Valley</t>
  </si>
  <si>
    <t>Highland</t>
  </si>
  <si>
    <t>Western Isles</t>
  </si>
  <si>
    <t>Lothian</t>
  </si>
  <si>
    <t>Shetland</t>
  </si>
  <si>
    <t>Greater Glasgow &amp; Clyde</t>
  </si>
  <si>
    <t>Orkney</t>
  </si>
  <si>
    <t>Percentage</t>
  </si>
  <si>
    <t>LCI</t>
  </si>
  <si>
    <t>UCI</t>
  </si>
  <si>
    <t>return to List of Tables &amp; Charts</t>
  </si>
  <si>
    <t>NHSQIS 60%</t>
  </si>
  <si>
    <t>NHSQIS 90%</t>
  </si>
  <si>
    <t>(a) Same Day</t>
  </si>
  <si>
    <t>(b) 1 Day*</t>
  </si>
  <si>
    <t>(c) 2 Days*</t>
  </si>
  <si>
    <t>Same Day</t>
  </si>
  <si>
    <r>
      <t>Confidence Interval</t>
    </r>
    <r>
      <rPr>
        <b/>
        <vertAlign val="superscript"/>
        <sz val="8"/>
        <color indexed="9"/>
        <rFont val="Arial"/>
        <family val="2"/>
      </rPr>
      <t>†</t>
    </r>
  </si>
  <si>
    <t>Within 1 Day</t>
  </si>
  <si>
    <t>Within 2 Days</t>
  </si>
  <si>
    <t>1 Day</t>
  </si>
  <si>
    <t>2 Days</t>
  </si>
  <si>
    <t>Ayr Hospital</t>
  </si>
  <si>
    <t>Ayr</t>
  </si>
  <si>
    <t>Crosshouse Hospital</t>
  </si>
  <si>
    <t>Crosshouse</t>
  </si>
  <si>
    <t>Crosshouse Hospital, Kilmarnock</t>
  </si>
  <si>
    <t>Borders General Hospital</t>
  </si>
  <si>
    <t>Borders General Hospital, Melrose</t>
  </si>
  <si>
    <t>Dumfries &amp; Galloway Royal Infirmary</t>
  </si>
  <si>
    <t>DGRI</t>
  </si>
  <si>
    <t>Dumfries &amp; Galloway Royal Infirmary (DGRI)</t>
  </si>
  <si>
    <t>Galloway Community Hospital</t>
  </si>
  <si>
    <t>GCH</t>
  </si>
  <si>
    <t>Galloway Community Hospital (GCH)</t>
  </si>
  <si>
    <t>Victoria Hospital</t>
  </si>
  <si>
    <t>Victoria Hospital, Kirkcaldy (VHK)</t>
  </si>
  <si>
    <t>Forth Valley Royal Hospital</t>
  </si>
  <si>
    <t>Forth Valley Royal Hospital, Larbert (FVRH)</t>
  </si>
  <si>
    <t>Aberdeen Royal Infirmary</t>
  </si>
  <si>
    <t>Aberdeen Royal Infirmary (ARI)</t>
  </si>
  <si>
    <t>Dr Gray's Hospital</t>
  </si>
  <si>
    <t>Dr Grays</t>
  </si>
  <si>
    <t>Dr Gray's Hospital, Elgin</t>
  </si>
  <si>
    <t>Glasgow Royal Infirmary</t>
  </si>
  <si>
    <t>Glasgow Royal Infirmary (GRI)</t>
  </si>
  <si>
    <t>Inverclyde Royal Hospital</t>
  </si>
  <si>
    <t>IRH</t>
  </si>
  <si>
    <t>Inverclyde Royal Hospital, Greenock (IRH)</t>
  </si>
  <si>
    <t>Royal Alexandra Hospital</t>
  </si>
  <si>
    <t>Royal Alexandra Hospital, Paisley (RAH)</t>
  </si>
  <si>
    <t>Western Infirmary/Gartnavel General</t>
  </si>
  <si>
    <t>WIG</t>
  </si>
  <si>
    <t>Belford Hospital</t>
  </si>
  <si>
    <t>Belford</t>
  </si>
  <si>
    <t>Belford Hospital, Fort William</t>
  </si>
  <si>
    <t>Caithness General Hospital</t>
  </si>
  <si>
    <t>Caithness</t>
  </si>
  <si>
    <t>Caithness General Hospital, Wick</t>
  </si>
  <si>
    <t>Lorn &amp; Islands Hospital</t>
  </si>
  <si>
    <t>L&amp;I</t>
  </si>
  <si>
    <t>Lorn &amp; Islands Hospital, Oban</t>
  </si>
  <si>
    <t>Raigmore Hospital</t>
  </si>
  <si>
    <t>Raigmore</t>
  </si>
  <si>
    <t>Raigmore Hospital, Inverness</t>
  </si>
  <si>
    <t>Hairmyres Hospital</t>
  </si>
  <si>
    <t>Hairmyres</t>
  </si>
  <si>
    <t>Hairmyres Hospital, East Kilbride</t>
  </si>
  <si>
    <t>Monklands Hospital</t>
  </si>
  <si>
    <t>Monklands</t>
  </si>
  <si>
    <t>Monklands Hospital, Coatbridge</t>
  </si>
  <si>
    <t>Wishaw General Hospital</t>
  </si>
  <si>
    <t>Wishaw</t>
  </si>
  <si>
    <t>Royal Infirmary of Edinburgh</t>
  </si>
  <si>
    <t>RIE</t>
  </si>
  <si>
    <t>Royal Infirmary of Edinburgh at Little France (RIE)</t>
  </si>
  <si>
    <t>St John's Hospital</t>
  </si>
  <si>
    <t>SJH</t>
  </si>
  <si>
    <t>St John's Hospital, Livingston (SJH)</t>
  </si>
  <si>
    <t>Western General Hospital</t>
  </si>
  <si>
    <t>WGH</t>
  </si>
  <si>
    <t>Western General Hospital, Edinburgh (WGH)</t>
  </si>
  <si>
    <t>Balfour Hospital</t>
  </si>
  <si>
    <t>Balfour</t>
  </si>
  <si>
    <t>Balfour Hospital, Orkney</t>
  </si>
  <si>
    <t>Gilbert Bain Hospital</t>
  </si>
  <si>
    <t>Gilbert Bain</t>
  </si>
  <si>
    <t>Gilbert Bain Hospital, Shetland</t>
  </si>
  <si>
    <t>Ninewells Hospital</t>
  </si>
  <si>
    <t>Ninewells</t>
  </si>
  <si>
    <t>Ninewells Hospital, Dundee</t>
  </si>
  <si>
    <t>Perth Royal Infirmary</t>
  </si>
  <si>
    <t>PRI</t>
  </si>
  <si>
    <t>Perth Royal Infirmary (PRI)</t>
  </si>
  <si>
    <t>Uist &amp; Barra Hospital</t>
  </si>
  <si>
    <t>Uist &amp; Barra</t>
  </si>
  <si>
    <t>Uist &amp; Barra Hospital, Benbecula</t>
  </si>
  <si>
    <t>Western Isles Hospital</t>
  </si>
  <si>
    <t>Western Isles Hospital (WIH)</t>
  </si>
  <si>
    <t>Scotland</t>
  </si>
  <si>
    <t>NHS Board Summary</t>
  </si>
  <si>
    <t>(b) 2 Days*</t>
  </si>
  <si>
    <t>NHS board of hospital</t>
  </si>
  <si>
    <t>%</t>
  </si>
  <si>
    <t>† Confidence intervals calculated using method described in: ALTMAN et al (2000) Statistics with confidence 2nd edition chapter 6 pp 46-47. ISBN 0727913751.</t>
  </si>
  <si>
    <t>NHSQIS 100%</t>
  </si>
  <si>
    <t>NHSQIS 80%</t>
  </si>
  <si>
    <t>(b) within 4 hours</t>
  </si>
  <si>
    <t>(c) within 12 hours</t>
  </si>
  <si>
    <t>(d) within 18 hours</t>
  </si>
  <si>
    <t>(e) within 24 hours</t>
  </si>
  <si>
    <t>(f) over 24 hours</t>
  </si>
  <si>
    <t>Within 4 hours</t>
  </si>
  <si>
    <t>Within 12 hours</t>
  </si>
  <si>
    <t>Within 18 hours</t>
  </si>
  <si>
    <t>Within 24 hours</t>
  </si>
  <si>
    <t>Over 24 hours</t>
  </si>
  <si>
    <t>4&lt;12H</t>
  </si>
  <si>
    <t>12&lt;18H</t>
  </si>
  <si>
    <t>18&lt;24H</t>
  </si>
  <si>
    <t>12&lt;24</t>
  </si>
  <si>
    <r>
      <t>Fife</t>
    </r>
    <r>
      <rPr>
        <vertAlign val="superscript"/>
        <sz val="10"/>
        <rFont val="Arial"/>
        <family val="2"/>
      </rPr>
      <t>3</t>
    </r>
  </si>
  <si>
    <r>
      <t>Forth Valley</t>
    </r>
    <r>
      <rPr>
        <vertAlign val="superscript"/>
        <sz val="10"/>
        <rFont val="Arial"/>
        <family val="2"/>
      </rPr>
      <t>3</t>
    </r>
  </si>
  <si>
    <r>
      <t>Grampian</t>
    </r>
    <r>
      <rPr>
        <vertAlign val="superscript"/>
        <sz val="10"/>
        <rFont val="Arial"/>
        <family val="2"/>
      </rPr>
      <t>3</t>
    </r>
  </si>
  <si>
    <r>
      <t>Greater Glasgow &amp; Clyde</t>
    </r>
    <r>
      <rPr>
        <vertAlign val="superscript"/>
        <sz val="10"/>
        <rFont val="Arial"/>
        <family val="2"/>
      </rPr>
      <t>3</t>
    </r>
  </si>
  <si>
    <r>
      <t>Orkney</t>
    </r>
    <r>
      <rPr>
        <vertAlign val="superscript"/>
        <sz val="10"/>
        <rFont val="Arial"/>
        <family val="2"/>
      </rPr>
      <t>1</t>
    </r>
  </si>
  <si>
    <r>
      <t>Western Isles</t>
    </r>
    <r>
      <rPr>
        <vertAlign val="superscript"/>
        <sz val="10"/>
        <rFont val="Arial"/>
        <family val="2"/>
      </rPr>
      <t>2</t>
    </r>
  </si>
  <si>
    <r>
      <t>Confidence Interval</t>
    </r>
    <r>
      <rPr>
        <b/>
        <vertAlign val="superscript"/>
        <sz val="10"/>
        <color indexed="9"/>
        <rFont val="Arial"/>
        <family val="2"/>
      </rPr>
      <t>†</t>
    </r>
  </si>
  <si>
    <t>(c) 2-4 Days*</t>
  </si>
  <si>
    <t>(d) 5-7 Days*</t>
  </si>
  <si>
    <t>(e) &lt;=7 days**</t>
  </si>
  <si>
    <t>Within 4 Days</t>
  </si>
  <si>
    <t>Within 7 Days</t>
  </si>
  <si>
    <t>2-4 Days</t>
  </si>
  <si>
    <t>5-7 Days</t>
  </si>
  <si>
    <t>&lt;=7 Days</t>
  </si>
  <si>
    <t>Queen Margaret Hospital</t>
  </si>
  <si>
    <t>QMH</t>
  </si>
  <si>
    <t>Queen Margaret Hospital, Dunfermline (QMH)</t>
  </si>
  <si>
    <t>VHK</t>
  </si>
  <si>
    <t>ARI</t>
  </si>
  <si>
    <t>Stracathro Hospital</t>
  </si>
  <si>
    <t>Stracathro</t>
  </si>
  <si>
    <t>Total</t>
  </si>
  <si>
    <t>Confidence Interval</t>
  </si>
  <si>
    <t>Horizontal line reflects Scottish Stroke Care Standard (2013) of 80% of stroke patients thrombolysed within 1 hour of arrival at first hospital.</t>
  </si>
  <si>
    <t>Within 60 mins</t>
  </si>
  <si>
    <t>Within 75 mins</t>
  </si>
  <si>
    <t>FVRH</t>
  </si>
  <si>
    <t>GRI</t>
  </si>
  <si>
    <t>RAH</t>
  </si>
  <si>
    <t>Horizontal line reflects Scottish Stroke Care Standard (2013) of 80% of patients undergoing carotid endarterectomy for symptomatic carotid stenosis have the operation within 14 days of the stroke event.</t>
  </si>
  <si>
    <t>Within 14 days</t>
  </si>
  <si>
    <t>Stroke Care Standard</t>
  </si>
  <si>
    <t>SU0
LCI</t>
  </si>
  <si>
    <t>SU0
UCI</t>
  </si>
  <si>
    <t>Forth Valley Royal Hospital (Larbert)</t>
  </si>
  <si>
    <t>Royal Infirmary of Edinburgh at Little France</t>
  </si>
  <si>
    <t>Borders*</t>
  </si>
  <si>
    <t>Orkney*</t>
  </si>
  <si>
    <t>Shetland*</t>
  </si>
  <si>
    <t>Western Isles*</t>
  </si>
  <si>
    <t>* Patients in Borders, Orkney, Shetland &amp; Western Isles are treated in other NHS boards as part of their respective carotid intervention pathways.</t>
  </si>
  <si>
    <t>Table/ Chart Number</t>
  </si>
  <si>
    <t>Title</t>
  </si>
  <si>
    <t>Page number in printed report</t>
  </si>
  <si>
    <t>Stroke Unit Information.</t>
  </si>
  <si>
    <t>Table 2</t>
  </si>
  <si>
    <t>Table 5</t>
  </si>
  <si>
    <t>Table 6</t>
  </si>
  <si>
    <t>Chart 1b</t>
  </si>
  <si>
    <t>Chart 2a</t>
  </si>
  <si>
    <t>Chart 2b</t>
  </si>
  <si>
    <t>Chart 2c</t>
  </si>
  <si>
    <t>Chart 2d</t>
  </si>
  <si>
    <t>Chart 3</t>
  </si>
  <si>
    <t>Chart 4</t>
  </si>
  <si>
    <t>Chart 5</t>
  </si>
  <si>
    <t>Chart 6</t>
  </si>
  <si>
    <t>Chart 7</t>
  </si>
  <si>
    <t>Chart 8</t>
  </si>
  <si>
    <t>Chart 9</t>
  </si>
  <si>
    <t>Chart 10</t>
  </si>
  <si>
    <t>Chart 11</t>
  </si>
  <si>
    <t>Chart 12</t>
  </si>
  <si>
    <t>Chart 13</t>
  </si>
  <si>
    <t>Square marker (□) on chart indicates percentage of stroke patients who spent part of their stay in a Stroke Unit.</t>
  </si>
  <si>
    <t>Notes regarding chart 13:</t>
  </si>
  <si>
    <t>% stayed in SU during stay</t>
  </si>
  <si>
    <t>% pre SU</t>
  </si>
  <si>
    <t>% in SU</t>
  </si>
  <si>
    <t>% Acute/Integrated</t>
  </si>
  <si>
    <t>% Rehab</t>
  </si>
  <si>
    <t>% post SU</t>
  </si>
  <si>
    <t>% no SU</t>
  </si>
  <si>
    <t>Duration &amp; Proportion of Stay in Stroke Unit (SU)</t>
  </si>
  <si>
    <t>Number admitted to a stroke unit  (SU) during their stay</t>
  </si>
  <si>
    <t>Percentage admitted to a stroke unit (SU) during their stay</t>
  </si>
  <si>
    <t>Total Stay (days)</t>
  </si>
  <si>
    <t>Mean Stay (days)</t>
  </si>
  <si>
    <t>Total SU Stay (days)</t>
  </si>
  <si>
    <t>Mean SU Stay (days)</t>
  </si>
  <si>
    <t>Total Stay Pre-SU (days)</t>
  </si>
  <si>
    <t>% Total Stay Pre-SU</t>
  </si>
  <si>
    <t>Mean Pre-SU stay (days) (delay to SU admission)</t>
  </si>
  <si>
    <t>% Total Stay in SU</t>
  </si>
  <si>
    <t>Total Stay Acute/Integrated SU (days)</t>
  </si>
  <si>
    <t>% Total Stay Acute/Integrated SU</t>
  </si>
  <si>
    <t>Total Stay Rehab SU (Days)</t>
  </si>
  <si>
    <t>% Total Stay Rehab SU</t>
  </si>
  <si>
    <t>Total Stay Post-SU (days)</t>
  </si>
  <si>
    <t>% Total Stay Post-SU</t>
  </si>
  <si>
    <t>% Total Stay  where no SU admission</t>
  </si>
  <si>
    <t>GCH*</t>
  </si>
  <si>
    <t>Belford*</t>
  </si>
  <si>
    <t>Caithness*</t>
  </si>
  <si>
    <t>Hospital Name</t>
  </si>
  <si>
    <t>Acute Stroke Unit (ASU) beds</t>
  </si>
  <si>
    <t>Integrated Stroke Unit (ISU) beds</t>
  </si>
  <si>
    <t>Comments
(e.g. Off-site Locations)</t>
  </si>
  <si>
    <t>5. A small proportion of records have thrombolysis date recorded but no thrombolysis time. These records are included in the denominator because the presence of a date indicates thrombolysis occurred. The absence of a thrombolysis time, however, prevents the calculation of door-to-needle time so these cases cannot be measured against the 60 minute standard and cannot be confirmed as having achieved it and are assumed not to have done so. This is a slightly different approach from Chart 11 where inclusion in the chart requires both a thrombolysis date and thrombolysis time. As a result, the Chart 9 and Chart 10 denominators, for individual hospitals, may be slightly higher than those in Chart 11.</t>
  </si>
  <si>
    <r>
      <t xml:space="preserve">1. </t>
    </r>
    <r>
      <rPr>
        <b/>
        <sz val="8"/>
        <color indexed="26"/>
        <rFont val="Arial"/>
        <family val="2"/>
      </rPr>
      <t>Hospitals shown are those that provide a thrombolysis service</t>
    </r>
    <r>
      <rPr>
        <sz val="8"/>
        <color indexed="26"/>
        <rFont val="Arial"/>
        <family val="2"/>
      </rPr>
      <t>. See Table 5 for further details. Records included must have date and time of arrival at first hospital and date and time of thrombolysis to permit the calculation of time to thrombolysis and a small proportion of records are missing these data items.</t>
    </r>
  </si>
  <si>
    <r>
      <t xml:space="preserve">2. Some percentages are based on </t>
    </r>
    <r>
      <rPr>
        <b/>
        <sz val="8"/>
        <color indexed="26"/>
        <rFont val="Arial"/>
        <family val="2"/>
      </rPr>
      <t>very</t>
    </r>
    <r>
      <rPr>
        <sz val="8"/>
        <color indexed="26"/>
        <rFont val="Arial"/>
        <family val="2"/>
      </rPr>
      <t xml:space="preserve"> </t>
    </r>
    <r>
      <rPr>
        <b/>
        <sz val="8"/>
        <color indexed="26"/>
        <rFont val="Arial"/>
        <family val="2"/>
      </rPr>
      <t>small numbers (</t>
    </r>
    <r>
      <rPr>
        <sz val="8"/>
        <color indexed="26"/>
        <rFont val="Arial"/>
        <family val="2"/>
      </rPr>
      <t xml:space="preserve">see numbers in brackets on axis) and </t>
    </r>
    <r>
      <rPr>
        <b/>
        <sz val="8"/>
        <color indexed="26"/>
        <rFont val="Arial"/>
        <family val="2"/>
      </rPr>
      <t>should be interpreted with caution</t>
    </r>
    <r>
      <rPr>
        <sz val="8"/>
        <color indexed="26"/>
        <rFont val="Arial"/>
        <family val="2"/>
      </rPr>
      <t>.</t>
    </r>
  </si>
  <si>
    <r>
      <t xml:space="preserve">3. Some hospitals (e.g. Southern General Hospital) receive a </t>
    </r>
    <r>
      <rPr>
        <b/>
        <sz val="8"/>
        <color indexed="26"/>
        <rFont val="Arial"/>
        <family val="2"/>
      </rPr>
      <t>small number of patients transferred from neighbouring Health Boards</t>
    </r>
    <r>
      <rPr>
        <sz val="8"/>
        <color indexed="26"/>
        <rFont val="Arial"/>
        <family val="2"/>
      </rPr>
      <t xml:space="preserve"> which may affect their onset-to-needle time performance.</t>
    </r>
  </si>
  <si>
    <r>
      <t xml:space="preserve">4. </t>
    </r>
    <r>
      <rPr>
        <b/>
        <sz val="8"/>
        <color indexed="26"/>
        <rFont val="Arial"/>
        <family val="2"/>
      </rPr>
      <t>Some hospitals admitted ischaemic stroke patients for thrombolysis but did not thrombolyse any patients within 1 hour</t>
    </r>
    <r>
      <rPr>
        <sz val="8"/>
        <color indexed="26"/>
        <rFont val="Arial"/>
        <family val="2"/>
      </rPr>
      <t>. These hospitals are included in the chart denominator but show as zero percent with regard to the Scottish Stroke Care Standard for thrombolysis.</t>
    </r>
  </si>
  <si>
    <t>TOTALS</t>
  </si>
  <si>
    <t>Crude Rate per 100,000</t>
  </si>
  <si>
    <t>-</t>
  </si>
  <si>
    <t>Outside Scotland/ Not Known/ Other</t>
  </si>
  <si>
    <t>† Confidence intervals calculated using method described in: WOODWARD (2005) Epidemiology: study design and data analysis 2nd edition chapter 3 pp 152-154. ISBN 1584884150.</t>
  </si>
  <si>
    <t xml:space="preserve">   For events where N&gt;=100, formula 3.29 (p153) is used to calculate lower/upper 95% confidence limits for the number of events. For events where n&lt;100, the lower/upper 95% confidence</t>
  </si>
  <si>
    <t xml:space="preserve">   limits are taken from a table (http://www.doh.wa.gov/Portals/1/Documents/5500/ConfIntGuide.pdf) showing exact 95% confidence limits from the Poisson distribution. These figures are then</t>
  </si>
  <si>
    <t xml:space="preserve">   used in conjunction with the mid-year population estimates to calculate the lower/upper confidence limits for the crude rates.</t>
  </si>
  <si>
    <t xml:space="preserve">  </t>
  </si>
  <si>
    <t>Year</t>
  </si>
  <si>
    <t>Number of patients thrombolysed (numerator)</t>
  </si>
  <si>
    <t>Number of stroke patients (denominator)</t>
  </si>
  <si>
    <t>Number of patients per 100,000 (target is 5)</t>
  </si>
  <si>
    <t>Number</t>
  </si>
  <si>
    <t>Stroke Standard (2013)</t>
  </si>
  <si>
    <t>Stroke Rehabilitation Unit (SRU) beds on acute site</t>
  </si>
  <si>
    <t>SRU beds off acute site</t>
  </si>
  <si>
    <r>
      <t>NHS Board of residence</t>
    </r>
    <r>
      <rPr>
        <b/>
        <vertAlign val="superscript"/>
        <sz val="10"/>
        <color indexed="9"/>
        <rFont val="Arial"/>
        <family val="2"/>
      </rPr>
      <t>1</t>
    </r>
  </si>
  <si>
    <r>
      <t>Scotland</t>
    </r>
    <r>
      <rPr>
        <b/>
        <sz val="10"/>
        <color indexed="9"/>
        <rFont val="Arial"/>
        <family val="2"/>
      </rPr>
      <t xml:space="preserve"> summary</t>
    </r>
  </si>
  <si>
    <r>
      <t xml:space="preserve">2. </t>
    </r>
    <r>
      <rPr>
        <b/>
        <sz val="8"/>
        <rFont val="Arial"/>
        <family val="2"/>
      </rPr>
      <t>Uist &amp; Barra Hospital, NHS Western Isles does not have a CT scanner</t>
    </r>
    <r>
      <rPr>
        <sz val="8"/>
        <rFont val="Arial"/>
        <family val="2"/>
      </rPr>
      <t xml:space="preserve"> but patients are airlifted to Western Isles Hospital and a proportion may arrive in sufficient time to have brain imaging within 24 hours of admission.</t>
    </r>
  </si>
  <si>
    <t>NHSSCOTLAND</t>
  </si>
  <si>
    <t>Victoria Hospital Kirkcaldy</t>
  </si>
  <si>
    <t>(a)
Initial Diagnosis Only</t>
  </si>
  <si>
    <t>(b)
Initial AND Final Diagnosis</t>
  </si>
  <si>
    <t>(c)
Final Diagnosis Only</t>
  </si>
  <si>
    <t>Initial Only</t>
  </si>
  <si>
    <t>Initial AND Final</t>
  </si>
  <si>
    <t>Final Only</t>
  </si>
  <si>
    <r>
      <t>Lanarkshire</t>
    </r>
    <r>
      <rPr>
        <vertAlign val="superscript"/>
        <sz val="10"/>
        <rFont val="Arial"/>
        <family val="2"/>
      </rPr>
      <t>2</t>
    </r>
  </si>
  <si>
    <t>Gilbert Bain*</t>
  </si>
  <si>
    <r>
      <t xml:space="preserve">2. Due to the number of beds within some of the hospitals indicated (*) and the small numbers of stroke admissions to these hospitals </t>
    </r>
    <r>
      <rPr>
        <b/>
        <sz val="8"/>
        <rFont val="Arial"/>
        <family val="2"/>
      </rPr>
      <t>it is not practical to have a defined Stroke Unit</t>
    </r>
    <r>
      <rPr>
        <sz val="8"/>
        <rFont val="Arial"/>
        <family val="2"/>
      </rPr>
      <t>. We have confirmed however that a defined stroke pathway is in place in these hospitals and that the Scottish Stroke Care Standards criteria are established within that pathway.</t>
    </r>
  </si>
  <si>
    <r>
      <t xml:space="preserve">2. In some instances, </t>
    </r>
    <r>
      <rPr>
        <b/>
        <sz val="8"/>
        <rFont val="Arial"/>
        <family val="2"/>
      </rPr>
      <t>data entered into eSSCA are assigned to admitting hospitals other than the main acute hospitals</t>
    </r>
    <r>
      <rPr>
        <sz val="8"/>
        <rFont val="Arial"/>
        <family val="2"/>
      </rPr>
      <t xml:space="preserve"> participating in the Scottish Stroke Care Audit. Data for these hospitals are combined with data for their respective main acute hospitals.</t>
    </r>
  </si>
  <si>
    <t>Trajectory (%)</t>
  </si>
  <si>
    <t>CI
2014</t>
  </si>
  <si>
    <r>
      <t xml:space="preserve">1.  </t>
    </r>
    <r>
      <rPr>
        <b/>
        <sz val="8"/>
        <color indexed="8"/>
        <rFont val="Arial"/>
        <family val="2"/>
      </rPr>
      <t xml:space="preserve">A 'bundle' involves a group of specific interventions/ processes of care that significantly improve patient outcome if done together rather than separately and this also improves the  consistency with which patients are managed.  </t>
    </r>
  </si>
  <si>
    <t>The Stroke Care Bundle involves four components: admission to a Stroke Unit, swallow screen, brain scan and aspirin. Not all patients are eligible for all four components. An aspirin allergy, for example, would preclude the prescribing of aspirin, so the term 'appropriate' refers to patients receiving the components for which they were eligible. A flow chart in Appendix B of this report describes the different categories of bundle depending on patients' eligibility.</t>
  </si>
  <si>
    <t>For the specific components, exclusions are as follows: (1) Stroke Unit admission excludes patients with in-hospital strokes, patients transferred in from another acute hospital or patients discharged within 1 day of admission to hospital (2) aspirin excludes patients with valid contraindications to aspirin and also those receiving a 'non-stroke' final diagnosis who are discharged within 1 day of admission to hospital.</t>
  </si>
  <si>
    <t>In measuring the proportion of patients receiving an 'appropriate' bundle, patients ineligible for, and therefore not receiving, specific components of the bundle are counted as having received their appropriate bundle provided they received the remaining components for which they were eligible.</t>
  </si>
  <si>
    <r>
      <t xml:space="preserve">2.  Due to the number of beds within some hospitals indicated (*) and the small numbers of stroke admissions to these hospitals </t>
    </r>
    <r>
      <rPr>
        <b/>
        <sz val="8"/>
        <color indexed="8"/>
        <rFont val="Arial"/>
        <family val="2"/>
      </rPr>
      <t>it is not practical to have a defined Stroke Unit.</t>
    </r>
    <r>
      <rPr>
        <sz val="8"/>
        <color indexed="8"/>
        <rFont val="Arial"/>
        <family val="2"/>
      </rPr>
      <t xml:space="preserve"> We have confirmed however that a defined stroke pathway is in place in these hospitals and that the Scottish Stroke Care Standard criteria are established within that pathway.</t>
    </r>
  </si>
  <si>
    <t>Note that the Scotland column in the chart is coloured green and red simply to differentiate it from the hospital columns and the colours are not indicative of performance. Light green corresponds to '2 days', red corresponds to '1 day' and dark green corresponds to 'Same Day'.</t>
  </si>
  <si>
    <t>Note that the Scotland column in the chart is coloured light green and dark green simply to differentiate it from the hospital columns and the colours are not indicative of performance. Light green corresponds to 'Within 24 hours' and dark green corresponds to 'Within 4 hours'.</t>
  </si>
  <si>
    <t>Female</t>
  </si>
  <si>
    <t>Male</t>
  </si>
  <si>
    <t>Haemorrhagic</t>
  </si>
  <si>
    <t>Ischaemic</t>
  </si>
  <si>
    <t>Stroke Type</t>
  </si>
  <si>
    <t>Thrombolysed</t>
  </si>
  <si>
    <t>Evidence of haemorrhage on repeat scan</t>
  </si>
  <si>
    <t>Repeat scan done</t>
  </si>
  <si>
    <t>Percentage receiving repeat scan</t>
  </si>
  <si>
    <t>Percentage with evidence of haemorrhage on repeat scan</t>
  </si>
  <si>
    <t>Table 1: Poisson distribution 95% confidence limits.</t>
  </si>
  <si>
    <t>Observed</t>
  </si>
  <si>
    <t>Lower Confidence Limit</t>
  </si>
  <si>
    <t>Upper Confidence Limit</t>
  </si>
  <si>
    <t>Age &lt;60 years on admission</t>
  </si>
  <si>
    <t>Age 60-80 years on admission</t>
  </si>
  <si>
    <t>Age over 80 years on admission</t>
  </si>
  <si>
    <t>Case Mix</t>
  </si>
  <si>
    <t>Age Distribution</t>
  </si>
  <si>
    <t>Gender and Mean Age</t>
  </si>
  <si>
    <t>Final diagnosis stroke</t>
  </si>
  <si>
    <t>NHS Board of Residence</t>
  </si>
  <si>
    <t>Mean Age (years)</t>
  </si>
  <si>
    <t>Note that the Scotland column in the chart is coloured green, amber and red simply to differentiate it from the hospital columns and the colours are not indicative of performance. Dark green corresponds to 'Same Day', red corresponds to '1 Day', amber corresponds to '2-4 Days' and light green corresponds to '5-7 Days'.</t>
  </si>
  <si>
    <t>Hospital providing carotid intervention service</t>
  </si>
  <si>
    <r>
      <t xml:space="preserve">Number and </t>
    </r>
    <r>
      <rPr>
        <b/>
        <i/>
        <sz val="10"/>
        <color theme="0"/>
        <rFont val="Arial"/>
        <family val="2"/>
      </rPr>
      <t>Percentage</t>
    </r>
    <r>
      <rPr>
        <b/>
        <sz val="10"/>
        <color theme="0"/>
        <rFont val="Arial"/>
        <family val="2"/>
      </rPr>
      <t xml:space="preserve"> of Final Stroke</t>
    </r>
  </si>
  <si>
    <t>Note that the Scotland column in the chart is coloured green, amber, red and grey simply to differentiate it from the hospital columns and the colours are not indicative of performance.Dark green corresponds to '% pre SU', red corresponds to '% Acute/ Integrated', amber corresponds to '% Rehab', light green corresponds to '% post SU' and grey corresponds to '% no SU'.</t>
  </si>
  <si>
    <t/>
  </si>
  <si>
    <t>No specific stroke beds. but beds will be made available within Assessment and Rehabilitation Unit when needed.</t>
  </si>
  <si>
    <r>
      <t>1. Latest available population estimates from National Records of Scotland (formerly General Register Office for Scotland, which merged with National Archives of Scotland from 1</t>
    </r>
    <r>
      <rPr>
        <vertAlign val="superscript"/>
        <sz val="8"/>
        <rFont val="Arial"/>
        <family val="2"/>
      </rPr>
      <t>st</t>
    </r>
    <r>
      <rPr>
        <sz val="8"/>
        <rFont val="Arial"/>
        <family val="2"/>
      </rPr>
      <t xml:space="preserve"> April 2011).</t>
    </r>
  </si>
  <si>
    <r>
      <t>Mid-year population estimates</t>
    </r>
    <r>
      <rPr>
        <b/>
        <vertAlign val="superscript"/>
        <sz val="10"/>
        <color indexed="9"/>
        <rFont val="Arial"/>
        <family val="2"/>
      </rPr>
      <t>1</t>
    </r>
    <r>
      <rPr>
        <b/>
        <sz val="10"/>
        <color indexed="9"/>
        <rFont val="Arial"/>
        <family val="2"/>
      </rPr>
      <t xml:space="preserve">
(Scotland)</t>
    </r>
  </si>
  <si>
    <t>3. A small proportion of records could not be assigned to a Health Board of residence because they were either for non-Scottish residents or there was insufficient information to allow their assignment to a Health Board (e.g. partial or incorrect postcode).</t>
  </si>
  <si>
    <t>Table 2 Stroke Unit Information.</t>
  </si>
  <si>
    <r>
      <rPr>
        <b/>
        <sz val="8"/>
        <color theme="1"/>
        <rFont val="Arial"/>
        <family val="2"/>
      </rPr>
      <t>5.</t>
    </r>
    <r>
      <rPr>
        <sz val="8"/>
        <color theme="1"/>
        <rFont val="Arial"/>
        <family val="2"/>
      </rPr>
      <t xml:space="preserve"> The central boxes display the middle 50% of the data which is any data point within the 2nd and 3rd quartiles.  The meeting point of the the two boxes is the median.  Data outside this is included in the whisker unless the data point is greater than 1.5x the interquartile range (the two grey boxes). These data points are deemed to be outliers and are reported as a point separate from the box and whisker plot.</t>
    </r>
  </si>
  <si>
    <r>
      <rPr>
        <b/>
        <sz val="8"/>
        <color theme="1"/>
        <rFont val="Arial"/>
        <family val="2"/>
      </rPr>
      <t>2.</t>
    </r>
    <r>
      <rPr>
        <sz val="8"/>
        <color theme="1"/>
        <rFont val="Arial"/>
        <family val="2"/>
      </rPr>
      <t xml:space="preserve"> Patients in Borders, Orkney, Shetland &amp; Western Isles are treated in other Health Boards as part of their respective carotid intervention pathways.</t>
    </r>
  </si>
  <si>
    <t>Can walk without help from another person?</t>
  </si>
  <si>
    <t>Can lift both arms off the bed at first assessment?</t>
  </si>
  <si>
    <t>Oriented to time, place and person at first assessment?</t>
  </si>
  <si>
    <t>Can talk at first assessment?</t>
  </si>
  <si>
    <t>Lived alone at normal place of residence?</t>
  </si>
  <si>
    <t>Independent in Activities of Daily Living?</t>
  </si>
  <si>
    <t>Orkney (+)</t>
  </si>
  <si>
    <t>Western Isles (+)</t>
  </si>
  <si>
    <t>Scotland (+s)</t>
  </si>
  <si>
    <t>Ayrshire &amp; Arran (+s)</t>
  </si>
  <si>
    <t>Borders (+s)</t>
  </si>
  <si>
    <t>Dumfries &amp; Galloway (+s)</t>
  </si>
  <si>
    <t>Fife (+s)</t>
  </si>
  <si>
    <t>Forth Valley (+s)</t>
  </si>
  <si>
    <t>Grampian (+s)</t>
  </si>
  <si>
    <t>Greater Glasgow &amp; Clyde (+s)</t>
  </si>
  <si>
    <t>Highland (+s)</t>
  </si>
  <si>
    <t>Lanarkshire (+s)</t>
  </si>
  <si>
    <t>Lothian (+s)</t>
  </si>
  <si>
    <t>Shetland (+s)</t>
  </si>
  <si>
    <t>Tayside (+s)</t>
  </si>
  <si>
    <t>For bracketed abbreviations beside NHS board names : '+' means increasing trend,  '-' means decreasing trend, 's' means statistically significant (otherwise no 's')</t>
  </si>
  <si>
    <t>For bracketed abbreviations in chart legend :</t>
  </si>
  <si>
    <t>s' means a statistically significant change over time (otherwise no 's')</t>
  </si>
  <si>
    <t>+' means an increasing trend and '-' means a decreasing trend</t>
  </si>
  <si>
    <t>Chart 1c</t>
  </si>
  <si>
    <t>Lothian (-s)</t>
  </si>
  <si>
    <t>Tayside (-)</t>
  </si>
  <si>
    <t>Number admitted to a Stroke Unit within 1 day</t>
  </si>
  <si>
    <t>Percentage admitted to a Stroke Unit</t>
  </si>
  <si>
    <t>Number of Final Strokes*</t>
  </si>
  <si>
    <t>* Patients with final diagnosis of stroke excluding: short stay patients (discharged within 1 day), transfers from acute hospitals and in-hospital stroke patients.</t>
  </si>
  <si>
    <t>* Patients with final diagnosis of stroke with no further exclusions.</t>
  </si>
  <si>
    <t>Number receiving Brain scan within 24 hours</t>
  </si>
  <si>
    <t>Percentage Receiving Brain Scan</t>
  </si>
  <si>
    <t>Orkney (-)</t>
  </si>
  <si>
    <t>Number of Final Strokes eligible for aspirin*</t>
  </si>
  <si>
    <t>Number receiving  aspirin within 1 day</t>
  </si>
  <si>
    <t>Percentage receiving aspirin</t>
  </si>
  <si>
    <t>* Patients with final diagnosis of ischaemic stroke and no aspirin contraindication.</t>
  </si>
  <si>
    <t>Note that the Scotland column in the chart is coloured green and red simply to differentiate it from the hospital columns and the colours are not indicative of performance. Light green corresponds to 'Final Only', red corresponds to 'Initial &amp; Final' and dark green corresponds to 'Initial Only'.</t>
  </si>
  <si>
    <t>Note that the Scotland columns in the chart are coloured light green and dark green simply to differentiate them from the hospital columns and the colours are not indicative of performance. Light green corresponds to 'Repeat Scans' and dark green corresponds to 'Evidence Haemorrhage'.</t>
  </si>
  <si>
    <r>
      <rPr>
        <b/>
        <sz val="8"/>
        <color theme="1"/>
        <rFont val="Arial"/>
        <family val="2"/>
      </rPr>
      <t>2.</t>
    </r>
    <r>
      <rPr>
        <sz val="8"/>
        <color theme="1"/>
        <rFont val="Arial"/>
        <family val="2"/>
      </rPr>
      <t xml:space="preserve"> Patients in Borders, Orkney, Shetland &amp; Western Isles are treated in other Health Boards as part of their respective carotid intervention pathways. There were insufficient numbers from Oban, Shetland and Western Isles to be meaningfully displayed as a box plot.</t>
    </r>
  </si>
  <si>
    <t>There are instances where elements of the outpatient timeline share the same or similar data point and might not be visible.  In these instances the most recent part of the timeline sits on top indicating that the elements have been delivered closely together.</t>
  </si>
  <si>
    <t>Stroke Unit Admission</t>
  </si>
  <si>
    <t>Brain Imaging</t>
  </si>
  <si>
    <t>Aspirin</t>
  </si>
  <si>
    <t>Scottish Stroke Care Standards were published by NHS Quality Improvement Scotland (NHS QIS, now NHS Health Improvement Scotland) in 2009 and subsequently</t>
  </si>
  <si>
    <r>
      <t>updated by the Scottish Stroke Care Audit during 2012 for implementation from 1</t>
    </r>
    <r>
      <rPr>
        <b/>
        <vertAlign val="superscript"/>
        <sz val="8"/>
        <rFont val="Arial"/>
        <family val="2"/>
      </rPr>
      <t>st</t>
    </r>
    <r>
      <rPr>
        <b/>
        <sz val="8"/>
        <rFont val="Arial"/>
        <family val="2"/>
      </rPr>
      <t xml:space="preserve"> January 2013. The standard to be achieved has, therefore, changed during</t>
    </r>
  </si>
  <si>
    <t>1. Patients receiving thrombolysis are monitored closely in specialist units and may have a repeat brain scan done to check for haemorrhagic transformation of their initial ischaemic</t>
  </si>
  <si>
    <t xml:space="preserve">    event. The primary risk of thrombolysis treatment is haemorrhage, either intra- or extra-cranial. </t>
  </si>
  <si>
    <t>2. The proportion of patients showing evidence of haemorrhage on repeat scan should be interpreted with caution because, for some hospitals, the number of patients receiving a</t>
  </si>
  <si>
    <t>3. In some instances, data entered into eSSCA are assigned to admitting hospitals other than the main acute hospitals participating in the Scottish Stroke Care Audit. Data for these hospitals are</t>
  </si>
  <si>
    <t xml:space="preserve">    combined with data for their respective main acute hospitals.</t>
  </si>
  <si>
    <t xml:space="preserve">    units to which patients are admitted.</t>
  </si>
  <si>
    <t>4. Data may be captured for up to 3 acute/ integrated stroke units and 3 rehabilitation stroke units. The analysis examines all three sets of data items that may capture information about the stroke</t>
  </si>
  <si>
    <r>
      <t>Note regarding Table 2</t>
    </r>
    <r>
      <rPr>
        <sz val="8"/>
        <rFont val="Arial"/>
        <family val="2"/>
      </rPr>
      <t>:</t>
    </r>
  </si>
  <si>
    <t>Horizontal line reflects Scottish Stroke Care Standard (2013) of 90% of stroke patients admitted to a Stroke Unit within 1 day of admission.</t>
  </si>
  <si>
    <r>
      <t xml:space="preserve">4. In some instances, </t>
    </r>
    <r>
      <rPr>
        <b/>
        <sz val="8"/>
        <rFont val="Arial"/>
        <family val="2"/>
      </rPr>
      <t>data entered into eSSCA are assigned to admitting hospitals other than the main acute hospitals</t>
    </r>
    <r>
      <rPr>
        <sz val="8"/>
        <rFont val="Arial"/>
        <family val="2"/>
      </rPr>
      <t xml:space="preserve"> participating in the Scottish Stroke Care Audit. Data for these hospitals are combined with data for their respective main acute hospitals.</t>
    </r>
  </si>
  <si>
    <t>2. The denominator for the percentages excludes patients with valid contraindications to aspirin.</t>
  </si>
  <si>
    <t>Horizontal line reflects Scottish Stroke Care Standard (2013) of 80% of TIA patients being seen in specialist stroke/ TIA clinic within 4 days of receipt of referral.</t>
  </si>
  <si>
    <r>
      <t>Notes regarding Chart 1c</t>
    </r>
    <r>
      <rPr>
        <sz val="8"/>
        <color indexed="8"/>
        <rFont val="Arial"/>
        <family val="2"/>
      </rPr>
      <t>:</t>
    </r>
  </si>
  <si>
    <t>Notes regarding Chart 2a:</t>
  </si>
  <si>
    <t>Notes regarding Chart 2b:</t>
  </si>
  <si>
    <t>Notes regarding Chart 2c:</t>
  </si>
  <si>
    <t>Notes regarding Chart 2d:</t>
  </si>
  <si>
    <t>Notes regarding Chart 3:</t>
  </si>
  <si>
    <t>Notes regarding Chart 4:</t>
  </si>
  <si>
    <t>Notes regarding Chart 5:</t>
  </si>
  <si>
    <t>Notes regarding Chart 6:</t>
  </si>
  <si>
    <t>Notes regarding Chart 7:</t>
  </si>
  <si>
    <t>Notes regarding Chart 8:</t>
  </si>
  <si>
    <t xml:space="preserve">    repeat scan is small. This small denominator can then result in a large percentage for those with evidence of haemorrhage when the absolute numbers involved are small.</t>
  </si>
  <si>
    <r>
      <rPr>
        <b/>
        <sz val="8"/>
        <rFont val="Arial"/>
        <family val="2"/>
      </rPr>
      <t>1.</t>
    </r>
    <r>
      <rPr>
        <sz val="8"/>
        <rFont val="Arial"/>
        <family val="2"/>
      </rPr>
      <t xml:space="preserve"> This chart is based upon health board of residence rather than the hospital that provided the carotid intervention service. </t>
    </r>
  </si>
  <si>
    <t>view Chart 1b data</t>
  </si>
  <si>
    <t>view Chart 1c data</t>
  </si>
  <si>
    <t>view Chart 2a data</t>
  </si>
  <si>
    <t>view Chart 2b data</t>
  </si>
  <si>
    <t>view Chart 2c data</t>
  </si>
  <si>
    <t>view Chart 2d data</t>
  </si>
  <si>
    <t xml:space="preserve"> - an initial diagnosis of stroke i.e. possible stroke patients who may turn out to have another diagnosis once investigations are complete;</t>
  </si>
  <si>
    <t xml:space="preserve"> - a final diagnosis of stroke i.e. patients confirmed as having had strokes when their initial diagnosis may have been considered as something else;</t>
  </si>
  <si>
    <t xml:space="preserve"> - an initial diagnosis and final diagnosis of stroke i.e. patients suspected of having had a stroke who have this diagnosis confirmed on investigation.</t>
  </si>
  <si>
    <t>1. Both initial diagnosis and final diagnosis may be recorded in the SSCA data relating, respectively, to whether a patient may be suspected of having had a stroke and whether the stroke</t>
  </si>
  <si>
    <t xml:space="preserve">    diagnosis is confirmed on investigation. Chart 15a presents information on three groups of patients, those with:</t>
  </si>
  <si>
    <t>2. In some instances, data entered into eSSCA are assigned to admitting hospitals other than the main acute hospitals participating in the Scottish Stroke Care Audit. Data for these</t>
  </si>
  <si>
    <t xml:space="preserve">     hospitals are combined with data for their respective main acute hospitals.</t>
  </si>
  <si>
    <t xml:space="preserve"> Borders</t>
  </si>
  <si>
    <t xml:space="preserve"> Western Isles</t>
  </si>
  <si>
    <t xml:space="preserve"> Shetland</t>
  </si>
  <si>
    <t xml:space="preserve"> Dumfries &amp; Galloway</t>
  </si>
  <si>
    <t xml:space="preserve"> Fife</t>
  </si>
  <si>
    <t xml:space="preserve"> Lanarkshire</t>
  </si>
  <si>
    <t xml:space="preserve"> Forth Valley</t>
  </si>
  <si>
    <t xml:space="preserve"> Ayrshire &amp; Arran</t>
  </si>
  <si>
    <t xml:space="preserve"> Grampian</t>
  </si>
  <si>
    <t xml:space="preserve"> Greater Glasgow &amp; Clyde</t>
  </si>
  <si>
    <t xml:space="preserve"> Tayside</t>
  </si>
  <si>
    <t xml:space="preserve"> Lothian</t>
  </si>
  <si>
    <t xml:space="preserve"> Highland</t>
  </si>
  <si>
    <t xml:space="preserve"> Orkney</t>
  </si>
  <si>
    <t>Percentage
(ranked high-to-low for 2015 by board)</t>
  </si>
  <si>
    <t>2015 (%)</t>
  </si>
  <si>
    <t>Confidence Interval 2014 (%)</t>
  </si>
  <si>
    <t>Confidence interval 2015 (%)</t>
  </si>
  <si>
    <t xml:space="preserve"> Western Isles*</t>
  </si>
  <si>
    <t xml:space="preserve"> Dumfries &amp; Galloway*</t>
  </si>
  <si>
    <t xml:space="preserve"> Shetland*</t>
  </si>
  <si>
    <t xml:space="preserve"> Highland*</t>
  </si>
  <si>
    <t xml:space="preserve"> Orkney*</t>
  </si>
  <si>
    <t>CI
2015</t>
  </si>
  <si>
    <t>Queen Elizabeth University Hospital - Glasgow</t>
  </si>
  <si>
    <t>QEUHG</t>
  </si>
  <si>
    <t>Confidence Interval 2015 (%)</t>
  </si>
  <si>
    <t>NHSScotland</t>
  </si>
  <si>
    <t>Numerator 2015</t>
  </si>
  <si>
    <t>Denominator 2015</t>
  </si>
  <si>
    <t>2015 &lt;=14 days</t>
  </si>
  <si>
    <r>
      <t xml:space="preserve"> Confidence Interval 2015</t>
    </r>
    <r>
      <rPr>
        <b/>
        <vertAlign val="superscript"/>
        <sz val="8"/>
        <color indexed="9"/>
        <rFont val="Arial"/>
        <family val="2"/>
      </rPr>
      <t xml:space="preserve">† </t>
    </r>
  </si>
  <si>
    <t>QMH + VHK</t>
  </si>
  <si>
    <r>
      <t xml:space="preserve">3. Some hospitals (e.g. QEUHG) receive a </t>
    </r>
    <r>
      <rPr>
        <b/>
        <sz val="8"/>
        <rFont val="Arial"/>
        <family val="2"/>
      </rPr>
      <t>small number of patients transferred from neighbouring Health Boards</t>
    </r>
    <r>
      <rPr>
        <sz val="8"/>
        <rFont val="Arial"/>
        <family val="2"/>
      </rPr>
      <t xml:space="preserve"> which may affect their onset-to-needle time performance.</t>
    </r>
  </si>
  <si>
    <r>
      <rPr>
        <b/>
        <sz val="8"/>
        <color theme="1"/>
        <rFont val="Arial"/>
        <family val="2"/>
      </rPr>
      <t xml:space="preserve">3. </t>
    </r>
    <r>
      <rPr>
        <sz val="8"/>
        <color theme="1"/>
        <rFont val="Arial"/>
        <family val="2"/>
      </rPr>
      <t>Carotid intervention procedures in Greater Glasgow and Clyde are carried out by a single team of surgeons at Queen Elizabeth University Hospital.</t>
    </r>
  </si>
  <si>
    <r>
      <rPr>
        <b/>
        <sz val="8"/>
        <color theme="1"/>
        <rFont val="Arial"/>
        <family val="2"/>
      </rPr>
      <t>3.</t>
    </r>
    <r>
      <rPr>
        <sz val="8"/>
        <color theme="1"/>
        <rFont val="Arial"/>
        <family val="2"/>
      </rPr>
      <t xml:space="preserve"> Carotid intervention procedures in Greater Glasgow and Clyde are carried out by a single team of surgeons Queen Elizabeth University Hospital.</t>
    </r>
  </si>
  <si>
    <t>QEUH</t>
  </si>
  <si>
    <t>Queen Elizabeth University Hospital (QEUH)</t>
  </si>
  <si>
    <t>Scottish Index of Multiple Deprivation</t>
  </si>
  <si>
    <t>SIMD 3</t>
  </si>
  <si>
    <t>SIMD 4</t>
  </si>
  <si>
    <t>SIMD 2</t>
  </si>
  <si>
    <t>SIMD 1 (most deprived)</t>
  </si>
  <si>
    <t>SIMD 5 (least deprived)</t>
  </si>
  <si>
    <t>Queen Elizabeth University Hospital</t>
  </si>
  <si>
    <t>Queen Elizabeth University Hospital (QEUH), Glasgow</t>
  </si>
  <si>
    <t>Number of patients receiving thrombolysis in 2015</t>
  </si>
  <si>
    <t>Queen Elizabeth University Hospital, Glasgow (QEUH)</t>
  </si>
  <si>
    <t>Residents</t>
  </si>
  <si>
    <t>Non-residents</t>
  </si>
  <si>
    <r>
      <t xml:space="preserve">Non-resident NHS Boards
</t>
    </r>
    <r>
      <rPr>
        <b/>
        <sz val="8"/>
        <color indexed="9"/>
        <rFont val="Arial"/>
        <family val="2"/>
      </rPr>
      <t>(ranked on number of events, high-to-low)</t>
    </r>
  </si>
  <si>
    <t>Orkney; Outside Scotland/ Not Known/ Other</t>
  </si>
  <si>
    <t>Greater Glasgow &amp; Clyde; Outside Scotland/ Not Known/ Other</t>
  </si>
  <si>
    <t>Fife; Outside Scotland/ Not Known/ Other</t>
  </si>
  <si>
    <t>Highland; Lanarkshire; Outside Scotland/ Not Known/ Other; Ayrshire &amp; Arran</t>
  </si>
  <si>
    <t>Borders; Outside Scotland/ Not Known/ Other</t>
  </si>
  <si>
    <t>Victoria Hospital, Kirkcaldy</t>
  </si>
  <si>
    <t>1. Hospitals shown are those that provide a carotid intervention service and have submitted data to eSSCA for 2015.</t>
  </si>
  <si>
    <t>4. Health Board boundary changes occurred from April 2014. SSCA data use the revised Health Board boundaries. The issue primarily affects NHS Greater Glasgow &amp; Clyde and NHS Lanarkshire.</t>
  </si>
  <si>
    <t>Queen Elizabeth University Hospital, Glasgow</t>
  </si>
  <si>
    <t>Outside Scotland/ Not Known/ Other; Greater Glasgow &amp; Clyde</t>
  </si>
  <si>
    <t>Stroke Patients Discharged during 2015</t>
  </si>
  <si>
    <t>FVRH3</t>
  </si>
  <si>
    <t>GRI3</t>
  </si>
  <si>
    <t>Hyper Acute  Stroke Unit (HASU)  beds</t>
  </si>
  <si>
    <t>(a) Within 30 mins</t>
  </si>
  <si>
    <t>(b) &gt;30&lt;=60 mins*</t>
  </si>
  <si>
    <t>(c) &gt;60&lt;=75 mins*</t>
  </si>
  <si>
    <t>Within 30 mins</t>
  </si>
  <si>
    <t>&gt;30&lt;=60 mins</t>
  </si>
  <si>
    <t>Note that the Scotland column in the chart is coloured green and red simply to differentiate it from the hospital columns and the colours are not indicative of performance. Light green corresponds to '&gt;60&lt;=75 mins', red corresponds to '&gt;30&lt;=60 mins' and dark green corresponds to 'Within 30 mins'.</t>
  </si>
  <si>
    <t>view Chart 1b (final diag) data</t>
  </si>
  <si>
    <t>Lanarkshire (-)</t>
  </si>
  <si>
    <t>Tayside (-s)</t>
  </si>
  <si>
    <t>Shetland (-)</t>
  </si>
  <si>
    <t>Lothian (-)</t>
  </si>
  <si>
    <t>Orkney (+s)</t>
  </si>
  <si>
    <t>Table 4 Thrombolysis - numbers thrombolysed and crude rate per 100,000 by Health Board of residence of patient, 2015 data.</t>
  </si>
  <si>
    <t>Table 6  Carotid Endarterectomy - number of patients receiving a carotid endarterectomy in acute hospitals in Scotland during Jan-Dec 2015.</t>
  </si>
  <si>
    <t>Table 3</t>
  </si>
  <si>
    <t>Table 4</t>
  </si>
  <si>
    <t>Chart 17a</t>
  </si>
  <si>
    <t>Notes regarding Table 3:</t>
  </si>
  <si>
    <t>1. Note that this table is not directly comparable with Table 4 because it is based on hospital/ NHS board of treatment rather than Health Board of residence, upon which Table 6 is based. Health Boards may treat patients from outside their board area or may treat non-Scottish residents.</t>
  </si>
  <si>
    <r>
      <t>Notes regarding Table 4</t>
    </r>
    <r>
      <rPr>
        <sz val="8"/>
        <rFont val="Arial"/>
        <family val="2"/>
      </rPr>
      <t>:</t>
    </r>
  </si>
  <si>
    <t>1. Note that this table is not directly comparable with Table 3 because it is based on Health Board of residence rather than hospital/ NHS board of treatment , upon which Table 3 is based. Health Board residents may travel for treatment at hospitals outside their immediate Health Board area. Also, some patients may be non-Scottish residents.</t>
  </si>
  <si>
    <r>
      <t>3. At the time of preparing the table the population estimates used were the latest available from National Records of Scotland (formerly General Register Office for Scotland, which merged with National Archives of Scotland from 1</t>
    </r>
    <r>
      <rPr>
        <vertAlign val="superscript"/>
        <sz val="8"/>
        <rFont val="Arial"/>
        <family val="2"/>
      </rPr>
      <t>st</t>
    </r>
    <r>
      <rPr>
        <sz val="8"/>
        <rFont val="Arial"/>
        <family val="2"/>
      </rPr>
      <t xml:space="preserve"> April 2011). Health Board boundary changes occurred from April 2014. SSCA data and mid-year population estimates use the revised Health Board boundaries. The issue primarily affects NHS Greater Glasgow &amp; Clyde and NHS Lanarkshire.</t>
    </r>
  </si>
  <si>
    <r>
      <t>Note regarding Table 5</t>
    </r>
    <r>
      <rPr>
        <sz val="8"/>
        <rFont val="Arial"/>
        <family val="2"/>
      </rPr>
      <t>:</t>
    </r>
  </si>
  <si>
    <t>Notes regarding Table 6:</t>
  </si>
  <si>
    <t xml:space="preserve">    or discharge. This means the table is not directly comparable to the discharge figures shown in Table 2.</t>
  </si>
  <si>
    <t>Monklands Hospital, Airdrie</t>
  </si>
  <si>
    <t>1. In some instances, data entered into eSSCA are assigned to admitting hospitals other than the main acute hospitals participating in the Scottish Stroke Care Audit. Data for these hospitals are combined with data for their respective main acute hospitals.</t>
  </si>
  <si>
    <t>3. The chart only includes events where all relevant dates (last event, event to referral, referral received, appointment, attendance and imaging) are present and ordered chronologically.</t>
  </si>
  <si>
    <t>3.  In some instances, data entered into eSSCA are assigned to admitting hospitals other than the main acute hospitals participating in the Scottish Stroke Care Audit. Data for these hospitals are combined with data for their respective main acute hospitals.</t>
  </si>
  <si>
    <t>4. Some hospitals (e.g. Queen Elizabeth University Hospital) receive a small number of patients transferred from neighbouring Health Boards which may affect their onset-to-needle time performance.</t>
  </si>
  <si>
    <t>6. The central boxes display the middle 50% of the data which is any data point within the 2nd and 3rd quartiles.  The meeting point of the the two boxes is the median.  Data outside this is included in the whisker unless the data point is greater than 1.5x the interquartile range (the two grey boxes). These data points are deemed to be outliers and are reported as a point separate from the box and whisker plot.</t>
  </si>
  <si>
    <t>Rate per 100,000 residents</t>
  </si>
  <si>
    <t>Mean Age Males (years)</t>
  </si>
  <si>
    <t>Mean Age Females (years)</t>
  </si>
  <si>
    <t>Males</t>
  </si>
  <si>
    <t>Ischaemic Strokes</t>
  </si>
  <si>
    <t>SIMD 1
(Most deprived)</t>
  </si>
  <si>
    <t>SIMD 5
(Least deprived)</t>
  </si>
  <si>
    <t>Percentage of Confirmed Strokes</t>
  </si>
  <si>
    <t>Crude rate per 100,000 residents</t>
  </si>
  <si>
    <t>Chart 4  Percentage of stroke patients with a brain scan by number of hours to scan, 2015 data (based on final diagnosis).</t>
  </si>
  <si>
    <t>view Chart 1c (final) data</t>
  </si>
  <si>
    <r>
      <t>Notes regarding Chart 1c (final diagnosis)</t>
    </r>
    <r>
      <rPr>
        <sz val="8"/>
        <color indexed="8"/>
        <rFont val="Arial"/>
        <family val="2"/>
      </rPr>
      <t>:</t>
    </r>
  </si>
  <si>
    <r>
      <t xml:space="preserve">1. The denominator for the </t>
    </r>
    <r>
      <rPr>
        <b/>
        <sz val="8"/>
        <rFont val="Arial"/>
        <family val="2"/>
      </rPr>
      <t>percentages excludes patients with valid reasons not to give early aspirin</t>
    </r>
    <r>
      <rPr>
        <sz val="8"/>
        <rFont val="Arial"/>
        <family val="2"/>
      </rPr>
      <t>.</t>
    </r>
  </si>
  <si>
    <r>
      <t xml:space="preserve">2. The following </t>
    </r>
    <r>
      <rPr>
        <b/>
        <sz val="8"/>
        <rFont val="Arial"/>
        <family val="2"/>
      </rPr>
      <t>hospitals either do not hold specialist stroke/TIA clinics or do not collect and submit data to SSCA</t>
    </r>
    <r>
      <rPr>
        <sz val="8"/>
        <rFont val="Arial"/>
        <family val="2"/>
      </rPr>
      <t xml:space="preserve"> – Caithness, QEUH, WIG, GCH, Belford, GRI, IRH, VI Glasgow, RAH, RIE, Balfour, Gilbert Bain and Uist &amp; Barra. The </t>
    </r>
    <r>
      <rPr>
        <b/>
        <sz val="8"/>
        <rFont val="Arial"/>
        <family val="2"/>
      </rPr>
      <t>omission of these data may affect the estimate of national performance</t>
    </r>
    <r>
      <rPr>
        <sz val="8"/>
        <rFont val="Arial"/>
        <family val="2"/>
      </rPr>
      <t xml:space="preserve"> based on those hospitals contributing to SSCA.</t>
    </r>
  </si>
  <si>
    <t>Chart 7   Percentage of patients with definite cerebrovascular diagnosis seen in specialist stroke/ TIA clinic with referral to examination time (days): same day and within 1, 2-4 and 5-7 days, 2015 data.</t>
  </si>
  <si>
    <t>For notes regarding Chart 9 please see notes regarding Chart 10.</t>
  </si>
  <si>
    <t>Chart 10  Percentage of patients receiving thrombolysis within 30, 60 &amp; 75 minutes of arrival at first hospital,  2015 data.</t>
  </si>
  <si>
    <t>Notes regarding Charts 9 and 10:</t>
  </si>
  <si>
    <r>
      <t>Notes regarding Chart 11</t>
    </r>
    <r>
      <rPr>
        <sz val="8"/>
        <color indexed="8"/>
        <rFont val="Arial"/>
        <family val="2"/>
      </rPr>
      <t>:</t>
    </r>
  </si>
  <si>
    <t>Notes regarding chart 12:</t>
  </si>
  <si>
    <t>3. A small proportion of records have a carotid intervention date but no date recorded for the event that led to the first medical assessment. These records are included in the denominator because the presence of an intervention date indicates that a carotid intervention was performed. The absence of a date for the event that led to the first medical assessment, however, prevents the calculation of days to carotid intervention so these cases cannot be measured against the 14 day standard and cannot be confirmed as having achieved it and are assumed not to have done so. This is a slightly different approach from Chart 16b where inclusion in the chart requires both a carotid intervention date and date recorded for the event that led to the first medical assessment. As a result, the Chart 12 denominators, for individual hospitals, may be slightly higher than those in Chart 16b.</t>
  </si>
  <si>
    <r>
      <t xml:space="preserve">Chart 14a Comparison of </t>
    </r>
    <r>
      <rPr>
        <b/>
        <i/>
        <sz val="10"/>
        <rFont val="Arial"/>
        <family val="2"/>
      </rPr>
      <t>initial</t>
    </r>
    <r>
      <rPr>
        <b/>
        <sz val="10"/>
        <rFont val="Arial"/>
        <family val="2"/>
      </rPr>
      <t xml:space="preserve"> diagnosis of stroke versus </t>
    </r>
    <r>
      <rPr>
        <b/>
        <i/>
        <sz val="10"/>
        <rFont val="Arial"/>
        <family val="2"/>
      </rPr>
      <t>final</t>
    </r>
    <r>
      <rPr>
        <b/>
        <sz val="10"/>
        <rFont val="Arial"/>
        <family val="2"/>
      </rPr>
      <t xml:space="preserve"> diagnosis of stroke, 2015 data.</t>
    </r>
  </si>
  <si>
    <t>Notes regarding chart 14a:</t>
  </si>
  <si>
    <t>Notes regarding chart 15:</t>
  </si>
  <si>
    <t>Notes regarding Chart 16a:</t>
  </si>
  <si>
    <r>
      <rPr>
        <b/>
        <sz val="8"/>
        <color theme="1"/>
        <rFont val="Arial"/>
        <family val="2"/>
      </rPr>
      <t>4.</t>
    </r>
    <r>
      <rPr>
        <sz val="8"/>
        <color theme="1"/>
        <rFont val="Arial"/>
        <family val="2"/>
      </rPr>
      <t xml:space="preserve"> Only cases where there are valid dates for the event that led to the first medical assessment and date of carotid intervention have been included. This is a slightly different approach from the denominators used in Table 5 where records with a date of carotid intervention but no dates for the event that led to the first medical assessment may be included. As a result, the Chart 16a denominators, for individual Health Boards, may be slightly lower than those in Table 5.</t>
    </r>
  </si>
  <si>
    <t>Notes regarding Chart 16b:</t>
  </si>
  <si>
    <t>For notes affecting the interpretation of Chart 17a please see Chart 2a.</t>
  </si>
  <si>
    <t>For notes affecting the interpretation of Chart 17c please see Chart 2c.</t>
  </si>
  <si>
    <t>the period presented in Chart 17c and this should be borne in mind when interpreting the information in the accompanying data table (Chart 17c DATA).</t>
  </si>
  <si>
    <t>For notes affecting the interpretation of Chart 17d please see Chart 2d.</t>
  </si>
  <si>
    <t>view Chart 17c data</t>
  </si>
  <si>
    <t>view Chart 17d data</t>
  </si>
  <si>
    <t>view Chart 17a data</t>
  </si>
  <si>
    <t>view Chart 9 data</t>
  </si>
  <si>
    <t>view Chart 6 data</t>
  </si>
  <si>
    <t>The information in this table provides details of the numerators and denominators used to calculate the percentages appearing in Tables 1a, 1b and 1c of the PDF version of the annual report.</t>
  </si>
  <si>
    <t>The information in this table is presented as Tables 1a, 1b and 1c of the PDF version of the annual report.</t>
  </si>
  <si>
    <t>Chart 14a</t>
  </si>
  <si>
    <t>Chart 15</t>
  </si>
  <si>
    <t>Chart 16a</t>
  </si>
  <si>
    <t>Chart 16b</t>
  </si>
  <si>
    <t>Chart 17c</t>
  </si>
  <si>
    <t>Chart 17d</t>
  </si>
  <si>
    <t>1. Hospitals shown are those that provide a thrombolysis service. Records included must have date and time of arrival at first hospital and date and time of thrombolysis to permit the calculation of time to thrombolysis and a small proportion of records are missing these data items.  These records have been excluded from Chart 11. This is a slightly different approach from the denominators used in Chart 9 and Chart 10 where records with a thrombolysis date but no thrombolysis time may be included. As a result, the Chart 11 denominators, for individual hospitals, may be slightly lower than those in either Chart 9 or Chart 10.</t>
  </si>
  <si>
    <r>
      <t>1.</t>
    </r>
    <r>
      <rPr>
        <b/>
        <sz val="8"/>
        <rFont val="Arial"/>
        <family val="2"/>
      </rPr>
      <t xml:space="preserve"> Hospitals shown are those that provide a thrombolysis service</t>
    </r>
    <r>
      <rPr>
        <sz val="8"/>
        <rFont val="Arial"/>
        <family val="2"/>
      </rPr>
      <t>. See Table 3 for further details. Records included must have date and time of arrival at first hospital and date and time of thrombolysis to permit the calculation of time to thrombolysis and a small proportion of records are missing these data items.</t>
    </r>
  </si>
  <si>
    <t>6. A small proportion of records have thrombolysis date recorded but no thrombolysis time. These records are included in the denominator because the presence of a date indicates thrombolysis occurred. The absence of a thrombolysis time, however, prevents the calculation of door-to-needle time so these cases cannot be measured against the 60 minute standard and cannot be confirmed as having achieved it and are assumed not to have done so. This is a slightly different approach from Chart 11 where inclusion in the chart requires both a thrombolysis date and thrombolysis time. As a result, the Chart 9 and Chart 10 denominators, for individual hospitals, may be slightly higher than those in Chart 11.</t>
  </si>
  <si>
    <r>
      <rPr>
        <b/>
        <sz val="8"/>
        <color theme="1"/>
        <rFont val="Arial"/>
        <family val="2"/>
      </rPr>
      <t xml:space="preserve">4. </t>
    </r>
    <r>
      <rPr>
        <sz val="8"/>
        <color theme="1"/>
        <rFont val="Arial"/>
        <family val="2"/>
      </rPr>
      <t>Only hospitals where there are valid dates for the event that led to the first medical assessment and date of carotid intervention have been included. This is a slightly different approach from the denominators used in Table 6 and Chart 12 where records with a date of carotid intervention but no dates for the event that led to the first medical assessment may be included. As a result, the Chart 16b denominators, for individual hospitals, may be slightly lower than those in Table 5 and Chart 12.</t>
    </r>
  </si>
  <si>
    <t>view Chart 7 data</t>
  </si>
  <si>
    <t>view Chart 5 data</t>
  </si>
  <si>
    <t>view Chart 4 data</t>
  </si>
  <si>
    <t>view Chart 3 data</t>
  </si>
  <si>
    <t>Tables 1a 1b 1c extra detail</t>
  </si>
  <si>
    <t>For a more detailed version of this table please see worksheet …</t>
  </si>
  <si>
    <t>view Chart 13 data</t>
  </si>
  <si>
    <t>2. Records are included if a thrombolysis date is present; a small proportion of these records will not have an associated thrombolysis time recorded. This table also includes a small proportion of patients who were thrombolysed for a non-index event. This differs slightly from Chart 9 where measurement of the 60 minute thrombolysis door-to-needle time standard focuses on patients thrombolysed for index events only.</t>
  </si>
  <si>
    <t>Chart 1b (final diag)</t>
  </si>
  <si>
    <t>Chart 1c (final diag)</t>
  </si>
  <si>
    <t>Horizontal line reflects Scottish Stroke Care Standard (2013) of 95% ischaemic stroke patients to receive aspirin within 1 day of admission.</t>
  </si>
  <si>
    <t>Horizontal line reflects Scottish Stroke Care Standard (2013) of 95% of acute ischaemic stroke patients to receive aspirin within 1 day of admission.</t>
  </si>
  <si>
    <t>*</t>
  </si>
  <si>
    <t>7. A small proportion of records may involve admission dates at the end of one year and thrombolysis dates at the beginning of the next year.</t>
  </si>
  <si>
    <t>Count</t>
  </si>
  <si>
    <t>.00</t>
  </si>
  <si>
    <t>1.00</t>
  </si>
  <si>
    <t>2015.00</t>
  </si>
  <si>
    <t>2016.00</t>
  </si>
  <si>
    <t>2016 (%)</t>
  </si>
  <si>
    <t>Confidence interval 2016 (%)</t>
  </si>
  <si>
    <t>Confidence Interval 2015(%)</t>
  </si>
  <si>
    <t>CI
2016</t>
  </si>
  <si>
    <r>
      <t xml:space="preserve">Chart 2a  Percentage of stroke patients admitted to a Stroke Unit within 1 day of admission to hospital, 2015 and 2016 data (based on </t>
    </r>
    <r>
      <rPr>
        <b/>
        <i/>
        <sz val="10"/>
        <rFont val="Arial"/>
        <family val="2"/>
      </rPr>
      <t>final</t>
    </r>
    <r>
      <rPr>
        <b/>
        <sz val="10"/>
        <rFont val="Arial"/>
        <family val="2"/>
      </rPr>
      <t xml:space="preserve"> diagnosis).</t>
    </r>
  </si>
  <si>
    <t>2016 (%) - no statistically significant change</t>
  </si>
  <si>
    <t>2016 (%) - statistically significant improvement</t>
  </si>
  <si>
    <t>2016 (%) - statistically significant decline</t>
  </si>
  <si>
    <r>
      <t xml:space="preserve">3. </t>
    </r>
    <r>
      <rPr>
        <b/>
        <sz val="8"/>
        <rFont val="Arial"/>
        <family val="2"/>
      </rPr>
      <t>The data included in chart 2a were extracted from eSSCA on the 23rd March 2017</t>
    </r>
    <r>
      <rPr>
        <sz val="8"/>
        <rFont val="Arial"/>
        <family val="2"/>
      </rPr>
      <t>. Changes/ updates to the data following this date will therefore not feature in</t>
    </r>
  </si>
  <si>
    <r>
      <t xml:space="preserve">  this analysis. The data relate to patients with </t>
    </r>
    <r>
      <rPr>
        <b/>
        <i/>
        <sz val="8"/>
        <rFont val="Arial"/>
        <family val="2"/>
      </rPr>
      <t>final</t>
    </r>
    <r>
      <rPr>
        <sz val="8"/>
        <rFont val="Arial"/>
        <family val="2"/>
      </rPr>
      <t xml:space="preserve"> diagnosis of stroke and are for </t>
    </r>
    <r>
      <rPr>
        <b/>
        <sz val="8"/>
        <rFont val="Arial"/>
        <family val="2"/>
      </rPr>
      <t>calendar years 2015 and 2016</t>
    </r>
    <r>
      <rPr>
        <sz val="8"/>
        <rFont val="Arial"/>
        <family val="2"/>
      </rPr>
      <t xml:space="preserve"> (i.e. 1 January - 31 December).</t>
    </r>
  </si>
  <si>
    <r>
      <t xml:space="preserve">1. </t>
    </r>
    <r>
      <rPr>
        <b/>
        <sz val="8"/>
        <rFont val="Arial"/>
        <family val="2"/>
      </rPr>
      <t>The data included in chart 2b were extracted from eSSCA on the 23rd March 2017</t>
    </r>
    <r>
      <rPr>
        <sz val="8"/>
        <rFont val="Arial"/>
        <family val="2"/>
      </rPr>
      <t>. Changes/ updates to the data following this date will therefore not feature in</t>
    </r>
  </si>
  <si>
    <r>
      <t xml:space="preserve">  this analysis. The data relate to patients with </t>
    </r>
    <r>
      <rPr>
        <b/>
        <i/>
        <sz val="8"/>
        <rFont val="Arial"/>
        <family val="2"/>
      </rPr>
      <t>final</t>
    </r>
    <r>
      <rPr>
        <sz val="8"/>
        <rFont val="Arial"/>
        <family val="2"/>
      </rPr>
      <t xml:space="preserve"> diagnosis of stroke and are for the nine month period  1 April - 31 December </t>
    </r>
    <r>
      <rPr>
        <b/>
        <sz val="8"/>
        <rFont val="Arial"/>
        <family val="2"/>
      </rPr>
      <t>in years 2015 and 2016</t>
    </r>
    <r>
      <rPr>
        <sz val="8"/>
        <rFont val="Arial"/>
        <family val="2"/>
      </rPr>
      <t>).</t>
    </r>
  </si>
  <si>
    <r>
      <t xml:space="preserve">Chart 2c  Percentage of stroke patients with a brain scan within 24 hours of admission, 2015 and 2016 data (based on </t>
    </r>
    <r>
      <rPr>
        <b/>
        <i/>
        <sz val="10"/>
        <rFont val="Arial"/>
        <family val="2"/>
      </rPr>
      <t>final</t>
    </r>
    <r>
      <rPr>
        <b/>
        <sz val="10"/>
        <rFont val="Arial"/>
        <family val="2"/>
      </rPr>
      <t xml:space="preserve"> diagnosis).</t>
    </r>
  </si>
  <si>
    <r>
      <t xml:space="preserve">3. </t>
    </r>
    <r>
      <rPr>
        <b/>
        <sz val="8"/>
        <rFont val="Arial"/>
        <family val="2"/>
      </rPr>
      <t>The data included in chart 2c were extracted from eSSCA on the 23rd March 2017</t>
    </r>
    <r>
      <rPr>
        <sz val="8"/>
        <rFont val="Arial"/>
        <family val="2"/>
      </rPr>
      <t>. Changes/ updates to the data following this date will therefore not feature in</t>
    </r>
  </si>
  <si>
    <r>
      <t xml:space="preserve">  this analysis. The data relate to patients with </t>
    </r>
    <r>
      <rPr>
        <b/>
        <i/>
        <sz val="8"/>
        <rFont val="Arial"/>
        <family val="2"/>
      </rPr>
      <t>final</t>
    </r>
    <r>
      <rPr>
        <sz val="8"/>
        <rFont val="Arial"/>
        <family val="2"/>
      </rPr>
      <t xml:space="preserve"> diagnosis of stroke and are for </t>
    </r>
    <r>
      <rPr>
        <b/>
        <sz val="8"/>
        <rFont val="Arial"/>
        <family val="2"/>
      </rPr>
      <t xml:space="preserve">calendar years 2015 and 2016 </t>
    </r>
    <r>
      <rPr>
        <sz val="8"/>
        <rFont val="Arial"/>
        <family val="2"/>
      </rPr>
      <t>(i.e. 1 January - 31 December).</t>
    </r>
  </si>
  <si>
    <t>Chart 2d  Percentage of acute ischaemic stroke patients given aspirin in hospital within 1 day of admission, 2015 and 2016 data (based on final diagnosis).</t>
  </si>
  <si>
    <r>
      <t xml:space="preserve">2. </t>
    </r>
    <r>
      <rPr>
        <b/>
        <sz val="8"/>
        <rFont val="Arial"/>
        <family val="2"/>
      </rPr>
      <t>The data included in chart 2d were extracted from eSSCA on the 23rd March 2017</t>
    </r>
    <r>
      <rPr>
        <sz val="8"/>
        <rFont val="Arial"/>
        <family val="2"/>
      </rPr>
      <t>. Changes/ updates to the data following this date will therefore not feature in</t>
    </r>
  </si>
  <si>
    <t>Confidence Interval 2016 (%)</t>
  </si>
  <si>
    <t>Q4_UNIT_WHERE_SEEN * OP_CLINIC_4DAYS * OP_CLINIC_YEAR Crosstabulation</t>
  </si>
  <si>
    <t>OP_CLINIC_YEAR</t>
  </si>
  <si>
    <t>OP_CLINIC_4DAYS</t>
  </si>
  <si>
    <t>Q4_UNIT_WHERE_SEEN</t>
  </si>
  <si>
    <t>Campbeltown Hospital</t>
  </si>
  <si>
    <t>Mid Argyll Hospital</t>
  </si>
  <si>
    <t>Chart 6  Percentage of patients with definite cerebrovascular diagnosis seen in specialist stroke/ TIA clinic with referral to examination time within 4 days, 2015 and 2016 data.</t>
  </si>
  <si>
    <t>3. For NHS Fife, the outpatient service for patients with suspected cerebrovascular conditions functions as a single service delivered across two sites, Queen Margaret Hospital and Victoria Hospital Kirkcaldy. Chart 7 separates the performance for these hospitals but they should be considered as a single NHS Fife service. The combined performance for 2015 and 2016 shows 74% and 82% respectively, an increase of 8% between the two years.</t>
  </si>
  <si>
    <t>Q4B_INTERVENTIONIST_LOCATION * CI_14DAYS * CI_YEAR Crosstabulation</t>
  </si>
  <si>
    <t>CI_YEAR</t>
  </si>
  <si>
    <t>CI_14DAYS</t>
  </si>
  <si>
    <t>Q4B_INTERVENTIONIST_LOCATION</t>
  </si>
  <si>
    <t>Hospital Outwith Scotland</t>
  </si>
  <si>
    <t>2015 - 2016</t>
  </si>
  <si>
    <t>Chart 12  Percentage of patients undergoing a carotid intervention within 14 days of the event that led the patient to first seek medical assistance, 2015 and 2016 data.</t>
  </si>
  <si>
    <t>2016 &lt;=14 days</t>
  </si>
  <si>
    <r>
      <t xml:space="preserve"> Confidence Interval 2016</t>
    </r>
    <r>
      <rPr>
        <b/>
        <vertAlign val="superscript"/>
        <sz val="8"/>
        <color indexed="9"/>
        <rFont val="Arial"/>
        <family val="2"/>
      </rPr>
      <t xml:space="preserve">† </t>
    </r>
  </si>
  <si>
    <t>Numerator 2016</t>
  </si>
  <si>
    <t>Denominator 2016</t>
  </si>
  <si>
    <t>Note that the Scotland columns in the chart are coloured light green and dark green simply to differentiate them from the hospital columns and the colours are not indicative of performance. Light green corresponds to '2015' and dark green corresponds to '2016'.</t>
  </si>
  <si>
    <t>Bracketed number on chart x-axis indicates number of patients in denominator for 2016.</t>
  </si>
  <si>
    <r>
      <t xml:space="preserve">1. </t>
    </r>
    <r>
      <rPr>
        <b/>
        <sz val="8"/>
        <rFont val="Arial"/>
        <family val="2"/>
      </rPr>
      <t>Hospitals shown are those that provide a carotid intervention service</t>
    </r>
    <r>
      <rPr>
        <sz val="8"/>
        <rFont val="Arial"/>
        <family val="2"/>
      </rPr>
      <t xml:space="preserve"> </t>
    </r>
    <r>
      <rPr>
        <b/>
        <sz val="8"/>
        <rFont val="Arial"/>
        <family val="2"/>
      </rPr>
      <t>and have submitted data to eSSCA for 2016</t>
    </r>
    <r>
      <rPr>
        <sz val="8"/>
        <rFont val="Arial"/>
        <family val="2"/>
      </rPr>
      <t xml:space="preserve">. </t>
    </r>
    <r>
      <rPr>
        <b/>
        <sz val="8"/>
        <rFont val="Arial"/>
        <family val="2"/>
      </rPr>
      <t/>
    </r>
  </si>
  <si>
    <r>
      <t xml:space="preserve">  this analysis. </t>
    </r>
    <r>
      <rPr>
        <b/>
        <sz val="8"/>
        <rFont val="Arial"/>
        <family val="2"/>
      </rPr>
      <t>The data are for the nine month period  1 April - 31 December in years 2015 and 2016</t>
    </r>
    <r>
      <rPr>
        <sz val="8"/>
        <rFont val="Arial"/>
        <family val="2"/>
      </rPr>
      <t>.</t>
    </r>
  </si>
  <si>
    <t>Stroke Standard (2016)</t>
  </si>
  <si>
    <t>Chart 8 Median waits since stroke event to points on the outpatient imaging timeline, 2015 and 2016 data.</t>
  </si>
  <si>
    <t>4. Galloway Community Hospital and Caithness Hospital recorded only one outpatient imaging event each in 2016 and these have not been included in the chart. However, these events are included in calculating the median waits for Scotland.</t>
  </si>
  <si>
    <t>2. The following hospitals either do not hold specialist stroke/TIA clinics or do not collect and submit data to SSCA – Belford, GRI, IRH, QEUH, RAH,Gilbert Bain and Uist &amp; Barra. Balfour Hospital did not submit data in 2015. The omission of these data may affect the estimate of national performance based on those hospitals contributing to SSCA.</t>
  </si>
  <si>
    <t>5. Royal Infirmary of Edinburgh did not perform outpatient imaging in 2015.</t>
  </si>
  <si>
    <t>Chart 11 Thrombolysis door-to-needle time distributions (minutes) by hospital, 2015 and 2016 data.</t>
  </si>
  <si>
    <t>2. Four Hospitals (Ayr Hospital, Belford Hospital, Gilbert Bain Hospital and Royal Alexandra Hospital) did not thrombolyse enough patients to present meaningfully as a box plot.</t>
  </si>
  <si>
    <t>5. The entry for Scotland includes the thrombolysis events for the four hospitals not listed. The calculations for the Scotland box plot also include all the data points beyond the chart axis although these are not annotated on the Scotland entry in the chart.</t>
  </si>
  <si>
    <t>Chart 16a Distribution of time between stroke event and carotid intervention by health board of residence, 2015 and 2016 data.</t>
  </si>
  <si>
    <t>Chart 16b Distribution of time between stroke event and carotid intervention by interventionist location, 2015 and 2016 data.</t>
  </si>
  <si>
    <r>
      <rPr>
        <b/>
        <sz val="8"/>
        <color theme="1"/>
        <rFont val="Arial"/>
        <family val="2"/>
      </rPr>
      <t>1.</t>
    </r>
    <r>
      <rPr>
        <sz val="8"/>
        <color theme="1"/>
        <rFont val="Arial"/>
        <family val="2"/>
      </rPr>
      <t xml:space="preserve"> Hospital shown are those that provide a carotid intervention service and have submitted data to eSSCA for 2015/2016. </t>
    </r>
  </si>
  <si>
    <r>
      <t xml:space="preserve">Chart 14a Comparison of </t>
    </r>
    <r>
      <rPr>
        <b/>
        <i/>
        <sz val="10"/>
        <rFont val="Arial"/>
        <family val="2"/>
      </rPr>
      <t>initial</t>
    </r>
    <r>
      <rPr>
        <b/>
        <sz val="10"/>
        <rFont val="Arial"/>
        <family val="2"/>
      </rPr>
      <t xml:space="preserve"> diagnosis of stroke versus </t>
    </r>
    <r>
      <rPr>
        <b/>
        <i/>
        <sz val="10"/>
        <rFont val="Arial"/>
        <family val="2"/>
      </rPr>
      <t>final</t>
    </r>
    <r>
      <rPr>
        <b/>
        <sz val="10"/>
        <rFont val="Arial"/>
        <family val="2"/>
      </rPr>
      <t xml:space="preserve"> diagnosis of stroke, 2016 data.</t>
    </r>
  </si>
  <si>
    <t xml:space="preserve"> </t>
  </si>
  <si>
    <t>Chart 7   Percentage of patients with definite cerebrovascular diagnosis seen in specialist stroke/ TIA clinic with referral to examination time (days): same day and within 1, 2-4 and 5-7 days, 2016 data.</t>
  </si>
  <si>
    <t>Table 1  Numbers of stroke patients by age, sex, case mix, deprivation category and NHS board of residence, 2016 data (final diagnosis).</t>
  </si>
  <si>
    <t>Table 1  Numbers of confirmed stroke patients by NHS Board of Residence, showing percentage by age, sex, stroke type, case mix and deprivation category, 2016 data (final diagnosis).</t>
  </si>
  <si>
    <t>Number of acute strokes discharged in 2016</t>
  </si>
  <si>
    <t>Number of patients receiving thrombolysis in 2016</t>
  </si>
  <si>
    <t>Table 3  Thrombolysis - numbers thrombolysed, 2015 &amp; 2016 data.</t>
  </si>
  <si>
    <t>Chart 10  Percentage of patients receiving thrombolysis within 30, 60 &amp; 75 minutes of arrival at first hospital,  2016 data.</t>
  </si>
  <si>
    <t>Chart 9   Percentage of patients with door-to-needle times for thrombolysis within 1 hour, 2015 and 2016 data.</t>
  </si>
  <si>
    <t>Scottish Stroke Care Audit 2017 National Report: Stroke Services in Scottish Hospitals, Data Relating to 2016.</t>
  </si>
  <si>
    <t>Table 4 Thrombolysis - numbers thrombolysed and crude rate per 100,000 by Health Board of residence of patient, 2016 data.</t>
  </si>
  <si>
    <r>
      <t>Mid-Year Population Estimate</t>
    </r>
    <r>
      <rPr>
        <b/>
        <vertAlign val="superscript"/>
        <sz val="10"/>
        <color indexed="9"/>
        <rFont val="Arial"/>
        <family val="2"/>
      </rPr>
      <t>2</t>
    </r>
    <r>
      <rPr>
        <b/>
        <sz val="10"/>
        <color indexed="9"/>
        <rFont val="Arial"/>
        <family val="2"/>
      </rPr>
      <t xml:space="preserve"> 2016</t>
    </r>
  </si>
  <si>
    <r>
      <t>Mid-Year Population Estimate</t>
    </r>
    <r>
      <rPr>
        <b/>
        <vertAlign val="superscript"/>
        <sz val="10"/>
        <color indexed="9"/>
        <rFont val="Arial"/>
        <family val="2"/>
      </rPr>
      <t>2</t>
    </r>
    <r>
      <rPr>
        <b/>
        <sz val="10"/>
        <color indexed="9"/>
        <rFont val="Arial"/>
        <family val="2"/>
      </rPr>
      <t xml:space="preserve"> 2015</t>
    </r>
  </si>
  <si>
    <r>
      <t>Notes regarding Table 4 (2015)</t>
    </r>
    <r>
      <rPr>
        <sz val="8"/>
        <rFont val="Arial"/>
        <family val="2"/>
      </rPr>
      <t>:</t>
    </r>
  </si>
  <si>
    <t>Table 5  Thrombolysis - numbers thrombolysed as percentage of stroke patients, and as a rate per 100,000 total population, Scotland, 2008-2016.</t>
  </si>
  <si>
    <t>Table 6  Carotid Endarterectomy - number of patients receiving a carotid endarterectomy in acute hospitals in Scotland during Jan-Dec 2016.</t>
  </si>
  <si>
    <t>1. Hospitals shown are those that provide a carotid intervention service and have submitted data to eSSCA for 2016.</t>
  </si>
  <si>
    <t>Highland; Orkney</t>
  </si>
  <si>
    <t>Lanarkshire; Highland; OutsideScotland/ Not Known/ Other; Ayrshire &amp; Arran</t>
  </si>
  <si>
    <t>Borders; Forth Valley</t>
  </si>
  <si>
    <t>Notes regarding Table 6 (2015):</t>
  </si>
  <si>
    <t>Chart 4  Percentage of stroke patients with a brain scan by number of hours to scan, 2016 data (based on final diagnosis).</t>
  </si>
  <si>
    <t>1. Balfour Hospital, NHS Orkney, implemented a CT scanning service during 2015. Prior to the introduction of this service, patients were airlifted to Aberdeen Royal Infirmary and a proportion may have arrived in sufficient time to have brain imaging within 24 hours of admission.</t>
  </si>
  <si>
    <r>
      <t xml:space="preserve">Chart 5  Percentage of acute ischaemic stroke patients given aspirin in hospital by number of days to receipt, 2016 data (based on </t>
    </r>
    <r>
      <rPr>
        <b/>
        <i/>
        <sz val="10"/>
        <rFont val="Arial"/>
        <family val="2"/>
      </rPr>
      <t>final</t>
    </r>
    <r>
      <rPr>
        <b/>
        <sz val="10"/>
        <rFont val="Arial"/>
        <family val="2"/>
      </rPr>
      <t xml:space="preserve"> diagnosis).</t>
    </r>
  </si>
  <si>
    <t>Note that some percentages are based on very small numbers of records.</t>
  </si>
  <si>
    <t>All ischaemic stroke patients</t>
  </si>
  <si>
    <t>Ischaemic stroke patients discharged alive</t>
  </si>
  <si>
    <t>With current AF on admission:</t>
  </si>
  <si>
    <t>With current AF on discharge:</t>
  </si>
  <si>
    <t>Number on anticoagulation  at onset of current cerebrovascular event</t>
  </si>
  <si>
    <t>Percentage on anticoagulation  at onset of current cerebrovascular event</t>
  </si>
  <si>
    <t xml:space="preserve">Number with anticoagulation prescribed or recommended  at discharge </t>
  </si>
  <si>
    <t xml:space="preserve">Percentage with anticoagulation prescribed or recommended  at discharge </t>
  </si>
  <si>
    <t>Patients with ischaemic diagnosis seen in specialist stroke/TIA clinics during 2016</t>
  </si>
  <si>
    <t xml:space="preserve">Number with current AF </t>
  </si>
  <si>
    <t>Number with current AF and on anticoagulation at onset of current cerebrovascular event</t>
  </si>
  <si>
    <t>Percentage with current AF and on anticoagulation at onset of current cerebrovascular event</t>
  </si>
  <si>
    <t>Number with current AF and anticoagulation continued, commenced or recommended at first assessment</t>
  </si>
  <si>
    <t>Percentage with current AF and anticoagulation continued, commenced or recommended at first assessment</t>
  </si>
  <si>
    <t>Queen Margaret Hospital, Dunfermline</t>
  </si>
  <si>
    <t>Stracathro Hospital, Brechin</t>
  </si>
  <si>
    <t>1. The source database, eSSCA, captures information about stroke type for outpatients via a question on stroke pathology but also includes additional variables to indicate Transient Ischaemic Attack (TIA), transient monocular blindness (TMB) and retinal artery occlusion (RAO). The cohort of patients for Table NN is based on outpatients with an ischaemic stroke, TIA, TMB or RAO. This group differs slightly from the outpatient cohort used elsewhere in this National Report because of its restriction to stroke patients with ischaemic events rather than patients with any type of cerebrovascular diagnosis.</t>
  </si>
  <si>
    <t>Horizontal solid line reflects Scottish Stroke Care Standard (2016) of 100% of stroke patients to receive a swallow screen within 4 hours of admission.</t>
  </si>
  <si>
    <t>Note that the Scotland column in the chart is coloured light green and dark green simply to differentiate it from the hospital columns and the colours are not indicative of performance. Light green corresponds to 'Within 24 hours', red corresponds to 'Within 12 hours' and dark green corresponds to 'Within 4 hours'.</t>
  </si>
  <si>
    <t>DGRI - move to new hospital in December 2017 will see a 14 bedded acute stroke and rehab ward</t>
  </si>
  <si>
    <t>QMH Ward 6 - 15 beds within a general rehabilitation ward. 
Letham ward Cameron Hospital - 12 funded beds but currently operating 14 with increase to 15/16 beds as necessary (rehabilitation for over 65).
Sir George Sharp Unit (rehabilitation for under 65) 6 to 7 out of 12 beds.</t>
  </si>
  <si>
    <t>Currently operating as stroke unit with 8 additional winter ward beds and non stroke trained staff until end of March 2017. Woodend - SRU: 34beds. Fraserurgh - SRU: 6 beds</t>
  </si>
  <si>
    <t>SRU beds off site at Astley Ainslie Hospital.</t>
  </si>
  <si>
    <t>40 beds fulfilled definition of SU but shared with Medicine of the Elderly (MoE). From April 2017 planning to have a single integrated stroke ward for stroke.</t>
  </si>
  <si>
    <t>Stracathro has 10 stroke rehab beds (has capacity for 12). CBIR, Royal Victoria Hospital as 10 beds for patients (16-65 yrs) with either brain injury or stroke. Plans are progressing to create a 14 bedded stroke rehab facility on Royal Victoria</t>
  </si>
  <si>
    <r>
      <t xml:space="preserve">1. The column "Number of acute strokes </t>
    </r>
    <r>
      <rPr>
        <b/>
        <sz val="8"/>
        <rFont val="Arial"/>
        <family val="2"/>
      </rPr>
      <t>discharged</t>
    </r>
    <r>
      <rPr>
        <sz val="8"/>
        <rFont val="Arial"/>
        <family val="2"/>
      </rPr>
      <t xml:space="preserve"> in 2016" is based on inpatients with a final diagnosis of stroke discharged during Jan-Dec 2016 and this cohort of patients differs slightly from the inpatient cohort reported upon elsewhere in this National Report. For inpatients, the report focuses principally on those patients with a final diagnosis of stroke </t>
    </r>
    <r>
      <rPr>
        <b/>
        <sz val="8"/>
        <rFont val="Arial"/>
        <family val="2"/>
      </rPr>
      <t>admitted</t>
    </r>
    <r>
      <rPr>
        <sz val="8"/>
        <rFont val="Arial"/>
        <family val="2"/>
      </rPr>
      <t xml:space="preserve"> during Jan-Dec 2016. Some patients discharged in 2016 may have been admitted in 2015 or earlier. Some patients admitted in 2016 may have been discharged in 2017.</t>
    </r>
  </si>
  <si>
    <t>(d) 3 Days*</t>
  </si>
  <si>
    <t>(e) &gt;3 days**</t>
  </si>
  <si>
    <t>Within 3 Days</t>
  </si>
  <si>
    <r>
      <t>Within 1 Days: Confidence Interval</t>
    </r>
    <r>
      <rPr>
        <b/>
        <vertAlign val="superscript"/>
        <sz val="8"/>
        <color indexed="9"/>
        <rFont val="Arial"/>
        <family val="2"/>
      </rPr>
      <t>†</t>
    </r>
  </si>
  <si>
    <t>3  Days</t>
  </si>
  <si>
    <t>Note that the Scotland column in the chart is coloured green, amber and red simply to differentiate it from the hospital columns and the colours are not indicative of performance. Dark green corresponds to 'Same Day', red corresponds to '1 Day', amber corresponds to '2 Days' and light green corresponds to '3 Days'.</t>
  </si>
  <si>
    <t>Notes regarding Chart NN:</t>
  </si>
  <si>
    <r>
      <t xml:space="preserve">3. </t>
    </r>
    <r>
      <rPr>
        <b/>
        <sz val="8"/>
        <rFont val="Arial"/>
        <family val="2"/>
      </rPr>
      <t>The data included in chart NN were extracted from eSSCA on the 23rd March 2017</t>
    </r>
    <r>
      <rPr>
        <sz val="8"/>
        <rFont val="Arial"/>
        <family val="2"/>
      </rPr>
      <t>. Changes/ updates to the data following this date will therefore not feature in</t>
    </r>
  </si>
  <si>
    <r>
      <t>Chart 15  Ischaemic stroke patients thrombolysed, receiving repeat scans and showing evidence of haemorrhage on repeat scan, 2016 data (</t>
    </r>
    <r>
      <rPr>
        <b/>
        <i/>
        <sz val="10"/>
        <color theme="1"/>
        <rFont val="Arial"/>
        <family val="2"/>
      </rPr>
      <t>final</t>
    </r>
    <r>
      <rPr>
        <b/>
        <sz val="10"/>
        <color theme="1"/>
        <rFont val="Arial"/>
        <family val="2"/>
      </rPr>
      <t xml:space="preserve"> diagnosis)</t>
    </r>
  </si>
  <si>
    <r>
      <t>Chart 15  Ischaemic stroke patients thrombolysed, receiving repeat scans and showing evidence of haemorrhage on repeat scan, 2015 data (</t>
    </r>
    <r>
      <rPr>
        <b/>
        <i/>
        <sz val="10"/>
        <color theme="1"/>
        <rFont val="Arial"/>
        <family val="2"/>
      </rPr>
      <t>final</t>
    </r>
    <r>
      <rPr>
        <b/>
        <sz val="10"/>
        <color theme="1"/>
        <rFont val="Arial"/>
        <family val="2"/>
      </rPr>
      <t xml:space="preserve"> diagnosis)</t>
    </r>
  </si>
  <si>
    <t>Notes regarding chart 15 (2015):</t>
  </si>
  <si>
    <r>
      <t xml:space="preserve">Chart 17a Trend in percentage of stroke patients admitted to a stroke unit within 1 day of admission to hospital, by NHS Board, 2011 - 2016 data (based on </t>
    </r>
    <r>
      <rPr>
        <b/>
        <i/>
        <sz val="10"/>
        <rFont val="Arial"/>
        <family val="2"/>
      </rPr>
      <t>final</t>
    </r>
    <r>
      <rPr>
        <b/>
        <sz val="10"/>
        <rFont val="Arial"/>
        <family val="2"/>
      </rPr>
      <t xml:space="preserve"> diagnosis).</t>
    </r>
  </si>
  <si>
    <t>Ayrshire &amp; Arran (+)</t>
  </si>
  <si>
    <t>Dumfries &amp; Galloway (-)</t>
  </si>
  <si>
    <t>Grampian (-)</t>
  </si>
  <si>
    <r>
      <t xml:space="preserve">Chart 17c Trend in percentage of stroke patients receiving a brain scan within 24 hours of admission to hospital, by NHS Board, 2010 - 2016 data (based on </t>
    </r>
    <r>
      <rPr>
        <b/>
        <i/>
        <sz val="10"/>
        <rFont val="Arial"/>
        <family val="2"/>
      </rPr>
      <t>final</t>
    </r>
    <r>
      <rPr>
        <b/>
        <sz val="10"/>
        <rFont val="Arial"/>
        <family val="2"/>
      </rPr>
      <t xml:space="preserve"> diagnosis).</t>
    </r>
  </si>
  <si>
    <r>
      <t xml:space="preserve">Chart 17d Trend in percentage of stroke patients receiving aspirin within 1 day of admission to hospital, by NHS Board, 2011 - 2016 data (based on </t>
    </r>
    <r>
      <rPr>
        <b/>
        <i/>
        <sz val="10"/>
        <rFont val="Arial"/>
        <family val="2"/>
      </rPr>
      <t>final</t>
    </r>
    <r>
      <rPr>
        <b/>
        <sz val="10"/>
        <rFont val="Arial"/>
        <family val="2"/>
      </rPr>
      <t xml:space="preserve"> diagnosis).</t>
    </r>
  </si>
  <si>
    <r>
      <t xml:space="preserve">Chart 13 Length of stay for stroke patients - percentage of stay in Stroke Unit and percentage of patients admitted to a Stroke Unit during their stay, by hospital, 2016 data (based on </t>
    </r>
    <r>
      <rPr>
        <b/>
        <i/>
        <sz val="10"/>
        <rFont val="Arial"/>
        <family val="2"/>
      </rPr>
      <t>final</t>
    </r>
    <r>
      <rPr>
        <b/>
        <sz val="10"/>
        <rFont val="Arial"/>
        <family val="2"/>
      </rPr>
      <t xml:space="preserve"> diagnosis).</t>
    </r>
  </si>
  <si>
    <t>Total Stay  where not in SU admission (days)</t>
  </si>
  <si>
    <t>Stroke Patients Discharged during 2016</t>
  </si>
  <si>
    <r>
      <t xml:space="preserve">Chart 13 Length of stay for stroke patients - percentage of stay in Stroke Unit and percentage of patients admitted to a Stroke Unit during their stay, by hospital, 2015 data (based on </t>
    </r>
    <r>
      <rPr>
        <b/>
        <i/>
        <sz val="10"/>
        <rFont val="Arial"/>
        <family val="2"/>
      </rPr>
      <t>final</t>
    </r>
    <r>
      <rPr>
        <b/>
        <sz val="10"/>
        <rFont val="Arial"/>
        <family val="2"/>
      </rPr>
      <t xml:space="preserve"> diagnosis).</t>
    </r>
  </si>
  <si>
    <t>Final Diagnosis Stroke</t>
  </si>
  <si>
    <t>In-Hospital Stroke</t>
  </si>
  <si>
    <t>Percentage In-Hospital Stroke</t>
  </si>
  <si>
    <t>1. In-Hospital Stroke calculated by comparing date/time of onset of symptoms and date/time of admission to admitting hospital. If date of onset is after date of admission then</t>
  </si>
  <si>
    <t xml:space="preserve">    patient qualifies as in-hospital stroke. If date of onset is the same as date of admission but time of onset is after time of admission then patient qualifies as in-hospital stroke.</t>
  </si>
  <si>
    <t>(a) Stroke</t>
  </si>
  <si>
    <t>(b) Transient Ischaemic Attack (TIA)</t>
  </si>
  <si>
    <t>(d) Retinal Artery Occlusion (RAO)</t>
  </si>
  <si>
    <t>(c) Transient Monocular Blindness (TMB)</t>
  </si>
  <si>
    <t>(e) Other Diagnoses</t>
  </si>
  <si>
    <t>Stroke</t>
  </si>
  <si>
    <t>TIA</t>
  </si>
  <si>
    <t>TMB</t>
  </si>
  <si>
    <t>RAO</t>
  </si>
  <si>
    <t>Other</t>
  </si>
  <si>
    <r>
      <t xml:space="preserve">2. The following </t>
    </r>
    <r>
      <rPr>
        <b/>
        <sz val="8"/>
        <rFont val="Arial"/>
        <family val="2"/>
      </rPr>
      <t>hospitals either do not hold specialist stroke/TIA clinics or do not collect and submit data to SSCA</t>
    </r>
    <r>
      <rPr>
        <sz val="8"/>
        <rFont val="Arial"/>
        <family val="2"/>
      </rPr>
      <t xml:space="preserve"> – Caithness, QEUH, WIG, GCH, Belford, GRI, IRH, VI Glasgow, RAH, Balfour, Gilbert Bain and Uist &amp; Barra. The </t>
    </r>
    <r>
      <rPr>
        <b/>
        <sz val="8"/>
        <rFont val="Arial"/>
        <family val="2"/>
      </rPr>
      <t>omission of these data may affect the estimate of national performance</t>
    </r>
    <r>
      <rPr>
        <sz val="8"/>
        <rFont val="Arial"/>
        <family val="2"/>
      </rPr>
      <t xml:space="preserve"> based on those hospitals contributing to SSCA.</t>
    </r>
  </si>
  <si>
    <t>(f) No Diagnosis</t>
  </si>
  <si>
    <t>None</t>
  </si>
  <si>
    <t>Note that the Scotland column in the chart is coloured green, amber, red, light green and light grey simply to differentiate it from the hospital columns and the colours are not indicative of performance. Dark green corresponds to 'Stroke', red corresponds to 'TIA', amber corresponds to 'TMB', light green corresponds to 'RAO', light grey corresponds to 'Other' and dark grey corresponds to 'None'.</t>
  </si>
  <si>
    <t>Note that the Scotland column in the chart is coloured dark green simply to differentiate it from the hospital columns and the colour is not indicative of performance..</t>
  </si>
  <si>
    <r>
      <t xml:space="preserve">Chart 1b (Health Board) Percentage of stroke patients receiving an 'appropriate' Stroke Care Bundle (i.e. Stroke Unit admission, swallow screen, brain scan and aspirin) - indicative baseline performance, April - December 2016 data (based on </t>
    </r>
    <r>
      <rPr>
        <b/>
        <i/>
        <u/>
        <sz val="10"/>
        <rFont val="Arial"/>
        <family val="2"/>
      </rPr>
      <t>final</t>
    </r>
    <r>
      <rPr>
        <b/>
        <sz val="10"/>
        <rFont val="Arial"/>
        <family val="2"/>
      </rPr>
      <t xml:space="preserve"> diagnosis).</t>
    </r>
  </si>
  <si>
    <r>
      <t xml:space="preserve">Chart 1b (Health Board) Percentage of stroke patients receiving an 'appropriate' Stroke Care Bundle (i.e. Stroke Unit admission, swallow screen, brain scan and aspirin) - indicative baseline performance, April - December 2016 data (based on </t>
    </r>
    <r>
      <rPr>
        <b/>
        <i/>
        <sz val="10"/>
        <rFont val="Arial"/>
        <family val="2"/>
      </rPr>
      <t>initial</t>
    </r>
    <r>
      <rPr>
        <b/>
        <sz val="10"/>
        <rFont val="Arial"/>
        <family val="2"/>
      </rPr>
      <t xml:space="preserve"> diagnosis).</t>
    </r>
  </si>
  <si>
    <t>Numbers and percentages of stroke patients by age, sex, case mix, deprivation category and NHS board of residence, 2016 data (final diagnosis).</t>
  </si>
  <si>
    <t>Thrombolysis - numbers thrombolysed, 2015 and 2016 data.</t>
  </si>
  <si>
    <t>Thrombolysis - numbers thrombolysed and crude rate per 100,000 by Health Board of residence of patient, 2016 data.</t>
  </si>
  <si>
    <t>2. The thrombolysis figures may include a small number of thrombectomy cases, involving the physical removal of the clot from the blood vessel, because the data collection system, eSSCA, cannot always capture the complexity of the patient pathway for this intervention. There are fewer than 10 thrombectomy cases recorded for each of 2015 and 2016.</t>
  </si>
  <si>
    <t>4. The thrombolysis figures may include a small number of thrombectomy cases, involving the physical removal of the clot from the blood vessel, because the data collection system, eSSCA, cannot always capture the complexity of the patient pathway for this intervention. There are fewer than 10 thrombectomy cases recorded for each of 2015 and 2016.</t>
  </si>
  <si>
    <t>Thrombolysis - numbers thrombolysed as percentage of stroke patients, and as a rate per 100,000 total population, Scotland, 2008-2016.</t>
  </si>
  <si>
    <t>2. A small proportion of records could not be assigned to a Health Board of residence because they were either for non-Scottish residents or there was insufficient information to allow their assignment to a Health Board (e.g. partial or incorrect postcode).</t>
  </si>
  <si>
    <t>3. Health Board boundary changes occurred from April 2014. SSCA data use the revised Health Board boundaries. The issue primarily affects NHS Greater Glasgow &amp; Clyde and NHS Lanarkshire.</t>
  </si>
  <si>
    <r>
      <t xml:space="preserve">2. Carotid intervention procedures </t>
    </r>
    <r>
      <rPr>
        <b/>
        <sz val="8"/>
        <rFont val="Arial"/>
        <family val="2"/>
      </rPr>
      <t>in Greater Glasgow and Clyde were carried out by a single team of surgeons on two sites</t>
    </r>
    <r>
      <rPr>
        <sz val="8"/>
        <rFont val="Arial"/>
        <family val="2"/>
      </rPr>
      <t xml:space="preserve"> - Western Infirmary Glasgow (WIG) and Southern General Hospital (SGH) prior to the transfer of the service to Queen Elizabeth University Hospital.</t>
    </r>
  </si>
  <si>
    <t>Carotid Endarterectomy - number of patients receiving a carotid endarterectomy in acute hospitals in Scotland during Jan-Dec 2016.</t>
  </si>
  <si>
    <t>click here for the SSCA web site where a PDF copy of the Scottish Stroke Improvement Plan may be viewed and/or downloaded</t>
  </si>
  <si>
    <r>
      <rPr>
        <u/>
        <sz val="10"/>
        <rFont val="Arial"/>
        <family val="2"/>
      </rPr>
      <t>Health Board</t>
    </r>
    <r>
      <rPr>
        <sz val="10"/>
        <rFont val="Arial"/>
        <family val="2"/>
      </rPr>
      <t xml:space="preserve">: Percentage of stroke patients receiving an 'appropriate' Stroke Care Bundle (i.e. Stroke Unit admission, swallow screen, brain scan and aspirin), April - December 2016 data (based on </t>
    </r>
    <r>
      <rPr>
        <b/>
        <i/>
        <sz val="10"/>
        <rFont val="Arial"/>
        <family val="2"/>
      </rPr>
      <t>final</t>
    </r>
    <r>
      <rPr>
        <sz val="10"/>
        <rFont val="Arial"/>
        <family val="2"/>
      </rPr>
      <t xml:space="preserve"> diagnosis).</t>
    </r>
  </si>
  <si>
    <t>Percentage
(ranked high-to-low for 2016 by board)</t>
  </si>
  <si>
    <t>(column is for Apr-Dec 2016)</t>
  </si>
  <si>
    <t>Standard (2016) (%)</t>
  </si>
  <si>
    <t>* The Scottish Stroke Care Standard for swallow screen within 4 hours was introduced from April 2016 and complete data are unavailable prior to this date because swallow screen time was only recorded from April 2016. Prior to April 2016 only swallow screen date was recorded.</t>
  </si>
  <si>
    <r>
      <t xml:space="preserve">3. </t>
    </r>
    <r>
      <rPr>
        <b/>
        <sz val="8"/>
        <color indexed="8"/>
        <rFont val="Arial"/>
        <family val="2"/>
      </rPr>
      <t xml:space="preserve">Uist &amp; Barra Hospital, NHS Western Isles does not have a CT scanner </t>
    </r>
    <r>
      <rPr>
        <sz val="8"/>
        <color indexed="8"/>
        <rFont val="Arial"/>
        <family val="2"/>
      </rPr>
      <t>but patients are airlifted to Western Isles Hospital and a proportion may arrive in sufficient time to have brain imaging within 24 hours of admission.</t>
    </r>
  </si>
  <si>
    <r>
      <t xml:space="preserve">4. </t>
    </r>
    <r>
      <rPr>
        <b/>
        <sz val="8"/>
        <rFont val="Arial"/>
        <family val="2"/>
      </rPr>
      <t>The data included in chart 1c were extracted from eSSCA on the 23rd March 2017</t>
    </r>
    <r>
      <rPr>
        <sz val="8"/>
        <rFont val="Arial"/>
        <family val="2"/>
      </rPr>
      <t>. Changes/ updates to the data following this date will therefore not feature in</t>
    </r>
  </si>
  <si>
    <r>
      <t xml:space="preserve">Chart 1c (Hospital) Percentage of stroke patients receiving an 'appropriate' Stroke Care Bundle (i.e. Stroke Unit admission, swallow screen, brain scan and aspirin), April - December 2016 data (based on </t>
    </r>
    <r>
      <rPr>
        <b/>
        <i/>
        <sz val="10"/>
        <rFont val="Arial"/>
        <family val="2"/>
      </rPr>
      <t>initial</t>
    </r>
    <r>
      <rPr>
        <b/>
        <sz val="10"/>
        <rFont val="Arial"/>
        <family val="2"/>
      </rPr>
      <t xml:space="preserve"> diagnosis).</t>
    </r>
  </si>
  <si>
    <r>
      <rPr>
        <u/>
        <sz val="10"/>
        <rFont val="Arial"/>
        <family val="2"/>
      </rPr>
      <t>Hospital</t>
    </r>
    <r>
      <rPr>
        <sz val="10"/>
        <rFont val="Arial"/>
        <family val="2"/>
      </rPr>
      <t xml:space="preserve">: Percentage of stroke patients receiving an 'appropriate' Stroke Care Bundle (i.e. Stroke Unit admission, swallow screen, brain scan and aspirin), April - December 2016 data (based on </t>
    </r>
    <r>
      <rPr>
        <b/>
        <i/>
        <sz val="10"/>
        <rFont val="Arial"/>
        <family val="2"/>
      </rPr>
      <t>initial</t>
    </r>
    <r>
      <rPr>
        <sz val="10"/>
        <rFont val="Arial"/>
        <family val="2"/>
      </rPr>
      <t xml:space="preserve"> diagnosis).</t>
    </r>
  </si>
  <si>
    <r>
      <rPr>
        <u/>
        <sz val="10"/>
        <rFont val="Arial"/>
        <family val="2"/>
      </rPr>
      <t>Hospital</t>
    </r>
    <r>
      <rPr>
        <sz val="10"/>
        <rFont val="Arial"/>
        <family val="2"/>
      </rPr>
      <t xml:space="preserve">: Percentage of stroke patients receiving an 'appropriate' Stroke Care Bundle (i.e. Stroke Unit admission, swallow screen, brain scan and aspirin), Apri l- December 2016 data (based on </t>
    </r>
    <r>
      <rPr>
        <b/>
        <i/>
        <sz val="10"/>
        <rFont val="Arial"/>
        <family val="2"/>
      </rPr>
      <t>final</t>
    </r>
    <r>
      <rPr>
        <sz val="10"/>
        <rFont val="Arial"/>
        <family val="2"/>
      </rPr>
      <t xml:space="preserve"> diagnosis).</t>
    </r>
  </si>
  <si>
    <r>
      <t xml:space="preserve">Chart 1c (Hospital) Percentage of stroke patients receiving an 'appropriate' Stroke Care Bundle (i.e. Stroke Unit admission, swallow screen, brain scan and aspirin), April - December 2016 data (based on </t>
    </r>
    <r>
      <rPr>
        <b/>
        <i/>
        <u/>
        <sz val="10"/>
        <rFont val="Arial"/>
        <family val="2"/>
      </rPr>
      <t>final</t>
    </r>
    <r>
      <rPr>
        <b/>
        <sz val="10"/>
        <rFont val="Arial"/>
        <family val="2"/>
      </rPr>
      <t xml:space="preserve"> diagnosis).</t>
    </r>
  </si>
  <si>
    <t>5. During 2016, NHS Ayrshire &amp; Arran reorganised its services for acute stroke patients, transferring to Crosshouse Hospital the services previously provided in Ayr Hospital.</t>
  </si>
  <si>
    <t>3. During 2016, NHS Ayrshire &amp; Arran reorganised its services for acute stroke patients, transferring to Crosshouse Hospital the services previously provided in Ayr Hospital.</t>
  </si>
  <si>
    <r>
      <t xml:space="preserve">Percentage of stroke patients admitted to a Stroke Unit within 1 day of admission to hospital, 2015 and 2016 data (based on </t>
    </r>
    <r>
      <rPr>
        <b/>
        <i/>
        <sz val="10"/>
        <rFont val="Arial"/>
        <family val="2"/>
      </rPr>
      <t>final</t>
    </r>
    <r>
      <rPr>
        <sz val="10"/>
        <rFont val="Arial"/>
        <family val="2"/>
      </rPr>
      <t xml:space="preserve"> diagnosis).</t>
    </r>
  </si>
  <si>
    <r>
      <t xml:space="preserve">Chart 2b Percentage of stroke patients with a swallow screening within 4 hours of admission, April - December 2016 data (based on </t>
    </r>
    <r>
      <rPr>
        <b/>
        <i/>
        <sz val="10"/>
        <rFont val="Arial"/>
        <family val="2"/>
      </rPr>
      <t>final</t>
    </r>
    <r>
      <rPr>
        <b/>
        <sz val="10"/>
        <rFont val="Arial"/>
        <family val="2"/>
      </rPr>
      <t xml:space="preserve"> diagnosis).</t>
    </r>
  </si>
  <si>
    <t>Horizontal line reflects Scottish Stroke Care Standard (2016) of 100% of stroke patients swallow screened within 4 hours of admission.</t>
  </si>
  <si>
    <t>Horizontal line reflects Scottish Stroke Care Standard (2016) of 95% of stroke patients to receive a brain scan within 24 hours of admission.</t>
  </si>
  <si>
    <t>1. Balfour Hospital, NHS Orkney, implemented a CT scanning service during 2015. Prior to the introduction of this service, patients were airlifted to Aberdeen Royal Infirmary and a proportion may have arrived in sufficient time to have brain imaging within 24 hours of admission. This should be borne in mind when comparing brain imaging performance for NHS Orkney between 2015 and 2016.</t>
  </si>
  <si>
    <t>4. During 2016, NHS Ayrshire &amp; Arran reorganised its services for acute stroke patients, transferring to Crosshouse Hospital the services previously provided in Ayr Hospital.</t>
  </si>
  <si>
    <r>
      <t xml:space="preserve">Percentage of stroke patients with a brain scan within 24 hours of admission, 2015 and 2016 data (based on </t>
    </r>
    <r>
      <rPr>
        <b/>
        <i/>
        <sz val="10"/>
        <rFont val="Arial"/>
        <family val="2"/>
      </rPr>
      <t>final</t>
    </r>
    <r>
      <rPr>
        <sz val="10"/>
        <rFont val="Arial"/>
        <family val="2"/>
      </rPr>
      <t xml:space="preserve"> diagnosis).</t>
    </r>
  </si>
  <si>
    <r>
      <t>Percentage of acute ischaemic stroke patients given aspirin in hospital within 1 day of admission, 2015 and 2016 data (based on</t>
    </r>
    <r>
      <rPr>
        <b/>
        <i/>
        <sz val="10"/>
        <rFont val="Arial"/>
        <family val="2"/>
      </rPr>
      <t xml:space="preserve"> final</t>
    </r>
    <r>
      <rPr>
        <sz val="10"/>
        <rFont val="Arial"/>
        <family val="2"/>
      </rPr>
      <t xml:space="preserve"> diagnosis).</t>
    </r>
  </si>
  <si>
    <r>
      <t xml:space="preserve">1. </t>
    </r>
    <r>
      <rPr>
        <b/>
        <sz val="8"/>
        <rFont val="Arial"/>
        <family val="2"/>
      </rPr>
      <t>The data included in chart 3 were extracted from eSSCA on the 23rd March 2017</t>
    </r>
    <r>
      <rPr>
        <sz val="8"/>
        <rFont val="Arial"/>
        <family val="2"/>
      </rPr>
      <t>. Changes/ updates to the data following this date will therefore not feature in</t>
    </r>
  </si>
  <si>
    <r>
      <t xml:space="preserve">  this analysis. The data relate to patients with </t>
    </r>
    <r>
      <rPr>
        <b/>
        <i/>
        <sz val="8"/>
        <rFont val="Arial"/>
        <family val="2"/>
      </rPr>
      <t>final</t>
    </r>
    <r>
      <rPr>
        <sz val="8"/>
        <rFont val="Arial"/>
        <family val="2"/>
      </rPr>
      <t xml:space="preserve"> diagnosis of stroke and are for the nine month period  1 April - 31 December 2016).</t>
    </r>
  </si>
  <si>
    <r>
      <t xml:space="preserve">Chart 3  Percentage of stroke patients with a swallow screen by number of hours to swallow screen, April - December 2016 data (based on </t>
    </r>
    <r>
      <rPr>
        <b/>
        <i/>
        <sz val="10"/>
        <rFont val="Arial"/>
        <family val="2"/>
      </rPr>
      <t>final</t>
    </r>
    <r>
      <rPr>
        <b/>
        <sz val="10"/>
        <rFont val="Arial"/>
        <family val="2"/>
      </rPr>
      <t xml:space="preserve"> diagnosis).</t>
    </r>
  </si>
  <si>
    <t>2016 (April - December)</t>
  </si>
  <si>
    <r>
      <t xml:space="preserve">Percentage of stroke patients with a swallow screening by number of days to swallow screening, April - December 2016 data (based on </t>
    </r>
    <r>
      <rPr>
        <b/>
        <i/>
        <sz val="10"/>
        <rFont val="Arial"/>
        <family val="2"/>
      </rPr>
      <t>final</t>
    </r>
    <r>
      <rPr>
        <sz val="10"/>
        <rFont val="Arial"/>
        <family val="2"/>
      </rPr>
      <t xml:space="preserve"> diagnosis).</t>
    </r>
  </si>
  <si>
    <t>Horizontal solid line reflects Scottish Stroke Care Standard (2016) of 95% of stroke patients to receive a brain scan within 24 hours of admission.</t>
  </si>
  <si>
    <r>
      <t xml:space="preserve">Percentage of stroke patients with a brain scan by number of hours to scan, 2016 data (based on </t>
    </r>
    <r>
      <rPr>
        <b/>
        <i/>
        <sz val="10"/>
        <rFont val="Arial"/>
        <family val="2"/>
      </rPr>
      <t>final</t>
    </r>
    <r>
      <rPr>
        <sz val="10"/>
        <rFont val="Arial"/>
        <family val="2"/>
      </rPr>
      <t xml:space="preserve"> diagnosis).</t>
    </r>
  </si>
  <si>
    <r>
      <t xml:space="preserve">Percentage of acute ischaemic stroke patients given aspirin in hospital by number of days to receipt, 2016 data (based on </t>
    </r>
    <r>
      <rPr>
        <b/>
        <i/>
        <sz val="10"/>
        <rFont val="Arial"/>
        <family val="2"/>
      </rPr>
      <t>final</t>
    </r>
    <r>
      <rPr>
        <sz val="10"/>
        <rFont val="Arial"/>
        <family val="2"/>
      </rPr>
      <t xml:space="preserve"> diagnosis).</t>
    </r>
  </si>
  <si>
    <t>Percentage of patients with definite cerebrovascular diagnosis seen in neurovascular clinic with referral to examination time within 4 days, 2015 and 2016 data.</t>
  </si>
  <si>
    <t>Percentage of patients with definite cerebrovascular diagnosis seen in neurovascular clinic with referral to examination time (days): same day and within 1, 2-4 and 5-7 days, 2016 data.</t>
  </si>
  <si>
    <t>6. During 2016, NHS Ayrshire &amp; Arran reorganised its services for acute stroke patients, transferring to Crosshouse Hospital the services previously provided in Ayr Hospital.</t>
  </si>
  <si>
    <t>Distribution of time between stroke event and outpatient imaging, 2015 and 2016 data.</t>
  </si>
  <si>
    <t>Percentage of patients with door to needle times for thrombolysis within 1 hour, 2015 and 2016 data.</t>
  </si>
  <si>
    <t>9. During 2016, NHS Ayrshire &amp; Arran reorganised its services for acute stroke patients, transferring to Crosshouse Hospital the services previously provided in Ayr Hospital.</t>
  </si>
  <si>
    <t>8. The thrombolysis figures may include a small number of thrombectomy cases, involving the physical removal of the clot from the blood vessel, because the data collection system, eSSCA, cannot always capture the complexity of the patient pathway for this intervention. There are fewer than 10 thrombectomy cases recorded for each of 2015 and 2016.</t>
  </si>
  <si>
    <t>Percentage of patients receiving thrombolysis within 30, 60 and 75 minutes of arrival at first hospital, 2016 data.</t>
  </si>
  <si>
    <t>Thrombolysis door-to-needle time distribution, minutes, by hospital, 2015 and 2016 data.</t>
  </si>
  <si>
    <t>Percentage of patients undergoing a carotid intervention within 14 days of the event that led the patient to first seek medical assistance, 2015 and 2016 data.</t>
  </si>
  <si>
    <r>
      <rPr>
        <sz val="10"/>
        <rFont val="Arial"/>
        <family val="2"/>
      </rPr>
      <t xml:space="preserve">Length of stay for stroke patients - percentage of stay in Acute/ Integrated Stroke Unit, Stroke Rehabilitation Unit and percentage of patients admitted to a Stroke Unit during their stay, by hospital, 2016 data (based on </t>
    </r>
    <r>
      <rPr>
        <b/>
        <sz val="10"/>
        <rFont val="Arial"/>
        <family val="2"/>
      </rPr>
      <t>final</t>
    </r>
    <r>
      <rPr>
        <sz val="10"/>
        <rFont val="Arial"/>
        <family val="2"/>
      </rPr>
      <t xml:space="preserve"> diagnosis).</t>
    </r>
  </si>
  <si>
    <t>Comparison of initial diagnosis of stroke versus final diagnosis of stroke, 2016 data.</t>
  </si>
  <si>
    <t>Ischaemic stroke patients thrombolysed, receiving repeat scans and showing evidence of haemorrhage on repeat scan, 2016 data (final diagnosis)</t>
  </si>
  <si>
    <t>Distribution of time between stroke event and carotid intervention by health board of residence, 2015 and 2016 data.</t>
  </si>
  <si>
    <t>Ischaemic stroke patients with current atrial fibrillation (AF) and anticoagulation on admission or discharge, 2016 data (final diagnosis).</t>
  </si>
  <si>
    <t>Patients with ischaemic diagnosis, seen in specialist stroke/ TIA clinics, with current atrial fibrillation (AF) and on anticoagulation, 2016 data.</t>
  </si>
  <si>
    <t>Percentage of stroke patients admitted to Stroke Unit by number of days to Stroke Unit admission, 2016 data (based on final diagnosis)</t>
  </si>
  <si>
    <t>Percentage of patients seen in specialist stroke/ TIA clinic by diagnostic category, 2016 data.</t>
  </si>
  <si>
    <t>Percentage of stroke patients who had their stroke whilst already admitted to hospital, 2015 and 2016 data (final diagnosis)</t>
  </si>
  <si>
    <t>ORDER</t>
  </si>
  <si>
    <t>Note that the Scotland column in the chart is coloured dark green simply to differentiate it from the hospital columns and the colour is not indicative of performance.</t>
  </si>
  <si>
    <t>Bundle rankings by NHS board, 2015 and 2016 data (initial and final diagnosis)</t>
  </si>
  <si>
    <t>Ranking 2015</t>
  </si>
  <si>
    <t>Ranking 2016</t>
  </si>
  <si>
    <t>1. A 'bundle' involves a group of specific interventions/ processes of care that significantly improve patient outcome if done together rather than separately and this also improves the  consistency with which patients are managed.</t>
  </si>
  <si>
    <t xml:space="preserve">2.The Stroke Care Bundle involves four components: admission to a Stroke Unit, swallow screen, brain scan and aspirin. Not all patients are eligible for all four components. An aspirin allergy, for example, would preclude the prescribing of aspirin, so the term 'appropriate' refers to patients receiving the components for which they were eligible. A flow chart in Appendix B of this report describes the different categories of bundle depending on patients' eligibility.
</t>
  </si>
  <si>
    <t>3. In measuring the proportion of patients receiving an 'appropriate' bundle, patients ineligible for, and therefore not receiving, specific components of the bundle are counted as having received their appropriate bundle provided they received the remaining components for which they were eligible.</t>
  </si>
  <si>
    <t>4. The 'bundles' for 2015 and 2016 differ in terms of the swallow screen standard and are therefore not directly comparable with regard to bundle performance. The table compares the relative rank of each NHS board in relation to other NHS boards for each year. In 2015 the swallow screen standard involved patients receiving their swallow screen on their day of admission. From April 2016, the standard was changed to measure those receiving a swallow screen within 4 hours of their admission to hospital.</t>
  </si>
  <si>
    <r>
      <t>Table N2  Relative ranking of NHS board performance against inpatient bundle, 2015 and 2016 data (</t>
    </r>
    <r>
      <rPr>
        <b/>
        <i/>
        <sz val="10"/>
        <color theme="1"/>
        <rFont val="Arial"/>
        <family val="2"/>
      </rPr>
      <t>initial</t>
    </r>
    <r>
      <rPr>
        <b/>
        <sz val="10"/>
        <color theme="1"/>
        <rFont val="Arial"/>
        <family val="2"/>
      </rPr>
      <t xml:space="preserve"> </t>
    </r>
    <r>
      <rPr>
        <b/>
        <u/>
        <sz val="10"/>
        <color theme="1"/>
        <rFont val="Arial"/>
        <family val="2"/>
      </rPr>
      <t>and</t>
    </r>
    <r>
      <rPr>
        <b/>
        <sz val="10"/>
        <color theme="1"/>
        <rFont val="Arial"/>
        <family val="2"/>
      </rPr>
      <t xml:space="preserve"> </t>
    </r>
    <r>
      <rPr>
        <b/>
        <i/>
        <sz val="10"/>
        <color theme="1"/>
        <rFont val="Arial"/>
        <family val="2"/>
      </rPr>
      <t>final</t>
    </r>
    <r>
      <rPr>
        <b/>
        <sz val="10"/>
        <color theme="1"/>
        <rFont val="Arial"/>
        <family val="2"/>
      </rPr>
      <t xml:space="preserve"> diagnosis)</t>
    </r>
  </si>
  <si>
    <r>
      <t>Chart N3  Relative ranking of NHS board performance against inpatient bundle, 2015 and 2016 data (</t>
    </r>
    <r>
      <rPr>
        <b/>
        <i/>
        <sz val="10"/>
        <color theme="1"/>
        <rFont val="Arial"/>
        <family val="2"/>
      </rPr>
      <t>initial</t>
    </r>
    <r>
      <rPr>
        <b/>
        <sz val="10"/>
        <color theme="1"/>
        <rFont val="Arial"/>
        <family val="2"/>
      </rPr>
      <t xml:space="preserve"> </t>
    </r>
    <r>
      <rPr>
        <b/>
        <u/>
        <sz val="10"/>
        <color theme="1"/>
        <rFont val="Arial"/>
        <family val="2"/>
      </rPr>
      <t>and</t>
    </r>
    <r>
      <rPr>
        <b/>
        <sz val="10"/>
        <color theme="1"/>
        <rFont val="Arial"/>
        <family val="2"/>
      </rPr>
      <t xml:space="preserve"> </t>
    </r>
    <r>
      <rPr>
        <b/>
        <i/>
        <sz val="10"/>
        <color theme="1"/>
        <rFont val="Arial"/>
        <family val="2"/>
      </rPr>
      <t>final</t>
    </r>
    <r>
      <rPr>
        <b/>
        <sz val="10"/>
        <color theme="1"/>
        <rFont val="Arial"/>
        <family val="2"/>
      </rPr>
      <t xml:space="preserve"> diagnosis)</t>
    </r>
  </si>
  <si>
    <r>
      <t>Chart N1  Percentage of stroke patients who had their stroke whilst already admitted to hospital, 2015 and 2016 data (</t>
    </r>
    <r>
      <rPr>
        <b/>
        <i/>
        <sz val="10"/>
        <color theme="1"/>
        <rFont val="Arial"/>
        <family val="2"/>
      </rPr>
      <t>final</t>
    </r>
    <r>
      <rPr>
        <b/>
        <sz val="10"/>
        <color theme="1"/>
        <rFont val="Arial"/>
        <family val="2"/>
      </rPr>
      <t xml:space="preserve"> diagnosis)</t>
    </r>
  </si>
  <si>
    <t>Chart N3  Relative ranking of NHS board performance against inpatient bundle, 2015 and 2016 data (initial and final diagnosis)</t>
  </si>
  <si>
    <t>Confirmed Strokes admitted during 2016</t>
  </si>
  <si>
    <t>Notes regarding Chart 4 (2015):</t>
  </si>
  <si>
    <t>Notes regarding Chart 5 (2015):</t>
  </si>
  <si>
    <t>4. The denominator for Chart 4 differs slightly from that of Chart 2c with regard to patients who have a stroke whilst already in hospital. Chart 4 includes those patients where it is definitely known that they did not wake from sleep with symptoms of stroke. Chart 2c excludes those patients where it is definitely known that they did wake from sleep with the symptoms of stroke. The latter approach includes a small proportion of patients where there is some ambiguity about whether they did or did not wake from sleep with the symptoms of stroke.</t>
  </si>
  <si>
    <t>3. The denominator for Chart 4 differs slightly from that of Chart 2c with regard to patients who have a stroke whilst already in hospital. Chart 4 includes those patients where it is definitely known that they did not wake from sleep with symptoms of stroke. Chart 2c excludes those patients where it is definitely known that they did wake from sleep with the symptoms of stroke. The latter approach includes a small proportion of patients where there is some ambiguity about whether they did or did not wake from sleep with the symptoms of stroke.</t>
  </si>
  <si>
    <t>4. The denominator for Chart 3 differs slightly from that of Chart 2b with regard to patients who have a stroke whilst already in hospital. Chart 3 includes those patients where it is definitely known that they did not wake from sleep with symptoms of stroke. Chart 2b excludes those patients where it is definitely known that they did wake from sleep with the symptoms of stroke. The latter approach includes a small proportion of patients where there is some ambiguity about whether they did or did not wake from sleep with the symptoms of stroke.</t>
  </si>
  <si>
    <t>4. The denominator for Chart 5 differs slightly from that of Chart 2d with regard to patients who have a stroke whilst already in hospital. Chart 5 includes those patients where it is definitely known that they did not wake from sleep with symptoms of stroke. Chart 2d excludes those patients where it is definitely known that they did wake from sleep with the symptoms of stroke. The latter approach includes a small proportion of patients where there is some ambiguity about whether they did or did not wake from sleep with the symptoms of stroke.</t>
  </si>
  <si>
    <t>3. The denominator for Chart 4 differs slightly from that of Chart 2d with regard to patients who have a stroke whilst already in hospital. Chart 4 includes those patients where it is definitely known that they did not wake from sleep with symptoms of stroke. Chart 2d excludes those patients where it is definitely known that they did wake from sleep with the symptoms of stroke. The latter approach includes a small proportion of patients where there is some ambiguity about whether they did or did not wake from sleep with the symptoms of stroke.</t>
  </si>
  <si>
    <r>
      <rPr>
        <u/>
        <sz val="10"/>
        <rFont val="Arial"/>
        <family val="2"/>
      </rPr>
      <t>Health Board</t>
    </r>
    <r>
      <rPr>
        <sz val="10"/>
        <rFont val="Arial"/>
        <family val="2"/>
      </rPr>
      <t xml:space="preserve">: Percentage of stroke patients receiving an 'appropriate' Stroke Care Bundle (i.e. Stroke Unit admission, swallow screen, brain scan and aspirin), April - December 2016 data (based on </t>
    </r>
    <r>
      <rPr>
        <b/>
        <i/>
        <sz val="10"/>
        <rFont val="Arial"/>
        <family val="2"/>
      </rPr>
      <t>initial</t>
    </r>
    <r>
      <rPr>
        <sz val="10"/>
        <rFont val="Arial"/>
        <family val="2"/>
      </rPr>
      <t xml:space="preserve"> diagnosis).</t>
    </r>
  </si>
  <si>
    <t>Chart N3</t>
  </si>
  <si>
    <t>Table N2</t>
  </si>
  <si>
    <r>
      <t>Notes regarding Table N2</t>
    </r>
    <r>
      <rPr>
        <sz val="8"/>
        <rFont val="Arial"/>
        <family val="2"/>
      </rPr>
      <t>:</t>
    </r>
  </si>
  <si>
    <r>
      <t xml:space="preserve">Percentage of stroke patients witha swallow screening within 4 hours of admission, April - December 2016 data (based on </t>
    </r>
    <r>
      <rPr>
        <b/>
        <i/>
        <sz val="10"/>
        <rFont val="Arial"/>
        <family val="2"/>
      </rPr>
      <t>final</t>
    </r>
    <r>
      <rPr>
        <sz val="10"/>
        <rFont val="Arial"/>
        <family val="2"/>
      </rPr>
      <t xml:space="preserve"> diagnosis).</t>
    </r>
  </si>
  <si>
    <t>view Chart 14a data</t>
  </si>
  <si>
    <t>Chart N4</t>
  </si>
  <si>
    <t>Month</t>
  </si>
  <si>
    <t>Number eligible for IPC</t>
  </si>
  <si>
    <t>Number offered IPC</t>
  </si>
  <si>
    <t>Percentage offered IPC</t>
  </si>
  <si>
    <t>Mean percentage offered IPC in 2014</t>
  </si>
  <si>
    <t>Mean percentage offered IPC in 2015</t>
  </si>
  <si>
    <t>Mean percentage offered IPC in 2016</t>
  </si>
  <si>
    <t>Chart N4  Intermittent Pneumatic Compression (IPC) Percentage of immobile stroke patients offered IPC in Scotland Feb 2014 - Dec 2016.</t>
  </si>
  <si>
    <t>view Chart N4 data</t>
  </si>
  <si>
    <t>Mean percentage offered IPC between Feb 2014 to Dec 2016</t>
  </si>
  <si>
    <t>Intermittent Pneumatic Compression (IPC) - percentage of immobile stroke patients offered IPC in Scotland Feb 2014 - Dec 2016.</t>
  </si>
  <si>
    <t>Number with ischaemic diagnosis</t>
  </si>
  <si>
    <t>Number on anticoagulation at onset of current cerebrovascular event or on aspirin or another antiplatelet at first assessment</t>
  </si>
  <si>
    <t>Percentage on anticoagulation at onset of current cerebrovascular event or on aspirin or another antiplatelet at first assessment</t>
  </si>
  <si>
    <t>Table M0</t>
  </si>
  <si>
    <t>Table M0  Patients with ischaemic diagnosis seen in specialist stroke/ TIA clinics and on anticoagulation at onset of current cerebrovascular event or on aspirin or another antiplatelet at first assessment, 2016 data.</t>
  </si>
  <si>
    <t>Notes regarding Table M0:</t>
  </si>
  <si>
    <t>Patients with ischaemic diagnosis seen in specialist stroke/ TIA clinics and on anticoagulation at onset of current cerebrovascular event or on aspirin or another antiplatelet at first assessment, 2016 data.</t>
  </si>
  <si>
    <t>Notes regarding Chart 7 (2015):</t>
  </si>
  <si>
    <t>Table M1</t>
  </si>
  <si>
    <r>
      <t xml:space="preserve">Table M1  Ischaemic stroke patients with current atrial fibrillation (AF) and anticoagulation on admission or discharge, 2016 data </t>
    </r>
    <r>
      <rPr>
        <b/>
        <i/>
        <sz val="10"/>
        <rFont val="Arial"/>
        <family val="2"/>
      </rPr>
      <t>(final diagnosis).</t>
    </r>
  </si>
  <si>
    <t>Notes regarding Table M1:</t>
  </si>
  <si>
    <t>1. The source database, eSSCA, captures information about stroke type for inpatients via a question on stroke pathology but also includes an additional variable to indicate a final diagnosis of Transient Ischaemic Attack (TIA). The cohort of patients for Table M1 is based on inpatients with a final diagnosis of either ischaemic stroke or TIA. This group differs from the inpatient cohort used elsewhere in this National Report. The inpatient section of the National Report focuses on patients with any type of stroke (e.g. ischaemic, haemorrhagic), apart from the charts concerning aspirin which relate to ischaemic stroke only, excluding TIA.</t>
  </si>
  <si>
    <t>Table M2</t>
  </si>
  <si>
    <t>Notes regarding Table M2:</t>
  </si>
  <si>
    <t>Table M2 Patients with ischaemic diagnosis, seen in specialist stroke/ TIA clinics, with current atrial fibrillation (AF) and on anticoagulation, 2016 data.</t>
  </si>
  <si>
    <t>Note that this list appears in the PDF version of the report as Appendix A</t>
  </si>
  <si>
    <t>Chart N1</t>
  </si>
  <si>
    <t>view Chart N1 data</t>
  </si>
  <si>
    <t>Notes regarding Chart N1:</t>
  </si>
  <si>
    <t>Chart N2</t>
  </si>
  <si>
    <r>
      <t xml:space="preserve">Chart N2   Percentage of stroke patients admitted to Stroke Unit by number of days to Stroke Unit admission, 2016 data (based on </t>
    </r>
    <r>
      <rPr>
        <b/>
        <i/>
        <sz val="10"/>
        <rFont val="Arial"/>
        <family val="2"/>
      </rPr>
      <t>final</t>
    </r>
    <r>
      <rPr>
        <b/>
        <sz val="10"/>
        <rFont val="Arial"/>
        <family val="2"/>
      </rPr>
      <t xml:space="preserve"> diagnosis)</t>
    </r>
  </si>
  <si>
    <t>view Chart N2 data</t>
  </si>
  <si>
    <t>Notes regarding Chart N2:</t>
  </si>
  <si>
    <r>
      <t xml:space="preserve">Chart N2   Percentage of stroke patients admitted to Stroke Unit by number of days to Stroke Unit admission, 2015 data (based on </t>
    </r>
    <r>
      <rPr>
        <b/>
        <i/>
        <sz val="10"/>
        <rFont val="Arial"/>
        <family val="2"/>
      </rPr>
      <t>final</t>
    </r>
    <r>
      <rPr>
        <b/>
        <sz val="10"/>
        <rFont val="Arial"/>
        <family val="2"/>
      </rPr>
      <t xml:space="preserve"> diagnosis)</t>
    </r>
  </si>
  <si>
    <t>Notes regarding Chart M4:</t>
  </si>
  <si>
    <t>1.  The following hospitals either do not hold specialist stroke/TIA clinics or do not collect and submit data to SSCA – Caithness, QEUH, WIG, GCH, Belford, GRI, IRH, VI Glasgow, RAH, Gilbert Bain and Uist &amp; Barra. The omission of these data may affect the estimate of national performance based on those hospitals contributing to SSCA.</t>
  </si>
  <si>
    <t>Chart N5   Percentage of patients seen in specialist stroke/ TIA clinic by diagnostic category, 2015 data.</t>
  </si>
  <si>
    <t>view Chart N5 data</t>
  </si>
  <si>
    <t>Chart N5   Percentage of patients seen in specialist stroke/ TIA clinic by diagnostic category, 2016 data.</t>
  </si>
  <si>
    <t>Chart N5</t>
  </si>
  <si>
    <t>Distribution of time between stroke event and carotid intervention by interventionist location, 2015 and 2016 data.</t>
  </si>
  <si>
    <t>Trend in percentage of stroke patients admitted to a stroke unit within 1 day of admission to hospital, by NHS Board, 2011 - 2016 data (based on final diagnosis).</t>
  </si>
  <si>
    <t>Trend in percentage of stroke patients receiving a brain scan within 24 hours of admission to hospital, by NHS Board, 2011 - 2016 data (based on final diagnosis).</t>
  </si>
  <si>
    <t>Trend in percentage of stroke patients receiving aspirin within 1 day of admission to hospital, by NHS Board, 2011 - 2016 data (based on final diagnosis).</t>
  </si>
  <si>
    <t>* Note  that the charts marked with an asterisk do not appear in the National Report PDF file and they are only available in this Excel file.</t>
  </si>
  <si>
    <t>Table 1</t>
  </si>
</sst>
</file>

<file path=xl/styles.xml><?xml version="1.0" encoding="utf-8"?>
<styleSheet xmlns="http://schemas.openxmlformats.org/spreadsheetml/2006/main">
  <numFmts count="7">
    <numFmt numFmtId="43" formatCode="_-* #,##0.00_-;\-* #,##0.00_-;_-* &quot;-&quot;??_-;_-@_-"/>
    <numFmt numFmtId="164" formatCode="\(\%\)"/>
    <numFmt numFmtId="165" formatCode="#,###,##0"/>
    <numFmt numFmtId="166" formatCode="0.0"/>
    <numFmt numFmtId="167" formatCode="#\ ###\ ##0"/>
    <numFmt numFmtId="168" formatCode="0.0%"/>
    <numFmt numFmtId="169" formatCode="###0"/>
  </numFmts>
  <fonts count="116">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indexed="8"/>
      <name val="Calibri"/>
      <family val="2"/>
    </font>
    <font>
      <sz val="10"/>
      <name val="Arial"/>
      <family val="2"/>
    </font>
    <font>
      <b/>
      <sz val="10"/>
      <name val="Arial"/>
      <family val="2"/>
    </font>
    <font>
      <sz val="11"/>
      <color indexed="8"/>
      <name val="Calibri"/>
      <family val="2"/>
    </font>
    <font>
      <b/>
      <sz val="8"/>
      <color indexed="9"/>
      <name val="Arial"/>
      <family val="2"/>
    </font>
    <font>
      <sz val="8"/>
      <color indexed="8"/>
      <name val="Arial"/>
      <family val="2"/>
    </font>
    <font>
      <sz val="8"/>
      <name val="Arial"/>
      <family val="2"/>
    </font>
    <font>
      <sz val="9"/>
      <color indexed="8"/>
      <name val="Calibri"/>
      <family val="2"/>
    </font>
    <font>
      <b/>
      <i/>
      <sz val="10"/>
      <name val="Arial"/>
      <family val="2"/>
    </font>
    <font>
      <sz val="9"/>
      <name val="Arial"/>
      <family val="2"/>
    </font>
    <font>
      <u/>
      <sz val="10"/>
      <color indexed="12"/>
      <name val="Arial"/>
      <family val="2"/>
    </font>
    <font>
      <i/>
      <u/>
      <sz val="8"/>
      <color indexed="12"/>
      <name val="Arial"/>
      <family val="2"/>
    </font>
    <font>
      <sz val="10"/>
      <name val="Arial"/>
      <family val="2"/>
    </font>
    <font>
      <b/>
      <sz val="8"/>
      <name val="Arial"/>
      <family val="2"/>
    </font>
    <font>
      <i/>
      <sz val="10"/>
      <name val="Arial"/>
      <family val="2"/>
    </font>
    <font>
      <b/>
      <sz val="10"/>
      <color indexed="9"/>
      <name val="Arial"/>
      <family val="2"/>
    </font>
    <font>
      <b/>
      <sz val="10"/>
      <color indexed="62"/>
      <name val="Arial"/>
      <family val="2"/>
    </font>
    <font>
      <i/>
      <sz val="10"/>
      <color indexed="22"/>
      <name val="Arial"/>
      <family val="2"/>
    </font>
    <font>
      <b/>
      <vertAlign val="superscript"/>
      <sz val="8"/>
      <color indexed="9"/>
      <name val="Arial"/>
      <family val="2"/>
    </font>
    <font>
      <sz val="10"/>
      <color indexed="9"/>
      <name val="Arial"/>
      <family val="2"/>
    </font>
    <font>
      <vertAlign val="superscript"/>
      <sz val="10"/>
      <name val="Arial"/>
      <family val="2"/>
    </font>
    <font>
      <i/>
      <sz val="8"/>
      <name val="Arial"/>
      <family val="2"/>
    </font>
    <font>
      <b/>
      <vertAlign val="superscript"/>
      <sz val="10"/>
      <color indexed="9"/>
      <name val="Arial"/>
      <family val="2"/>
    </font>
    <font>
      <sz val="10"/>
      <color indexed="55"/>
      <name val="Arial"/>
      <family val="2"/>
    </font>
    <font>
      <sz val="8"/>
      <name val="Arial"/>
      <family val="2"/>
    </font>
    <font>
      <b/>
      <i/>
      <u/>
      <sz val="10"/>
      <color indexed="12"/>
      <name val="Arial"/>
      <family val="2"/>
    </font>
    <font>
      <sz val="8"/>
      <color indexed="9"/>
      <name val="Arial"/>
      <family val="2"/>
    </font>
    <font>
      <sz val="10"/>
      <color indexed="9"/>
      <name val="Trebuchet MS"/>
      <family val="2"/>
    </font>
    <font>
      <sz val="10"/>
      <color indexed="9"/>
      <name val="Arial"/>
      <family val="2"/>
    </font>
    <font>
      <u/>
      <sz val="10"/>
      <color indexed="12"/>
      <name val="Arial"/>
      <family val="2"/>
    </font>
    <font>
      <i/>
      <sz val="10"/>
      <color indexed="9"/>
      <name val="Arial"/>
      <family val="2"/>
    </font>
    <font>
      <vertAlign val="superscript"/>
      <sz val="8"/>
      <name val="Arial"/>
      <family val="2"/>
    </font>
    <font>
      <sz val="10"/>
      <color indexed="8"/>
      <name val="Arial"/>
      <family val="2"/>
    </font>
    <font>
      <b/>
      <sz val="10"/>
      <color indexed="8"/>
      <name val="Arial"/>
      <family val="2"/>
    </font>
    <font>
      <b/>
      <sz val="8"/>
      <color indexed="8"/>
      <name val="Arial"/>
      <family val="2"/>
    </font>
    <font>
      <sz val="10"/>
      <name val="Arial"/>
      <family val="2"/>
    </font>
    <font>
      <i/>
      <u/>
      <sz val="8"/>
      <color indexed="12"/>
      <name val="Arial"/>
      <family val="2"/>
    </font>
    <font>
      <sz val="8"/>
      <name val="Arial"/>
      <family val="2"/>
    </font>
    <font>
      <b/>
      <sz val="10"/>
      <color indexed="9"/>
      <name val="Arial"/>
      <family val="2"/>
    </font>
    <font>
      <b/>
      <sz val="10"/>
      <color indexed="62"/>
      <name val="Arial"/>
      <family val="2"/>
    </font>
    <font>
      <b/>
      <sz val="8"/>
      <color indexed="9"/>
      <name val="Arial"/>
      <family val="2"/>
    </font>
    <font>
      <sz val="10"/>
      <color indexed="9"/>
      <name val="Arial"/>
      <family val="2"/>
    </font>
    <font>
      <b/>
      <sz val="8"/>
      <color indexed="55"/>
      <name val="Arial"/>
      <family val="2"/>
    </font>
    <font>
      <b/>
      <sz val="7"/>
      <color indexed="55"/>
      <name val="Arial"/>
      <family val="2"/>
    </font>
    <font>
      <sz val="8"/>
      <color indexed="55"/>
      <name val="Arial"/>
      <family val="2"/>
    </font>
    <font>
      <b/>
      <sz val="9"/>
      <color indexed="9"/>
      <name val="Arial"/>
      <family val="2"/>
    </font>
    <font>
      <b/>
      <sz val="7"/>
      <color indexed="55"/>
      <name val="Cambria"/>
      <family val="1"/>
    </font>
    <font>
      <sz val="9"/>
      <color indexed="55"/>
      <name val="Cambria"/>
      <family val="1"/>
    </font>
    <font>
      <sz val="9"/>
      <color indexed="55"/>
      <name val="Calibri"/>
      <family val="2"/>
    </font>
    <font>
      <i/>
      <sz val="10"/>
      <color indexed="9"/>
      <name val="Arial"/>
      <family val="2"/>
    </font>
    <font>
      <sz val="10"/>
      <color indexed="9"/>
      <name val="Arial"/>
      <family val="2"/>
    </font>
    <font>
      <sz val="10"/>
      <color indexed="8"/>
      <name val="Calibri"/>
      <family val="2"/>
    </font>
    <font>
      <sz val="10"/>
      <color indexed="8"/>
      <name val="Calibri"/>
      <family val="2"/>
    </font>
    <font>
      <sz val="8"/>
      <color indexed="8"/>
      <name val="Arial"/>
      <family val="2"/>
    </font>
    <font>
      <sz val="11"/>
      <name val="Calibri"/>
      <family val="2"/>
    </font>
    <font>
      <sz val="8"/>
      <name val="Calibri"/>
      <family val="2"/>
    </font>
    <font>
      <sz val="8"/>
      <color indexed="26"/>
      <name val="Arial"/>
      <family val="2"/>
    </font>
    <font>
      <b/>
      <sz val="8"/>
      <color indexed="26"/>
      <name val="Arial"/>
      <family val="2"/>
    </font>
    <font>
      <sz val="11"/>
      <color indexed="26"/>
      <name val="Calibri"/>
      <family val="2"/>
    </font>
    <font>
      <sz val="10"/>
      <color indexed="26"/>
      <name val="Arial"/>
      <family val="2"/>
    </font>
    <font>
      <b/>
      <sz val="8"/>
      <color rgb="FF000000"/>
      <name val="Arial"/>
      <family val="2"/>
    </font>
    <font>
      <sz val="8"/>
      <color rgb="FF000000"/>
      <name val="Arial"/>
      <family val="2"/>
    </font>
    <font>
      <strike/>
      <sz val="10"/>
      <name val="Arial"/>
      <family val="2"/>
    </font>
    <font>
      <b/>
      <strike/>
      <sz val="10"/>
      <color indexed="8"/>
      <name val="Arial"/>
      <family val="2"/>
    </font>
    <font>
      <sz val="10"/>
      <color theme="1"/>
      <name val="Arial"/>
      <family val="2"/>
    </font>
    <font>
      <b/>
      <sz val="10"/>
      <color theme="0"/>
      <name val="Arial"/>
      <family val="2"/>
    </font>
    <font>
      <b/>
      <sz val="10"/>
      <color theme="1"/>
      <name val="Arial"/>
      <family val="2"/>
    </font>
    <font>
      <sz val="10"/>
      <color theme="0"/>
      <name val="Arial"/>
      <family val="2"/>
    </font>
    <font>
      <i/>
      <sz val="10"/>
      <color theme="1"/>
      <name val="Arial"/>
      <family val="2"/>
    </font>
    <font>
      <b/>
      <i/>
      <sz val="10"/>
      <color theme="0"/>
      <name val="Arial"/>
      <family val="2"/>
    </font>
    <font>
      <sz val="8"/>
      <name val="Courier"/>
      <family val="3"/>
    </font>
    <font>
      <b/>
      <sz val="11"/>
      <color theme="1"/>
      <name val="Calibri"/>
      <family val="2"/>
      <scheme val="minor"/>
    </font>
    <font>
      <sz val="8"/>
      <color theme="1"/>
      <name val="Calibri"/>
      <family val="2"/>
      <scheme val="minor"/>
    </font>
    <font>
      <sz val="8"/>
      <color theme="1"/>
      <name val="Arial"/>
      <family val="2"/>
    </font>
    <font>
      <b/>
      <sz val="8"/>
      <color theme="1"/>
      <name val="Arial"/>
      <family val="2"/>
    </font>
    <font>
      <b/>
      <sz val="8"/>
      <color theme="0"/>
      <name val="Arial"/>
      <family val="2"/>
    </font>
    <font>
      <u/>
      <sz val="8"/>
      <color indexed="12"/>
      <name val="Arial"/>
      <family val="2"/>
    </font>
    <font>
      <b/>
      <vertAlign val="superscript"/>
      <sz val="8"/>
      <name val="Arial"/>
      <family val="2"/>
    </font>
    <font>
      <b/>
      <i/>
      <sz val="8"/>
      <name val="Arial"/>
      <family val="2"/>
    </font>
    <font>
      <i/>
      <sz val="10"/>
      <color indexed="8"/>
      <name val="Arial"/>
      <family val="2"/>
    </font>
    <font>
      <sz val="10"/>
      <color theme="0" tint="-0.34998626667073579"/>
      <name val="Arial"/>
      <family val="2"/>
    </font>
    <font>
      <b/>
      <i/>
      <u/>
      <sz val="10"/>
      <name val="Arial"/>
      <family val="2"/>
    </font>
    <font>
      <b/>
      <i/>
      <sz val="10"/>
      <color theme="1"/>
      <name val="Arial"/>
      <family val="2"/>
    </font>
    <font>
      <sz val="9"/>
      <color theme="1"/>
      <name val="Arial"/>
      <family val="2"/>
    </font>
    <font>
      <i/>
      <u/>
      <sz val="10"/>
      <color indexed="12"/>
      <name val="Arial"/>
      <family val="2"/>
    </font>
    <font>
      <sz val="10"/>
      <name val="Arial"/>
      <family val="2"/>
    </font>
    <font>
      <b/>
      <sz val="9"/>
      <color indexed="8"/>
      <name val="Arial Bold"/>
    </font>
    <font>
      <sz val="9"/>
      <color indexed="8"/>
      <name val="Arial"/>
      <family val="2"/>
    </font>
    <font>
      <sz val="10"/>
      <color rgb="FFFF0000"/>
      <name val="Arial"/>
      <family val="2"/>
    </font>
    <font>
      <sz val="9"/>
      <color indexed="8"/>
      <name val="Arial"/>
      <family val="2"/>
    </font>
    <font>
      <b/>
      <strike/>
      <sz val="10"/>
      <color theme="1"/>
      <name val="Arial"/>
      <family val="2"/>
    </font>
    <font>
      <strike/>
      <sz val="10"/>
      <color theme="1"/>
      <name val="Arial"/>
      <family val="2"/>
    </font>
    <font>
      <sz val="11"/>
      <color theme="1"/>
      <name val="Calibri"/>
      <family val="2"/>
      <scheme val="minor"/>
    </font>
    <font>
      <i/>
      <sz val="8"/>
      <color indexed="9"/>
      <name val="Arial"/>
      <family val="2"/>
    </font>
    <font>
      <sz val="10"/>
      <name val="Arial"/>
      <family val="2"/>
      <charset val="1"/>
    </font>
    <font>
      <b/>
      <sz val="8"/>
      <color theme="3" tint="0.79998168889431442"/>
      <name val="Arial"/>
      <family val="2"/>
    </font>
    <font>
      <u/>
      <sz val="10"/>
      <name val="Arial"/>
      <family val="2"/>
    </font>
    <font>
      <sz val="10"/>
      <color theme="0" tint="-0.249977111117893"/>
      <name val="Arial"/>
      <family val="2"/>
    </font>
    <font>
      <b/>
      <sz val="10"/>
      <color theme="0" tint="-0.249977111117893"/>
      <name val="Arial"/>
      <family val="2"/>
    </font>
    <font>
      <b/>
      <u/>
      <sz val="10"/>
      <color theme="1"/>
      <name val="Arial"/>
      <family val="2"/>
    </font>
    <font>
      <b/>
      <i/>
      <sz val="10"/>
      <color rgb="FF333399"/>
      <name val="Arial"/>
      <family val="2"/>
    </font>
    <font>
      <sz val="8"/>
      <color theme="0"/>
      <name val="Arial"/>
      <family val="2"/>
    </font>
    <font>
      <b/>
      <sz val="9"/>
      <color theme="0"/>
      <name val="Cambria"/>
      <family val="1"/>
    </font>
    <font>
      <sz val="10"/>
      <color theme="0"/>
      <name val="Cambria"/>
      <family val="1"/>
    </font>
    <font>
      <sz val="9"/>
      <color theme="0"/>
      <name val="Cambria"/>
      <family val="1"/>
    </font>
    <font>
      <sz val="8"/>
      <color theme="0"/>
      <name val="Cambria"/>
      <family val="1"/>
    </font>
    <font>
      <sz val="11"/>
      <color theme="0"/>
      <name val="Calibri"/>
      <family val="2"/>
      <scheme val="minor"/>
    </font>
    <font>
      <b/>
      <sz val="9"/>
      <color theme="0"/>
      <name val="Arial Bold"/>
    </font>
    <font>
      <sz val="9"/>
      <color theme="0"/>
      <name val="Arial"/>
      <family val="2"/>
    </font>
  </fonts>
  <fills count="14">
    <fill>
      <patternFill patternType="none"/>
    </fill>
    <fill>
      <patternFill patternType="gray125"/>
    </fill>
    <fill>
      <patternFill patternType="solid">
        <fgColor indexed="9"/>
        <bgColor indexed="64"/>
      </patternFill>
    </fill>
    <fill>
      <patternFill patternType="solid">
        <fgColor indexed="62"/>
        <bgColor indexed="64"/>
      </patternFill>
    </fill>
    <fill>
      <patternFill patternType="solid">
        <fgColor indexed="55"/>
        <bgColor indexed="64"/>
      </patternFill>
    </fill>
    <fill>
      <patternFill patternType="solid">
        <fgColor indexed="57"/>
        <bgColor indexed="64"/>
      </patternFill>
    </fill>
    <fill>
      <patternFill patternType="solid">
        <fgColor indexed="47"/>
        <bgColor indexed="64"/>
      </patternFill>
    </fill>
    <fill>
      <patternFill patternType="solid">
        <fgColor indexed="10"/>
        <bgColor indexed="64"/>
      </patternFill>
    </fill>
    <fill>
      <patternFill patternType="solid">
        <fgColor rgb="FF333399"/>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DBE5F1"/>
        <bgColor indexed="64"/>
      </patternFill>
    </fill>
    <fill>
      <patternFill patternType="solid">
        <fgColor theme="0" tint="-4.9989318521683403E-2"/>
        <bgColor indexed="64"/>
      </patternFill>
    </fill>
  </fills>
  <borders count="182">
    <border>
      <left/>
      <right/>
      <top/>
      <bottom/>
      <diagonal/>
    </border>
    <border>
      <left/>
      <right style="hair">
        <color indexed="64"/>
      </right>
      <top/>
      <bottom style="hair">
        <color indexed="64"/>
      </bottom>
      <diagonal/>
    </border>
    <border>
      <left style="hair">
        <color indexed="64"/>
      </left>
      <right/>
      <top/>
      <bottom style="hair">
        <color indexed="64"/>
      </bottom>
      <diagonal/>
    </border>
    <border>
      <left style="thin">
        <color indexed="9"/>
      </left>
      <right style="thin">
        <color indexed="9"/>
      </right>
      <top/>
      <bottom style="thin">
        <color indexed="12"/>
      </bottom>
      <diagonal/>
    </border>
    <border>
      <left style="thin">
        <color indexed="9"/>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9"/>
      </right>
      <top style="hair">
        <color indexed="64"/>
      </top>
      <bottom style="hair">
        <color indexed="64"/>
      </bottom>
      <diagonal/>
    </border>
    <border>
      <left style="thin">
        <color indexed="62"/>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64"/>
      </left>
      <right style="thin">
        <color indexed="64"/>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thin">
        <color indexed="9"/>
      </left>
      <right style="thin">
        <color indexed="62"/>
      </right>
      <top style="thin">
        <color indexed="62"/>
      </top>
      <bottom style="thin">
        <color indexed="62"/>
      </bottom>
      <diagonal/>
    </border>
    <border>
      <left/>
      <right style="thin">
        <color indexed="62"/>
      </right>
      <top style="thin">
        <color indexed="62"/>
      </top>
      <bottom style="thin">
        <color indexed="62"/>
      </bottom>
      <diagonal/>
    </border>
    <border>
      <left style="thin">
        <color indexed="62"/>
      </left>
      <right style="thin">
        <color indexed="9"/>
      </right>
      <top/>
      <bottom style="thin">
        <color indexed="62"/>
      </bottom>
      <diagonal/>
    </border>
    <border>
      <left style="thin">
        <color indexed="9"/>
      </left>
      <right style="thin">
        <color indexed="9"/>
      </right>
      <top/>
      <bottom style="thin">
        <color indexed="62"/>
      </bottom>
      <diagonal/>
    </border>
    <border>
      <left style="thin">
        <color indexed="9"/>
      </left>
      <right style="thin">
        <color indexed="9"/>
      </right>
      <top style="thin">
        <color indexed="9"/>
      </top>
      <bottom style="thin">
        <color indexed="62"/>
      </bottom>
      <diagonal/>
    </border>
    <border>
      <left style="thin">
        <color indexed="62"/>
      </left>
      <right style="thin">
        <color indexed="9"/>
      </right>
      <top style="thin">
        <color indexed="62"/>
      </top>
      <bottom style="thin">
        <color indexed="9"/>
      </bottom>
      <diagonal/>
    </border>
    <border>
      <left/>
      <right style="thin">
        <color indexed="9"/>
      </right>
      <top style="thin">
        <color indexed="62"/>
      </top>
      <bottom style="thin">
        <color indexed="9"/>
      </bottom>
      <diagonal/>
    </border>
    <border>
      <left style="thin">
        <color indexed="9"/>
      </left>
      <right style="thin">
        <color indexed="9"/>
      </right>
      <top style="thin">
        <color indexed="62"/>
      </top>
      <bottom style="thin">
        <color indexed="9"/>
      </bottom>
      <diagonal/>
    </border>
    <border>
      <left style="thin">
        <color indexed="9"/>
      </left>
      <right style="thin">
        <color indexed="62"/>
      </right>
      <top style="thin">
        <color indexed="62"/>
      </top>
      <bottom style="thin">
        <color indexed="9"/>
      </bottom>
      <diagonal/>
    </border>
    <border>
      <left style="thin">
        <color indexed="62"/>
      </left>
      <right style="thin">
        <color indexed="9"/>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thin">
        <color indexed="62"/>
      </right>
      <top/>
      <bottom style="thin">
        <color indexed="9"/>
      </bottom>
      <diagonal/>
    </border>
    <border>
      <left style="thin">
        <color indexed="62"/>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62"/>
      </right>
      <top style="thin">
        <color indexed="9"/>
      </top>
      <bottom style="thin">
        <color indexed="9"/>
      </bottom>
      <diagonal/>
    </border>
    <border>
      <left style="thin">
        <color indexed="62"/>
      </left>
      <right style="thin">
        <color indexed="9"/>
      </right>
      <top style="thin">
        <color indexed="9"/>
      </top>
      <bottom style="thin">
        <color indexed="62"/>
      </bottom>
      <diagonal/>
    </border>
    <border>
      <left/>
      <right style="thin">
        <color indexed="9"/>
      </right>
      <top style="thin">
        <color indexed="9"/>
      </top>
      <bottom style="thin">
        <color indexed="62"/>
      </bottom>
      <diagonal/>
    </border>
    <border>
      <left style="thin">
        <color indexed="9"/>
      </left>
      <right style="thin">
        <color indexed="62"/>
      </right>
      <top style="thin">
        <color indexed="9"/>
      </top>
      <bottom style="thin">
        <color indexed="62"/>
      </bottom>
      <diagonal/>
    </border>
    <border>
      <left style="thin">
        <color indexed="9"/>
      </left>
      <right/>
      <top style="thin">
        <color indexed="9"/>
      </top>
      <bottom style="thin">
        <color indexed="62"/>
      </bottom>
      <diagonal/>
    </border>
    <border>
      <left/>
      <right/>
      <top style="thin">
        <color indexed="62"/>
      </top>
      <bottom style="thin">
        <color indexed="62"/>
      </bottom>
      <diagonal/>
    </border>
    <border>
      <left/>
      <right/>
      <top style="thin">
        <color indexed="62"/>
      </top>
      <bottom style="thin">
        <color indexed="9"/>
      </bottom>
      <diagonal/>
    </border>
    <border>
      <left/>
      <right/>
      <top/>
      <bottom style="thin">
        <color indexed="9"/>
      </bottom>
      <diagonal/>
    </border>
    <border>
      <left/>
      <right/>
      <top style="thin">
        <color indexed="9"/>
      </top>
      <bottom style="thin">
        <color indexed="9"/>
      </bottom>
      <diagonal/>
    </border>
    <border>
      <left/>
      <right/>
      <top style="thin">
        <color indexed="9"/>
      </top>
      <bottom style="thin">
        <color indexed="62"/>
      </bottom>
      <diagonal/>
    </border>
    <border>
      <left style="thin">
        <color indexed="62"/>
      </left>
      <right style="thin">
        <color indexed="9"/>
      </right>
      <top style="thin">
        <color indexed="62"/>
      </top>
      <bottom style="thin">
        <color indexed="62"/>
      </bottom>
      <diagonal/>
    </border>
    <border>
      <left/>
      <right/>
      <top/>
      <bottom style="thin">
        <color indexed="62"/>
      </bottom>
      <diagonal/>
    </border>
    <border>
      <left/>
      <right/>
      <top style="thin">
        <color indexed="62"/>
      </top>
      <bottom/>
      <diagonal/>
    </border>
    <border>
      <left style="thin">
        <color indexed="9"/>
      </left>
      <right/>
      <top/>
      <bottom style="thin">
        <color indexed="9"/>
      </bottom>
      <diagonal/>
    </border>
    <border>
      <left style="thin">
        <color indexed="9"/>
      </left>
      <right/>
      <top style="thin">
        <color indexed="9"/>
      </top>
      <bottom style="thin">
        <color indexed="9"/>
      </bottom>
      <diagonal/>
    </border>
    <border>
      <left style="thin">
        <color indexed="62"/>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style="thin">
        <color indexed="62"/>
      </right>
      <top/>
      <bottom style="thin">
        <color indexed="62"/>
      </bottom>
      <diagonal/>
    </border>
    <border>
      <left/>
      <right/>
      <top style="thin">
        <color indexed="36"/>
      </top>
      <bottom/>
      <diagonal/>
    </border>
    <border>
      <left style="thin">
        <color indexed="62"/>
      </left>
      <right/>
      <top style="thin">
        <color indexed="62"/>
      </top>
      <bottom style="thin">
        <color indexed="62"/>
      </bottom>
      <diagonal/>
    </border>
    <border>
      <left style="medium">
        <color indexed="62"/>
      </left>
      <right style="thin">
        <color indexed="9"/>
      </right>
      <top style="medium">
        <color indexed="62"/>
      </top>
      <bottom style="thin">
        <color indexed="62"/>
      </bottom>
      <diagonal/>
    </border>
    <border>
      <left style="thin">
        <color indexed="9"/>
      </left>
      <right style="thin">
        <color indexed="9"/>
      </right>
      <top style="medium">
        <color indexed="62"/>
      </top>
      <bottom style="thin">
        <color indexed="62"/>
      </bottom>
      <diagonal/>
    </border>
    <border>
      <left style="thin">
        <color indexed="9"/>
      </left>
      <right style="medium">
        <color indexed="62"/>
      </right>
      <top style="medium">
        <color indexed="62"/>
      </top>
      <bottom style="thin">
        <color indexed="62"/>
      </bottom>
      <diagonal/>
    </border>
    <border>
      <left style="thin">
        <color indexed="62"/>
      </left>
      <right style="medium">
        <color indexed="62"/>
      </right>
      <top style="thin">
        <color indexed="62"/>
      </top>
      <bottom style="medium">
        <color indexed="62"/>
      </bottom>
      <diagonal/>
    </border>
    <border>
      <left style="medium">
        <color indexed="62"/>
      </left>
      <right style="thin">
        <color indexed="62"/>
      </right>
      <top style="medium">
        <color indexed="62"/>
      </top>
      <bottom style="medium">
        <color indexed="62"/>
      </bottom>
      <diagonal/>
    </border>
    <border>
      <left style="thin">
        <color indexed="62"/>
      </left>
      <right style="thin">
        <color indexed="62"/>
      </right>
      <top style="medium">
        <color indexed="62"/>
      </top>
      <bottom style="medium">
        <color indexed="62"/>
      </bottom>
      <diagonal/>
    </border>
    <border>
      <left style="thin">
        <color indexed="62"/>
      </left>
      <right style="medium">
        <color indexed="62"/>
      </right>
      <top style="medium">
        <color indexed="62"/>
      </top>
      <bottom style="medium">
        <color indexed="62"/>
      </bottom>
      <diagonal/>
    </border>
    <border>
      <left style="medium">
        <color indexed="62"/>
      </left>
      <right/>
      <top style="medium">
        <color indexed="62"/>
      </top>
      <bottom style="thin">
        <color indexed="62"/>
      </bottom>
      <diagonal/>
    </border>
    <border>
      <left/>
      <right/>
      <top style="medium">
        <color indexed="62"/>
      </top>
      <bottom style="thin">
        <color indexed="62"/>
      </bottom>
      <diagonal/>
    </border>
    <border>
      <left/>
      <right style="medium">
        <color indexed="62"/>
      </right>
      <top style="medium">
        <color indexed="62"/>
      </top>
      <bottom style="thin">
        <color indexed="62"/>
      </bottom>
      <diagonal/>
    </border>
    <border>
      <left style="medium">
        <color indexed="62"/>
      </left>
      <right style="thin">
        <color indexed="62"/>
      </right>
      <top/>
      <bottom style="thin">
        <color indexed="62"/>
      </bottom>
      <diagonal/>
    </border>
    <border>
      <left style="thin">
        <color indexed="62"/>
      </left>
      <right style="thin">
        <color indexed="62"/>
      </right>
      <top/>
      <bottom style="thin">
        <color indexed="62"/>
      </bottom>
      <diagonal/>
    </border>
    <border>
      <left style="thin">
        <color indexed="62"/>
      </left>
      <right/>
      <top/>
      <bottom style="thin">
        <color indexed="62"/>
      </bottom>
      <diagonal/>
    </border>
    <border>
      <left style="thin">
        <color indexed="62"/>
      </left>
      <right style="medium">
        <color indexed="62"/>
      </right>
      <top/>
      <bottom style="thin">
        <color indexed="62"/>
      </bottom>
      <diagonal/>
    </border>
    <border>
      <left style="medium">
        <color indexed="62"/>
      </left>
      <right style="thin">
        <color indexed="62"/>
      </right>
      <top style="thin">
        <color indexed="62"/>
      </top>
      <bottom/>
      <diagonal/>
    </border>
    <border>
      <left style="thin">
        <color indexed="62"/>
      </left>
      <right style="thin">
        <color indexed="62"/>
      </right>
      <top style="thin">
        <color indexed="62"/>
      </top>
      <bottom/>
      <diagonal/>
    </border>
    <border>
      <left style="thin">
        <color indexed="62"/>
      </left>
      <right style="medium">
        <color indexed="62"/>
      </right>
      <top style="thin">
        <color indexed="62"/>
      </top>
      <bottom/>
      <diagonal/>
    </border>
    <border>
      <left style="medium">
        <color indexed="62"/>
      </left>
      <right style="thin">
        <color indexed="62"/>
      </right>
      <top/>
      <bottom style="medium">
        <color indexed="62"/>
      </bottom>
      <diagonal/>
    </border>
    <border>
      <left style="thin">
        <color indexed="62"/>
      </left>
      <right style="thin">
        <color indexed="62"/>
      </right>
      <top/>
      <bottom style="medium">
        <color indexed="62"/>
      </bottom>
      <diagonal/>
    </border>
    <border>
      <left style="thin">
        <color indexed="62"/>
      </left>
      <right style="medium">
        <color indexed="62"/>
      </right>
      <top/>
      <bottom style="medium">
        <color indexed="62"/>
      </bottom>
      <diagonal/>
    </border>
    <border>
      <left style="medium">
        <color indexed="62"/>
      </left>
      <right style="thin">
        <color indexed="62"/>
      </right>
      <top style="thin">
        <color indexed="62"/>
      </top>
      <bottom style="medium">
        <color indexed="62"/>
      </bottom>
      <diagonal/>
    </border>
    <border>
      <left style="thin">
        <color indexed="62"/>
      </left>
      <right style="thin">
        <color indexed="62"/>
      </right>
      <top style="thin">
        <color indexed="62"/>
      </top>
      <bottom style="medium">
        <color indexed="62"/>
      </bottom>
      <diagonal/>
    </border>
    <border>
      <left style="medium">
        <color indexed="62"/>
      </left>
      <right style="thin">
        <color indexed="62"/>
      </right>
      <top style="thin">
        <color indexed="62"/>
      </top>
      <bottom style="thin">
        <color indexed="62"/>
      </bottom>
      <diagonal/>
    </border>
    <border>
      <left style="thin">
        <color indexed="62"/>
      </left>
      <right style="medium">
        <color indexed="62"/>
      </right>
      <top style="thin">
        <color indexed="62"/>
      </top>
      <bottom style="thin">
        <color indexed="62"/>
      </bottom>
      <diagonal/>
    </border>
    <border>
      <left style="medium">
        <color indexed="62"/>
      </left>
      <right style="thin">
        <color indexed="62"/>
      </right>
      <top style="medium">
        <color indexed="62"/>
      </top>
      <bottom style="thin">
        <color indexed="62"/>
      </bottom>
      <diagonal/>
    </border>
    <border>
      <left style="thin">
        <color indexed="62"/>
      </left>
      <right style="thin">
        <color indexed="62"/>
      </right>
      <top style="medium">
        <color indexed="62"/>
      </top>
      <bottom style="thin">
        <color indexed="62"/>
      </bottom>
      <diagonal/>
    </border>
    <border>
      <left style="thin">
        <color indexed="62"/>
      </left>
      <right style="medium">
        <color indexed="62"/>
      </right>
      <top style="medium">
        <color indexed="62"/>
      </top>
      <bottom style="thin">
        <color indexed="62"/>
      </bottom>
      <diagonal/>
    </border>
    <border>
      <left/>
      <right/>
      <top style="medium">
        <color indexed="62"/>
      </top>
      <bottom/>
      <diagonal/>
    </border>
    <border>
      <left style="thin">
        <color indexed="9"/>
      </left>
      <right style="thin">
        <color indexed="9"/>
      </right>
      <top style="thin">
        <color indexed="62"/>
      </top>
      <bottom style="thin">
        <color indexed="62"/>
      </bottom>
      <diagonal/>
    </border>
    <border>
      <left style="thin">
        <color indexed="9"/>
      </left>
      <right/>
      <top style="thin">
        <color indexed="62"/>
      </top>
      <bottom style="thin">
        <color indexed="62"/>
      </bottom>
      <diagonal/>
    </border>
    <border>
      <left style="thin">
        <color indexed="9"/>
      </left>
      <right/>
      <top style="thin">
        <color indexed="62"/>
      </top>
      <bottom style="thin">
        <color indexed="9"/>
      </bottom>
      <diagonal/>
    </border>
    <border>
      <left style="thin">
        <color indexed="62"/>
      </left>
      <right/>
      <top/>
      <bottom/>
      <diagonal/>
    </border>
    <border>
      <left/>
      <right/>
      <top/>
      <bottom style="medium">
        <color indexed="62"/>
      </bottom>
      <diagonal/>
    </border>
    <border>
      <left style="thin">
        <color indexed="62"/>
      </left>
      <right style="thin">
        <color indexed="62"/>
      </right>
      <top/>
      <bottom/>
      <diagonal/>
    </border>
    <border>
      <left/>
      <right style="thin">
        <color indexed="9"/>
      </right>
      <top/>
      <bottom style="thin">
        <color indexed="62"/>
      </bottom>
      <diagonal/>
    </border>
    <border>
      <left style="thin">
        <color indexed="62"/>
      </left>
      <right style="thin">
        <color indexed="62"/>
      </right>
      <top style="thin">
        <color indexed="9"/>
      </top>
      <bottom style="thin">
        <color indexed="62"/>
      </bottom>
      <diagonal/>
    </border>
    <border>
      <left/>
      <right style="thin">
        <color indexed="62"/>
      </right>
      <top style="thin">
        <color indexed="62"/>
      </top>
      <bottom style="thin">
        <color indexed="9"/>
      </bottom>
      <diagonal/>
    </border>
    <border>
      <left/>
      <right style="thin">
        <color indexed="62"/>
      </right>
      <top style="thin">
        <color indexed="9"/>
      </top>
      <bottom style="thin">
        <color indexed="9"/>
      </bottom>
      <diagonal/>
    </border>
    <border>
      <left style="medium">
        <color indexed="62"/>
      </left>
      <right style="medium">
        <color indexed="9"/>
      </right>
      <top style="medium">
        <color indexed="62"/>
      </top>
      <bottom/>
      <diagonal/>
    </border>
    <border>
      <left style="medium">
        <color indexed="62"/>
      </left>
      <right style="medium">
        <color indexed="9"/>
      </right>
      <top/>
      <bottom style="medium">
        <color indexed="62"/>
      </bottom>
      <diagonal/>
    </border>
    <border>
      <left style="medium">
        <color indexed="9"/>
      </left>
      <right style="medium">
        <color indexed="9"/>
      </right>
      <top style="medium">
        <color indexed="62"/>
      </top>
      <bottom/>
      <diagonal/>
    </border>
    <border>
      <left style="medium">
        <color indexed="9"/>
      </left>
      <right style="medium">
        <color indexed="9"/>
      </right>
      <top/>
      <bottom style="medium">
        <color indexed="62"/>
      </bottom>
      <diagonal/>
    </border>
    <border>
      <left style="medium">
        <color indexed="9"/>
      </left>
      <right style="medium">
        <color indexed="62"/>
      </right>
      <top style="medium">
        <color indexed="62"/>
      </top>
      <bottom/>
      <diagonal/>
    </border>
    <border>
      <left style="medium">
        <color indexed="9"/>
      </left>
      <right style="medium">
        <color indexed="62"/>
      </right>
      <top/>
      <bottom style="medium">
        <color indexed="62"/>
      </bottom>
      <diagonal/>
    </border>
    <border>
      <left style="thin">
        <color indexed="9"/>
      </left>
      <right/>
      <top style="thin">
        <color indexed="62"/>
      </top>
      <bottom/>
      <diagonal/>
    </border>
    <border>
      <left/>
      <right style="thin">
        <color indexed="62"/>
      </right>
      <top style="thin">
        <color indexed="62"/>
      </top>
      <bottom/>
      <diagonal/>
    </border>
    <border>
      <left style="thin">
        <color indexed="9"/>
      </left>
      <right/>
      <top/>
      <bottom style="thin">
        <color indexed="62"/>
      </bottom>
      <diagonal/>
    </border>
    <border>
      <left/>
      <right style="thin">
        <color indexed="62"/>
      </right>
      <top/>
      <bottom style="thin">
        <color indexed="62"/>
      </bottom>
      <diagonal/>
    </border>
    <border>
      <left style="thin">
        <color indexed="9"/>
      </left>
      <right/>
      <top/>
      <bottom style="thin">
        <color indexed="12"/>
      </bottom>
      <diagonal/>
    </border>
    <border>
      <left/>
      <right style="thin">
        <color indexed="9"/>
      </right>
      <top/>
      <bottom/>
      <diagonal/>
    </border>
    <border>
      <left/>
      <right style="thin">
        <color indexed="9"/>
      </right>
      <top/>
      <bottom style="thin">
        <color indexed="12"/>
      </bottom>
      <diagonal/>
    </border>
    <border>
      <left style="thin">
        <color indexed="62"/>
      </left>
      <right/>
      <top style="thin">
        <color indexed="62"/>
      </top>
      <bottom style="thin">
        <color indexed="9"/>
      </bottom>
      <diagonal/>
    </border>
    <border>
      <left/>
      <right style="thin">
        <color indexed="9"/>
      </right>
      <top style="thin">
        <color indexed="62"/>
      </top>
      <bottom/>
      <diagonal/>
    </border>
    <border>
      <left/>
      <right style="thin">
        <color indexed="62"/>
      </right>
      <top/>
      <bottom/>
      <diagonal/>
    </border>
    <border>
      <left style="thin">
        <color indexed="9"/>
      </left>
      <right/>
      <top/>
      <bottom/>
      <diagonal/>
    </border>
    <border>
      <left style="thin">
        <color indexed="9"/>
      </left>
      <right style="thin">
        <color indexed="62"/>
      </right>
      <top style="thin">
        <color indexed="9"/>
      </top>
      <bottom/>
      <diagonal/>
    </border>
    <border>
      <left style="thin">
        <color indexed="62"/>
      </left>
      <right style="thin">
        <color indexed="9"/>
      </right>
      <top style="thin">
        <color indexed="62"/>
      </top>
      <bottom/>
      <diagonal/>
    </border>
    <border>
      <left/>
      <right style="thin">
        <color indexed="62"/>
      </right>
      <top style="thin">
        <color indexed="9"/>
      </top>
      <bottom style="thin">
        <color indexed="62"/>
      </bottom>
      <diagonal/>
    </border>
    <border>
      <left/>
      <right style="thin">
        <color indexed="9"/>
      </right>
      <top/>
      <bottom style="thin">
        <color indexed="64"/>
      </bottom>
      <diagonal/>
    </border>
    <border>
      <left style="thin">
        <color rgb="FF333399"/>
      </left>
      <right style="thin">
        <color rgb="FF333399"/>
      </right>
      <top style="thin">
        <color rgb="FF333399"/>
      </top>
      <bottom style="thin">
        <color rgb="FF333399"/>
      </bottom>
      <diagonal/>
    </border>
    <border>
      <left style="thin">
        <color theme="0"/>
      </left>
      <right style="thin">
        <color theme="0"/>
      </right>
      <top style="thin">
        <color rgb="FF333399"/>
      </top>
      <bottom style="thin">
        <color theme="0"/>
      </bottom>
      <diagonal/>
    </border>
    <border>
      <left style="thin">
        <color theme="0"/>
      </left>
      <right style="thin">
        <color rgb="FF333399"/>
      </right>
      <top style="thin">
        <color rgb="FF333399"/>
      </top>
      <bottom style="thin">
        <color theme="0"/>
      </bottom>
      <diagonal/>
    </border>
    <border>
      <left style="thin">
        <color theme="0"/>
      </left>
      <right style="thin">
        <color theme="0"/>
      </right>
      <top style="thin">
        <color theme="0"/>
      </top>
      <bottom style="thin">
        <color rgb="FF333399"/>
      </bottom>
      <diagonal/>
    </border>
    <border>
      <left style="thin">
        <color theme="0"/>
      </left>
      <right style="thin">
        <color rgb="FF333399"/>
      </right>
      <top style="thin">
        <color theme="0"/>
      </top>
      <bottom style="thin">
        <color rgb="FF333399"/>
      </bottom>
      <diagonal/>
    </border>
    <border>
      <left style="thin">
        <color theme="0"/>
      </left>
      <right style="thin">
        <color theme="0"/>
      </right>
      <top/>
      <bottom style="thin">
        <color rgb="FF333399"/>
      </bottom>
      <diagonal/>
    </border>
    <border>
      <left style="thin">
        <color theme="0"/>
      </left>
      <right style="thin">
        <color rgb="FF333399"/>
      </right>
      <top/>
      <bottom style="thin">
        <color rgb="FF333399"/>
      </bottom>
      <diagonal/>
    </border>
    <border>
      <left style="thin">
        <color theme="0"/>
      </left>
      <right/>
      <top style="thin">
        <color rgb="FF333399"/>
      </top>
      <bottom style="thin">
        <color theme="0"/>
      </bottom>
      <diagonal/>
    </border>
    <border>
      <left/>
      <right/>
      <top style="thin">
        <color rgb="FF333399"/>
      </top>
      <bottom style="thin">
        <color theme="0"/>
      </bottom>
      <diagonal/>
    </border>
    <border>
      <left/>
      <right style="thin">
        <color rgb="FF333399"/>
      </right>
      <top style="thin">
        <color rgb="FF333399"/>
      </top>
      <bottom style="thin">
        <color theme="0"/>
      </bottom>
      <diagonal/>
    </border>
    <border>
      <left style="thin">
        <color rgb="FF333399"/>
      </left>
      <right/>
      <top style="thin">
        <color rgb="FF333399"/>
      </top>
      <bottom style="thin">
        <color rgb="FF333399"/>
      </bottom>
      <diagonal/>
    </border>
    <border>
      <left/>
      <right style="thin">
        <color theme="0"/>
      </right>
      <top style="thin">
        <color rgb="FF333399"/>
      </top>
      <bottom style="thin">
        <color rgb="FF333399"/>
      </bottom>
      <diagonal/>
    </border>
    <border>
      <left style="thin">
        <color indexed="9"/>
      </left>
      <right style="thin">
        <color theme="0"/>
      </right>
      <top style="thin">
        <color indexed="62"/>
      </top>
      <bottom style="thin">
        <color indexed="62"/>
      </bottom>
      <diagonal/>
    </border>
    <border>
      <left style="thin">
        <color theme="0"/>
      </left>
      <right style="thin">
        <color indexed="62"/>
      </right>
      <top style="thin">
        <color indexed="62"/>
      </top>
      <bottom style="thin">
        <color indexed="62"/>
      </bottom>
      <diagonal/>
    </border>
    <border>
      <left style="thin">
        <color indexed="62"/>
      </left>
      <right style="thin">
        <color theme="0"/>
      </right>
      <top/>
      <bottom style="thin">
        <color indexed="62"/>
      </bottom>
      <diagonal/>
    </border>
    <border>
      <left style="thin">
        <color indexed="9"/>
      </left>
      <right style="thin">
        <color indexed="62"/>
      </right>
      <top style="thin">
        <color indexed="62"/>
      </top>
      <bottom/>
      <diagonal/>
    </border>
    <border>
      <left/>
      <right style="thin">
        <color indexed="9"/>
      </right>
      <top style="thin">
        <color indexed="9"/>
      </top>
      <bottom/>
      <diagonal/>
    </border>
    <border>
      <left style="thin">
        <color indexed="9"/>
      </left>
      <right/>
      <top style="thin">
        <color indexed="9"/>
      </top>
      <bottom style="thin">
        <color indexed="64"/>
      </bottom>
      <diagonal/>
    </border>
    <border>
      <left/>
      <right style="thin">
        <color indexed="9"/>
      </right>
      <top style="thin">
        <color indexed="9"/>
      </top>
      <bottom style="thin">
        <color indexed="64"/>
      </bottom>
      <diagonal/>
    </border>
    <border>
      <left style="thin">
        <color rgb="FF333399"/>
      </left>
      <right style="thin">
        <color theme="0"/>
      </right>
      <top style="thin">
        <color rgb="FF333399"/>
      </top>
      <bottom/>
      <diagonal/>
    </border>
    <border>
      <left style="thin">
        <color rgb="FF333399"/>
      </left>
      <right style="thin">
        <color theme="0"/>
      </right>
      <top/>
      <bottom style="thin">
        <color rgb="FF333399"/>
      </bottom>
      <diagonal/>
    </border>
    <border>
      <left style="thin">
        <color auto="1"/>
      </left>
      <right style="thin">
        <color auto="1"/>
      </right>
      <top style="thin">
        <color auto="1"/>
      </top>
      <bottom style="thin">
        <color auto="1"/>
      </bottom>
      <diagonal/>
    </border>
    <border>
      <left/>
      <right style="thin">
        <color theme="0"/>
      </right>
      <top style="thin">
        <color rgb="FF333399"/>
      </top>
      <bottom style="thin">
        <color theme="0"/>
      </bottom>
      <diagonal/>
    </border>
    <border>
      <left/>
      <right style="thin">
        <color theme="0"/>
      </right>
      <top/>
      <bottom style="thin">
        <color indexed="62"/>
      </bottom>
      <diagonal/>
    </border>
    <border>
      <left style="thin">
        <color theme="0"/>
      </left>
      <right style="thin">
        <color theme="0"/>
      </right>
      <top/>
      <bottom style="thin">
        <color indexed="62"/>
      </bottom>
      <diagonal/>
    </border>
    <border>
      <left style="thin">
        <color theme="0"/>
      </left>
      <right style="thin">
        <color indexed="62"/>
      </right>
      <top/>
      <bottom style="thin">
        <color indexed="62"/>
      </bottom>
      <diagonal/>
    </border>
    <border>
      <left style="thin">
        <color theme="0"/>
      </left>
      <right style="thin">
        <color theme="0"/>
      </right>
      <top style="thin">
        <color rgb="FF333399"/>
      </top>
      <bottom/>
      <diagonal/>
    </border>
    <border>
      <left style="thin">
        <color rgb="FF333399"/>
      </left>
      <right style="thin">
        <color theme="0"/>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rgb="FF333399"/>
      </right>
      <top/>
      <bottom style="thin">
        <color theme="0"/>
      </bottom>
      <diagonal/>
    </border>
    <border>
      <left style="thin">
        <color theme="0"/>
      </left>
      <right/>
      <top/>
      <bottom/>
      <diagonal/>
    </border>
    <border>
      <left/>
      <right style="thin">
        <color rgb="FF333399"/>
      </right>
      <top/>
      <bottom/>
      <diagonal/>
    </border>
    <border>
      <left style="thin">
        <color rgb="FF333399"/>
      </left>
      <right style="thin">
        <color rgb="FF333399"/>
      </right>
      <top style="thin">
        <color rgb="FF333399"/>
      </top>
      <bottom/>
      <diagonal/>
    </border>
    <border>
      <left style="thin">
        <color rgb="FF333399"/>
      </left>
      <right style="thin">
        <color rgb="FF333399"/>
      </right>
      <top/>
      <bottom/>
      <diagonal/>
    </border>
    <border>
      <left style="thin">
        <color rgb="FF333399"/>
      </left>
      <right/>
      <top style="thin">
        <color rgb="FF333399"/>
      </top>
      <bottom/>
      <diagonal/>
    </border>
    <border>
      <left/>
      <right/>
      <top style="thin">
        <color rgb="FF333399"/>
      </top>
      <bottom/>
      <diagonal/>
    </border>
    <border>
      <left style="thin">
        <color rgb="FF333399"/>
      </left>
      <right/>
      <top/>
      <bottom/>
      <diagonal/>
    </border>
    <border>
      <left style="thin">
        <color rgb="FF333399"/>
      </left>
      <right style="thin">
        <color rgb="FF333399"/>
      </right>
      <top/>
      <bottom style="thin">
        <color rgb="FF333399"/>
      </bottom>
      <diagonal/>
    </border>
    <border>
      <left style="thin">
        <color rgb="FF333399"/>
      </left>
      <right/>
      <top/>
      <bottom style="thin">
        <color rgb="FF333399"/>
      </bottom>
      <diagonal/>
    </border>
    <border>
      <left/>
      <right/>
      <top/>
      <bottom style="thin">
        <color rgb="FF333399"/>
      </bottom>
      <diagonal/>
    </border>
    <border>
      <left/>
      <right style="thin">
        <color rgb="FF333399"/>
      </right>
      <top/>
      <bottom style="thin">
        <color rgb="FF333399"/>
      </bottom>
      <diagonal/>
    </border>
    <border>
      <left style="thin">
        <color indexed="62"/>
      </left>
      <right/>
      <top style="thin">
        <color indexed="62"/>
      </top>
      <bottom/>
      <diagonal/>
    </border>
    <border>
      <left style="thin">
        <color indexed="9"/>
      </left>
      <right style="thin">
        <color indexed="9"/>
      </right>
      <top style="thin">
        <color indexed="62"/>
      </top>
      <bottom/>
      <diagonal/>
    </border>
    <border>
      <left/>
      <right style="thin">
        <color theme="0"/>
      </right>
      <top style="thin">
        <color theme="0"/>
      </top>
      <bottom style="thin">
        <color rgb="FF333399"/>
      </bottom>
      <diagonal/>
    </border>
    <border>
      <left style="thin">
        <color indexed="62"/>
      </left>
      <right style="thin">
        <color theme="0"/>
      </right>
      <top style="thin">
        <color indexed="62"/>
      </top>
      <bottom style="thin">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2"/>
      </left>
      <right style="thin">
        <color indexed="9"/>
      </right>
      <top/>
      <bottom/>
      <diagonal/>
    </border>
    <border>
      <left style="thin">
        <color indexed="8"/>
      </left>
      <right style="thin">
        <color indexed="8"/>
      </right>
      <top style="thin">
        <color indexed="8"/>
      </top>
      <bottom style="thin">
        <color indexed="8"/>
      </bottom>
      <diagonal/>
    </border>
    <border>
      <left style="thin">
        <color theme="0"/>
      </left>
      <right/>
      <top style="thin">
        <color theme="0"/>
      </top>
      <bottom style="thin">
        <color rgb="FF333399"/>
      </bottom>
      <diagonal/>
    </border>
    <border>
      <left style="thin">
        <color indexed="62"/>
      </left>
      <right style="thin">
        <color theme="0"/>
      </right>
      <top style="thin">
        <color indexed="9"/>
      </top>
      <bottom style="thin">
        <color theme="0"/>
      </bottom>
      <diagonal/>
    </border>
    <border>
      <left style="thin">
        <color theme="0"/>
      </left>
      <right style="thin">
        <color theme="0"/>
      </right>
      <top style="thin">
        <color indexed="9"/>
      </top>
      <bottom style="thin">
        <color theme="0"/>
      </bottom>
      <diagonal/>
    </border>
    <border>
      <left style="thin">
        <color theme="0"/>
      </left>
      <right style="thin">
        <color indexed="62"/>
      </right>
      <top style="thin">
        <color indexed="9"/>
      </top>
      <bottom style="thin">
        <color theme="0"/>
      </bottom>
      <diagonal/>
    </border>
    <border>
      <left style="thin">
        <color indexed="62"/>
      </left>
      <right style="thin">
        <color theme="0"/>
      </right>
      <top style="thin">
        <color theme="0"/>
      </top>
      <bottom style="thin">
        <color indexed="62"/>
      </bottom>
      <diagonal/>
    </border>
    <border>
      <left style="thin">
        <color theme="0"/>
      </left>
      <right style="thin">
        <color theme="0"/>
      </right>
      <top style="thin">
        <color theme="0"/>
      </top>
      <bottom style="thin">
        <color indexed="62"/>
      </bottom>
      <diagonal/>
    </border>
    <border>
      <left style="thin">
        <color theme="0"/>
      </left>
      <right style="thin">
        <color indexed="62"/>
      </right>
      <top style="thin">
        <color theme="0"/>
      </top>
      <bottom style="thin">
        <color indexed="62"/>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s>
  <cellStyleXfs count="23">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8" fillId="0" borderId="0"/>
    <xf numFmtId="0" fontId="42" fillId="0" borderId="0"/>
    <xf numFmtId="0" fontId="10" fillId="0" borderId="0"/>
    <xf numFmtId="0" fontId="7" fillId="0" borderId="0"/>
    <xf numFmtId="0" fontId="77" fillId="0" borderId="0"/>
    <xf numFmtId="0" fontId="8" fillId="0" borderId="0"/>
    <xf numFmtId="0" fontId="9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applyNumberFormat="0" applyFill="0" applyBorder="0" applyAlignment="0" applyProtection="0">
      <alignment vertical="top"/>
      <protection locked="0"/>
    </xf>
    <xf numFmtId="0" fontId="99" fillId="0" borderId="0"/>
    <xf numFmtId="0" fontId="101" fillId="0" borderId="0"/>
    <xf numFmtId="0" fontId="3" fillId="0" borderId="0"/>
    <xf numFmtId="0" fontId="1" fillId="0" borderId="0"/>
  </cellStyleXfs>
  <cellXfs count="1180">
    <xf numFmtId="0" fontId="0" fillId="0" borderId="0" xfId="0"/>
    <xf numFmtId="0" fontId="8" fillId="0" borderId="0" xfId="4" applyAlignment="1">
      <alignment horizontal="center"/>
    </xf>
    <xf numFmtId="0" fontId="8" fillId="0" borderId="0" xfId="4"/>
    <xf numFmtId="0" fontId="49" fillId="2" borderId="1" xfId="6" applyFont="1" applyFill="1" applyBorder="1" applyAlignment="1">
      <alignment vertical="center"/>
    </xf>
    <xf numFmtId="0" fontId="49" fillId="2" borderId="2" xfId="6" applyFont="1" applyFill="1" applyBorder="1" applyAlignment="1">
      <alignment vertical="center"/>
    </xf>
    <xf numFmtId="0" fontId="12" fillId="0" borderId="0" xfId="6" applyFont="1"/>
    <xf numFmtId="0" fontId="11" fillId="3" borderId="3" xfId="6" applyFont="1" applyFill="1" applyBorder="1" applyAlignment="1">
      <alignment horizontal="center" vertical="center"/>
    </xf>
    <xf numFmtId="0" fontId="11" fillId="3" borderId="3" xfId="6" applyFont="1" applyFill="1" applyBorder="1" applyAlignment="1">
      <alignment horizontal="center" vertical="center" wrapText="1"/>
    </xf>
    <xf numFmtId="0" fontId="49" fillId="2" borderId="4" xfId="6" applyFont="1" applyFill="1" applyBorder="1" applyAlignment="1">
      <alignment horizontal="center" vertical="center" wrapText="1"/>
    </xf>
    <xf numFmtId="0" fontId="49" fillId="2" borderId="5" xfId="6" applyFont="1" applyFill="1" applyBorder="1" applyAlignment="1">
      <alignment horizontal="center" vertical="center" wrapText="1"/>
    </xf>
    <xf numFmtId="0" fontId="50" fillId="2" borderId="5" xfId="6" applyFont="1" applyFill="1" applyBorder="1" applyAlignment="1">
      <alignment horizontal="center" vertical="center" wrapText="1"/>
    </xf>
    <xf numFmtId="0" fontId="49" fillId="2" borderId="6" xfId="6" applyFont="1" applyFill="1" applyBorder="1" applyAlignment="1">
      <alignment horizontal="center" vertical="center" wrapText="1"/>
    </xf>
    <xf numFmtId="0" fontId="11" fillId="3" borderId="7" xfId="6" applyFont="1" applyFill="1" applyBorder="1" applyAlignment="1">
      <alignment horizontal="center" vertical="center"/>
    </xf>
    <xf numFmtId="0" fontId="11" fillId="3" borderId="8" xfId="6" applyFont="1" applyFill="1" applyBorder="1" applyAlignment="1">
      <alignment horizontal="center" vertical="center"/>
    </xf>
    <xf numFmtId="0" fontId="12" fillId="0" borderId="9" xfId="6" applyFont="1" applyFill="1" applyBorder="1" applyAlignment="1">
      <alignment horizontal="center" vertical="center"/>
    </xf>
    <xf numFmtId="1" fontId="12" fillId="0" borderId="9" xfId="6" applyNumberFormat="1" applyFont="1" applyBorder="1" applyAlignment="1">
      <alignment horizontal="center" vertical="center"/>
    </xf>
    <xf numFmtId="1" fontId="13" fillId="0" borderId="10" xfId="4" applyNumberFormat="1" applyFont="1" applyFill="1" applyBorder="1" applyAlignment="1">
      <alignment horizontal="center" wrapText="1"/>
    </xf>
    <xf numFmtId="0" fontId="12" fillId="0" borderId="9" xfId="6" applyFont="1" applyBorder="1" applyAlignment="1">
      <alignment horizontal="center" vertical="center"/>
    </xf>
    <xf numFmtId="1" fontId="51" fillId="2" borderId="11" xfId="6" applyNumberFormat="1" applyFont="1" applyFill="1" applyBorder="1" applyAlignment="1">
      <alignment horizontal="center" vertical="center"/>
    </xf>
    <xf numFmtId="0" fontId="51" fillId="2" borderId="5" xfId="6" applyFont="1" applyFill="1" applyBorder="1" applyAlignment="1">
      <alignment horizontal="center" vertical="center"/>
    </xf>
    <xf numFmtId="0" fontId="51" fillId="2" borderId="12" xfId="6" applyFont="1" applyFill="1" applyBorder="1" applyAlignment="1">
      <alignment horizontal="center" vertical="center"/>
    </xf>
    <xf numFmtId="0" fontId="51" fillId="2" borderId="13" xfId="6" applyFont="1" applyFill="1" applyBorder="1" applyAlignment="1">
      <alignment horizontal="center" vertical="center"/>
    </xf>
    <xf numFmtId="0" fontId="12" fillId="0" borderId="0" xfId="6" applyFont="1" applyAlignment="1">
      <alignment horizontal="center"/>
    </xf>
    <xf numFmtId="0" fontId="9" fillId="0" borderId="0" xfId="4" applyFont="1"/>
    <xf numFmtId="0" fontId="50" fillId="2" borderId="17" xfId="6" applyFont="1" applyFill="1" applyBorder="1" applyAlignment="1">
      <alignment horizontal="center" vertical="center" wrapText="1"/>
    </xf>
    <xf numFmtId="0" fontId="14" fillId="0" borderId="0" xfId="6" applyFont="1" applyFill="1" applyAlignment="1">
      <alignment horizontal="center" vertical="center"/>
    </xf>
    <xf numFmtId="0" fontId="9" fillId="0" borderId="0" xfId="4" applyFont="1" applyAlignment="1"/>
    <xf numFmtId="0" fontId="16" fillId="0" borderId="0" xfId="4" applyFont="1" applyAlignment="1">
      <alignment vertical="center" wrapText="1"/>
    </xf>
    <xf numFmtId="0" fontId="16" fillId="0" borderId="0" xfId="4" applyFont="1" applyAlignment="1">
      <alignment wrapText="1"/>
    </xf>
    <xf numFmtId="0" fontId="13" fillId="0" borderId="0" xfId="4" applyFont="1" applyAlignment="1">
      <alignment vertical="center" wrapText="1"/>
    </xf>
    <xf numFmtId="0" fontId="18" fillId="0" borderId="0" xfId="1" applyFont="1" applyAlignment="1" applyProtection="1">
      <alignment wrapText="1"/>
    </xf>
    <xf numFmtId="0" fontId="8" fillId="0" borderId="0" xfId="4" applyAlignment="1">
      <alignment wrapText="1"/>
    </xf>
    <xf numFmtId="0" fontId="20" fillId="0" borderId="0" xfId="4" applyFont="1"/>
    <xf numFmtId="0" fontId="21" fillId="0" borderId="0" xfId="4" applyFont="1"/>
    <xf numFmtId="0" fontId="8" fillId="0" borderId="0" xfId="4" applyFill="1" applyBorder="1" applyAlignment="1">
      <alignment wrapText="1"/>
    </xf>
    <xf numFmtId="0" fontId="8" fillId="0" borderId="0" xfId="4" applyAlignment="1">
      <alignment horizontal="right"/>
    </xf>
    <xf numFmtId="0" fontId="22" fillId="3" borderId="19" xfId="4" applyNumberFormat="1" applyFont="1" applyFill="1" applyBorder="1" applyAlignment="1">
      <alignment vertical="center" wrapText="1"/>
    </xf>
    <xf numFmtId="0" fontId="22" fillId="3" borderId="20" xfId="4" applyNumberFormat="1" applyFont="1" applyFill="1" applyBorder="1" applyAlignment="1">
      <alignment vertical="center" wrapText="1"/>
    </xf>
    <xf numFmtId="0" fontId="22" fillId="3" borderId="21" xfId="4" applyFont="1" applyFill="1" applyBorder="1" applyAlignment="1">
      <alignment vertical="center"/>
    </xf>
    <xf numFmtId="0" fontId="22" fillId="3" borderId="22" xfId="4" applyFont="1" applyFill="1" applyBorder="1" applyAlignment="1">
      <alignment vertical="center"/>
    </xf>
    <xf numFmtId="0" fontId="11" fillId="3" borderId="23" xfId="4" applyNumberFormat="1" applyFont="1" applyFill="1" applyBorder="1" applyAlignment="1">
      <alignment horizontal="center" vertical="center" wrapText="1"/>
    </xf>
    <xf numFmtId="0" fontId="23" fillId="3" borderId="19" xfId="4" applyNumberFormat="1" applyFont="1" applyFill="1" applyBorder="1" applyAlignment="1">
      <alignment horizontal="center" vertical="center" wrapText="1"/>
    </xf>
    <xf numFmtId="0" fontId="23" fillId="3" borderId="20" xfId="4" applyNumberFormat="1" applyFont="1" applyFill="1" applyBorder="1" applyAlignment="1">
      <alignment horizontal="center" vertical="center" wrapText="1"/>
    </xf>
    <xf numFmtId="0" fontId="11" fillId="3" borderId="23" xfId="4" applyNumberFormat="1" applyFont="1" applyFill="1" applyBorder="1" applyAlignment="1">
      <alignment horizontal="right" vertical="center" wrapText="1"/>
    </xf>
    <xf numFmtId="0" fontId="26" fillId="0" borderId="0" xfId="4" applyFont="1"/>
    <xf numFmtId="0" fontId="8" fillId="0" borderId="10" xfId="4" applyFill="1" applyBorder="1"/>
    <xf numFmtId="1" fontId="8" fillId="0" borderId="10" xfId="4" applyNumberFormat="1" applyFill="1" applyBorder="1" applyAlignment="1">
      <alignment horizontal="center" wrapText="1"/>
    </xf>
    <xf numFmtId="1" fontId="26" fillId="0" borderId="28" xfId="4" applyNumberFormat="1" applyFont="1" applyFill="1" applyBorder="1" applyAlignment="1">
      <alignment horizontal="center" wrapText="1"/>
    </xf>
    <xf numFmtId="1" fontId="26" fillId="0" borderId="32" xfId="4" applyNumberFormat="1" applyFont="1" applyFill="1" applyBorder="1" applyAlignment="1">
      <alignment horizontal="center" wrapText="1"/>
    </xf>
    <xf numFmtId="1" fontId="26" fillId="0" borderId="36" xfId="4" applyNumberFormat="1" applyFont="1" applyFill="1" applyBorder="1" applyAlignment="1">
      <alignment horizontal="center" wrapText="1"/>
    </xf>
    <xf numFmtId="0" fontId="13" fillId="0" borderId="0" xfId="4" applyFont="1" applyFill="1" applyBorder="1"/>
    <xf numFmtId="0" fontId="8" fillId="0" borderId="0" xfId="4" applyFill="1" applyBorder="1"/>
    <xf numFmtId="0" fontId="26" fillId="3" borderId="36" xfId="4" applyFont="1" applyFill="1" applyBorder="1"/>
    <xf numFmtId="0" fontId="22" fillId="3" borderId="23" xfId="4" applyFont="1" applyFill="1" applyBorder="1" applyAlignment="1">
      <alignment vertical="center"/>
    </xf>
    <xf numFmtId="164" fontId="22" fillId="3" borderId="23" xfId="4" applyNumberFormat="1" applyFont="1" applyFill="1" applyBorder="1" applyAlignment="1">
      <alignment horizontal="center" vertical="center" wrapText="1"/>
    </xf>
    <xf numFmtId="164" fontId="11" fillId="3" borderId="23" xfId="4" applyNumberFormat="1" applyFont="1" applyFill="1" applyBorder="1" applyAlignment="1">
      <alignment horizontal="center" vertical="center" wrapText="1"/>
    </xf>
    <xf numFmtId="164" fontId="11" fillId="3" borderId="39" xfId="4" applyNumberFormat="1" applyFont="1" applyFill="1" applyBorder="1" applyAlignment="1">
      <alignment horizontal="center" vertical="center" wrapText="1"/>
    </xf>
    <xf numFmtId="0" fontId="11" fillId="3" borderId="37" xfId="4" applyFont="1" applyFill="1" applyBorder="1" applyAlignment="1">
      <alignment horizontal="right" vertical="center" wrapText="1"/>
    </xf>
    <xf numFmtId="0" fontId="11" fillId="3" borderId="23" xfId="4" applyFont="1" applyFill="1" applyBorder="1" applyAlignment="1">
      <alignment horizontal="right" vertical="center" wrapText="1"/>
    </xf>
    <xf numFmtId="0" fontId="11" fillId="3" borderId="38" xfId="4" applyFont="1" applyFill="1" applyBorder="1" applyAlignment="1">
      <alignment horizontal="right" vertical="center" wrapText="1"/>
    </xf>
    <xf numFmtId="0" fontId="8" fillId="0" borderId="10" xfId="4" applyBorder="1"/>
    <xf numFmtId="0" fontId="13" fillId="0" borderId="0" xfId="4" applyFont="1"/>
    <xf numFmtId="0" fontId="13" fillId="0" borderId="0" xfId="4" applyFont="1" applyFill="1" applyAlignment="1">
      <alignment vertical="center"/>
    </xf>
    <xf numFmtId="0" fontId="22" fillId="3" borderId="40" xfId="4" applyNumberFormat="1" applyFont="1" applyFill="1" applyBorder="1" applyAlignment="1">
      <alignment vertical="center" wrapText="1"/>
    </xf>
    <xf numFmtId="0" fontId="23" fillId="3" borderId="40" xfId="4" applyNumberFormat="1" applyFont="1" applyFill="1" applyBorder="1" applyAlignment="1">
      <alignment horizontal="center" vertical="center" wrapText="1"/>
    </xf>
    <xf numFmtId="0" fontId="11" fillId="3" borderId="38" xfId="4" applyNumberFormat="1" applyFont="1" applyFill="1" applyBorder="1" applyAlignment="1">
      <alignment horizontal="right" vertical="center" wrapText="1"/>
    </xf>
    <xf numFmtId="0" fontId="8" fillId="0" borderId="0" xfId="4" applyFill="1"/>
    <xf numFmtId="0" fontId="13" fillId="0" borderId="0" xfId="4" applyNumberFormat="1" applyFont="1"/>
    <xf numFmtId="1" fontId="8" fillId="0" borderId="0" xfId="4" applyNumberFormat="1" applyFill="1" applyBorder="1" applyAlignment="1">
      <alignment horizontal="center" wrapText="1"/>
    </xf>
    <xf numFmtId="1" fontId="26" fillId="0" borderId="0" xfId="4" applyNumberFormat="1" applyFont="1" applyFill="1" applyBorder="1" applyAlignment="1">
      <alignment horizontal="center" wrapText="1"/>
    </xf>
    <xf numFmtId="0" fontId="26" fillId="0" borderId="0" xfId="4" applyFont="1" applyFill="1" applyBorder="1" applyAlignment="1">
      <alignment horizontal="center" wrapText="1"/>
    </xf>
    <xf numFmtId="1" fontId="8" fillId="0" borderId="0" xfId="4" applyNumberFormat="1" applyFill="1" applyBorder="1" applyAlignment="1">
      <alignment wrapText="1"/>
    </xf>
    <xf numFmtId="0" fontId="9" fillId="0" borderId="0" xfId="4" applyFont="1" applyAlignment="1">
      <alignment wrapText="1"/>
    </xf>
    <xf numFmtId="0" fontId="13" fillId="0" borderId="0" xfId="4" applyFont="1" applyAlignment="1">
      <alignment horizontal="left" vertical="center" wrapText="1"/>
    </xf>
    <xf numFmtId="0" fontId="8" fillId="0" borderId="0" xfId="4" applyFill="1" applyAlignment="1">
      <alignment wrapText="1"/>
    </xf>
    <xf numFmtId="0" fontId="22" fillId="3" borderId="23" xfId="4" applyNumberFormat="1" applyFont="1" applyFill="1" applyBorder="1" applyAlignment="1">
      <alignment horizontal="center" vertical="center" wrapText="1"/>
    </xf>
    <xf numFmtId="0" fontId="18" fillId="0" borderId="0" xfId="1" applyFont="1" applyAlignment="1" applyProtection="1"/>
    <xf numFmtId="0" fontId="20" fillId="0" borderId="0" xfId="4" applyFont="1" applyFill="1" applyBorder="1"/>
    <xf numFmtId="0" fontId="13" fillId="0" borderId="46" xfId="4" applyFont="1" applyBorder="1" applyAlignment="1">
      <alignment horizontal="left" vertical="center" wrapText="1"/>
    </xf>
    <xf numFmtId="0" fontId="22" fillId="3" borderId="47" xfId="4" applyNumberFormat="1" applyFont="1" applyFill="1" applyBorder="1" applyAlignment="1">
      <alignment vertical="center" wrapText="1"/>
    </xf>
    <xf numFmtId="0" fontId="22" fillId="3" borderId="36" xfId="4" applyFont="1" applyFill="1" applyBorder="1" applyAlignment="1">
      <alignment vertical="center"/>
    </xf>
    <xf numFmtId="0" fontId="11" fillId="3" borderId="39" xfId="4" applyNumberFormat="1" applyFont="1" applyFill="1" applyBorder="1" applyAlignment="1">
      <alignment horizontal="center" vertical="center" wrapText="1"/>
    </xf>
    <xf numFmtId="0" fontId="23" fillId="3" borderId="46" xfId="4" applyNumberFormat="1" applyFont="1" applyFill="1" applyBorder="1" applyAlignment="1">
      <alignment horizontal="center" vertical="center"/>
    </xf>
    <xf numFmtId="0" fontId="11" fillId="3" borderId="37" xfId="4" applyNumberFormat="1" applyFont="1" applyFill="1" applyBorder="1" applyAlignment="1">
      <alignment horizontal="right" vertical="center" wrapText="1"/>
    </xf>
    <xf numFmtId="1" fontId="26" fillId="0" borderId="30" xfId="4" applyNumberFormat="1" applyFont="1" applyFill="1" applyBorder="1" applyAlignment="1">
      <alignment horizontal="center" wrapText="1"/>
    </xf>
    <xf numFmtId="1" fontId="26" fillId="0" borderId="34" xfId="4" applyNumberFormat="1" applyFont="1" applyFill="1" applyBorder="1" applyAlignment="1">
      <alignment horizontal="center" wrapText="1"/>
    </xf>
    <xf numFmtId="1" fontId="26" fillId="0" borderId="50" xfId="4" applyNumberFormat="1" applyFont="1" applyFill="1" applyBorder="1" applyAlignment="1">
      <alignment horizontal="center" wrapText="1"/>
    </xf>
    <xf numFmtId="1" fontId="26" fillId="0" borderId="51" xfId="4" applyNumberFormat="1" applyFont="1" applyFill="1" applyBorder="1" applyAlignment="1">
      <alignment horizontal="center" wrapText="1"/>
    </xf>
    <xf numFmtId="1" fontId="26" fillId="0" borderId="23" xfId="4" applyNumberFormat="1" applyFont="1" applyFill="1" applyBorder="1" applyAlignment="1">
      <alignment horizontal="center" wrapText="1"/>
    </xf>
    <xf numFmtId="0" fontId="22" fillId="3" borderId="36" xfId="4" applyFont="1" applyFill="1" applyBorder="1"/>
    <xf numFmtId="0" fontId="11" fillId="3" borderId="23" xfId="4" applyFont="1" applyFill="1" applyBorder="1" applyAlignment="1">
      <alignment horizontal="center" vertical="center" wrapText="1"/>
    </xf>
    <xf numFmtId="0" fontId="8" fillId="0" borderId="10" xfId="4" applyBorder="1" applyAlignment="1">
      <alignment horizontal="center" wrapText="1"/>
    </xf>
    <xf numFmtId="0" fontId="18" fillId="0" borderId="0" xfId="1" applyFont="1" applyAlignment="1" applyProtection="1">
      <alignment vertical="center" wrapText="1"/>
    </xf>
    <xf numFmtId="0" fontId="26" fillId="0" borderId="0" xfId="4" applyFont="1" applyAlignment="1">
      <alignment wrapText="1"/>
    </xf>
    <xf numFmtId="0" fontId="26" fillId="0" borderId="53" xfId="4" applyFont="1" applyBorder="1" applyAlignment="1">
      <alignment wrapText="1"/>
    </xf>
    <xf numFmtId="0" fontId="13" fillId="0" borderId="0" xfId="4" applyFont="1" applyAlignment="1">
      <alignment vertical="center"/>
    </xf>
    <xf numFmtId="0" fontId="52" fillId="3" borderId="51" xfId="4" applyFont="1" applyFill="1" applyBorder="1" applyAlignment="1">
      <alignment horizontal="center" vertical="center" wrapText="1"/>
    </xf>
    <xf numFmtId="0" fontId="8" fillId="0" borderId="54" xfId="4" applyBorder="1" applyAlignment="1">
      <alignment wrapText="1"/>
    </xf>
    <xf numFmtId="0" fontId="22" fillId="3" borderId="45" xfId="4" applyFont="1" applyFill="1" applyBorder="1" applyAlignment="1">
      <alignment horizontal="center" vertical="center" wrapText="1"/>
    </xf>
    <xf numFmtId="0" fontId="8" fillId="0" borderId="10" xfId="4" applyBorder="1" applyAlignment="1">
      <alignment vertical="center"/>
    </xf>
    <xf numFmtId="0" fontId="8" fillId="0" borderId="20" xfId="4" applyBorder="1" applyAlignment="1">
      <alignment vertical="center"/>
    </xf>
    <xf numFmtId="0" fontId="9" fillId="0" borderId="0" xfId="7" applyFont="1" applyAlignment="1">
      <alignment horizontal="left" vertical="center" wrapText="1" indent="1"/>
    </xf>
    <xf numFmtId="0" fontId="19" fillId="0" borderId="0" xfId="7" applyFont="1" applyAlignment="1">
      <alignment vertical="center" wrapText="1"/>
    </xf>
    <xf numFmtId="0" fontId="19" fillId="0" borderId="0" xfId="4" applyFont="1" applyAlignment="1">
      <alignment horizontal="left" vertical="center" indent="1"/>
    </xf>
    <xf numFmtId="0" fontId="9" fillId="0" borderId="0" xfId="4" applyFont="1" applyAlignment="1">
      <alignment horizontal="left"/>
    </xf>
    <xf numFmtId="0" fontId="8" fillId="0" borderId="0" xfId="4" applyAlignment="1"/>
    <xf numFmtId="0" fontId="33" fillId="0" borderId="0" xfId="4" applyFont="1" applyAlignment="1">
      <alignment horizontal="center"/>
    </xf>
    <xf numFmtId="0" fontId="33" fillId="0" borderId="0" xfId="4" applyFont="1" applyAlignment="1"/>
    <xf numFmtId="0" fontId="22" fillId="3" borderId="26" xfId="4" applyNumberFormat="1" applyFont="1" applyFill="1" applyBorder="1" applyAlignment="1">
      <alignment vertical="center"/>
    </xf>
    <xf numFmtId="0" fontId="23" fillId="3" borderId="23" xfId="4" applyNumberFormat="1" applyFont="1" applyFill="1" applyBorder="1" applyAlignment="1">
      <alignment horizontal="center" vertical="center"/>
    </xf>
    <xf numFmtId="0" fontId="22" fillId="3" borderId="23" xfId="4" applyFont="1" applyFill="1" applyBorder="1" applyAlignment="1">
      <alignment horizontal="center" vertical="center" wrapText="1"/>
    </xf>
    <xf numFmtId="0" fontId="8" fillId="0" borderId="55" xfId="4" applyFill="1" applyBorder="1"/>
    <xf numFmtId="1" fontId="8" fillId="0" borderId="0" xfId="4" applyNumberFormat="1"/>
    <xf numFmtId="0" fontId="8" fillId="0" borderId="0" xfId="4" applyAlignment="1">
      <alignment vertical="center"/>
    </xf>
    <xf numFmtId="0" fontId="9" fillId="0" borderId="0" xfId="4" applyFont="1" applyAlignment="1">
      <alignment vertical="center"/>
    </xf>
    <xf numFmtId="0" fontId="20" fillId="0" borderId="0" xfId="4" applyFont="1" applyAlignment="1">
      <alignment vertical="center" wrapText="1"/>
    </xf>
    <xf numFmtId="0" fontId="22" fillId="3" borderId="56" xfId="4" applyFont="1" applyFill="1" applyBorder="1" applyAlignment="1">
      <alignment vertical="center" wrapText="1"/>
    </xf>
    <xf numFmtId="0" fontId="22" fillId="3" borderId="57" xfId="4" applyFont="1" applyFill="1" applyBorder="1" applyAlignment="1">
      <alignment horizontal="center" vertical="center" wrapText="1"/>
    </xf>
    <xf numFmtId="0" fontId="22" fillId="3" borderId="58" xfId="4" applyFont="1" applyFill="1" applyBorder="1" applyAlignment="1">
      <alignment horizontal="center" vertical="center" wrapText="1"/>
    </xf>
    <xf numFmtId="0" fontId="26" fillId="0" borderId="0" xfId="4" applyFont="1" applyFill="1" applyAlignment="1">
      <alignment vertical="center"/>
    </xf>
    <xf numFmtId="0" fontId="8" fillId="0" borderId="0" xfId="4" applyFill="1" applyAlignment="1">
      <alignment vertical="center"/>
    </xf>
    <xf numFmtId="0" fontId="34" fillId="0" borderId="0" xfId="4" applyFont="1" applyFill="1" applyAlignment="1">
      <alignment vertical="center"/>
    </xf>
    <xf numFmtId="165" fontId="8" fillId="0" borderId="0" xfId="4" applyNumberFormat="1" applyFill="1" applyAlignment="1">
      <alignment vertical="center"/>
    </xf>
    <xf numFmtId="1" fontId="8" fillId="0" borderId="0" xfId="4" applyNumberFormat="1" applyFill="1" applyAlignment="1">
      <alignment vertical="center"/>
    </xf>
    <xf numFmtId="0" fontId="26" fillId="0" borderId="0" xfId="4" applyFont="1" applyAlignment="1">
      <alignment vertical="center"/>
    </xf>
    <xf numFmtId="165" fontId="8" fillId="0" borderId="0" xfId="4" applyNumberFormat="1" applyAlignment="1">
      <alignment vertical="center"/>
    </xf>
    <xf numFmtId="1" fontId="8" fillId="0" borderId="0" xfId="4" applyNumberFormat="1" applyAlignment="1">
      <alignment vertical="center"/>
    </xf>
    <xf numFmtId="0" fontId="20" fillId="0" borderId="0" xfId="4" applyFont="1" applyAlignment="1">
      <alignment vertical="center"/>
    </xf>
    <xf numFmtId="0" fontId="19" fillId="0" borderId="10" xfId="4" applyFont="1" applyBorder="1" applyAlignment="1">
      <alignment horizontal="center" vertical="center"/>
    </xf>
    <xf numFmtId="0" fontId="9" fillId="0" borderId="0" xfId="4" applyFont="1" applyAlignment="1">
      <alignment horizontal="center"/>
    </xf>
    <xf numFmtId="0" fontId="26" fillId="0" borderId="0" xfId="4" applyFont="1" applyAlignment="1">
      <alignment horizontal="center"/>
    </xf>
    <xf numFmtId="0" fontId="9" fillId="0" borderId="60" xfId="4" applyFont="1" applyBorder="1" applyAlignment="1">
      <alignment vertical="center" wrapText="1"/>
    </xf>
    <xf numFmtId="0" fontId="9" fillId="0" borderId="61" xfId="4" applyFont="1" applyBorder="1" applyAlignment="1">
      <alignment horizontal="center" vertical="center"/>
    </xf>
    <xf numFmtId="0" fontId="9" fillId="0" borderId="62" xfId="4" applyFont="1" applyBorder="1" applyAlignment="1">
      <alignment horizontal="center" vertical="center"/>
    </xf>
    <xf numFmtId="0" fontId="9" fillId="0" borderId="63" xfId="4" applyFont="1" applyBorder="1" applyAlignment="1">
      <alignment vertical="center" wrapText="1"/>
    </xf>
    <xf numFmtId="0" fontId="9" fillId="0" borderId="64" xfId="4" applyFont="1" applyBorder="1" applyAlignment="1">
      <alignment horizontal="center" vertical="center"/>
    </xf>
    <xf numFmtId="0" fontId="9" fillId="0" borderId="65" xfId="4" applyFont="1" applyBorder="1" applyAlignment="1">
      <alignment horizontal="center" vertical="center"/>
    </xf>
    <xf numFmtId="0" fontId="19" fillId="0" borderId="66" xfId="4" applyFont="1" applyBorder="1" applyAlignment="1">
      <alignment vertical="center" wrapText="1"/>
    </xf>
    <xf numFmtId="0" fontId="19" fillId="0" borderId="67" xfId="4" applyFont="1" applyBorder="1" applyAlignment="1">
      <alignment horizontal="center" vertical="center"/>
    </xf>
    <xf numFmtId="0" fontId="19" fillId="0" borderId="69" xfId="4" applyFont="1" applyBorder="1" applyAlignment="1">
      <alignment horizontal="center" vertical="center"/>
    </xf>
    <xf numFmtId="0" fontId="19" fillId="0" borderId="70" xfId="4" applyFont="1" applyBorder="1" applyAlignment="1">
      <alignment vertical="center" wrapText="1"/>
    </xf>
    <xf numFmtId="0" fontId="19" fillId="0" borderId="71" xfId="4" applyFont="1" applyBorder="1" applyAlignment="1">
      <alignment horizontal="center" vertical="center"/>
    </xf>
    <xf numFmtId="0" fontId="19" fillId="0" borderId="72" xfId="4" applyFont="1" applyBorder="1" applyAlignment="1">
      <alignment horizontal="center" vertical="center"/>
    </xf>
    <xf numFmtId="0" fontId="19" fillId="0" borderId="73" xfId="4" applyFont="1" applyBorder="1" applyAlignment="1">
      <alignment vertical="center" wrapText="1"/>
    </xf>
    <xf numFmtId="0" fontId="19" fillId="0" borderId="74" xfId="4" applyFont="1" applyBorder="1" applyAlignment="1">
      <alignment horizontal="center" vertical="center"/>
    </xf>
    <xf numFmtId="0" fontId="19" fillId="0" borderId="75" xfId="4" applyFont="1" applyBorder="1" applyAlignment="1">
      <alignment horizontal="center" vertical="center"/>
    </xf>
    <xf numFmtId="0" fontId="19" fillId="0" borderId="66" xfId="4" applyFont="1" applyFill="1" applyBorder="1" applyAlignment="1">
      <alignment vertical="center" wrapText="1"/>
    </xf>
    <xf numFmtId="0" fontId="19" fillId="0" borderId="76" xfId="4" applyFont="1" applyBorder="1" applyAlignment="1">
      <alignment vertical="center" wrapText="1"/>
    </xf>
    <xf numFmtId="0" fontId="19" fillId="0" borderId="77" xfId="4" applyFont="1" applyBorder="1" applyAlignment="1">
      <alignment horizontal="center" vertical="center"/>
    </xf>
    <xf numFmtId="0" fontId="19" fillId="0" borderId="59" xfId="4" applyFont="1" applyBorder="1" applyAlignment="1">
      <alignment horizontal="center" vertical="center"/>
    </xf>
    <xf numFmtId="0" fontId="19" fillId="0" borderId="78" xfId="4" applyFont="1" applyBorder="1" applyAlignment="1">
      <alignment vertical="center" wrapText="1"/>
    </xf>
    <xf numFmtId="0" fontId="19" fillId="0" borderId="79" xfId="4" applyFont="1" applyBorder="1" applyAlignment="1">
      <alignment horizontal="center" vertical="center"/>
    </xf>
    <xf numFmtId="0" fontId="9" fillId="0" borderId="80" xfId="4" applyFont="1" applyBorder="1" applyAlignment="1">
      <alignment vertical="center" wrapText="1"/>
    </xf>
    <xf numFmtId="0" fontId="9" fillId="0" borderId="81" xfId="4" applyFont="1" applyBorder="1" applyAlignment="1">
      <alignment horizontal="center" vertical="center"/>
    </xf>
    <xf numFmtId="0" fontId="9" fillId="0" borderId="82" xfId="4" applyFont="1" applyBorder="1" applyAlignment="1">
      <alignment horizontal="center" vertical="center"/>
    </xf>
    <xf numFmtId="0" fontId="19" fillId="0" borderId="77" xfId="4" applyFont="1" applyFill="1" applyBorder="1" applyAlignment="1">
      <alignment horizontal="center" vertical="center"/>
    </xf>
    <xf numFmtId="0" fontId="19" fillId="0" borderId="59" xfId="4" applyFont="1" applyFill="1" applyBorder="1" applyAlignment="1">
      <alignment horizontal="center" vertical="center"/>
    </xf>
    <xf numFmtId="0" fontId="9" fillId="0" borderId="64" xfId="4" applyFont="1" applyFill="1" applyBorder="1" applyAlignment="1">
      <alignment horizontal="center" vertical="center"/>
    </xf>
    <xf numFmtId="0" fontId="9" fillId="0" borderId="65" xfId="4" applyFont="1" applyFill="1" applyBorder="1" applyAlignment="1">
      <alignment horizontal="center" vertical="center"/>
    </xf>
    <xf numFmtId="0" fontId="13" fillId="0" borderId="83" xfId="4" applyFont="1" applyFill="1" applyBorder="1" applyAlignment="1">
      <alignment vertical="center"/>
    </xf>
    <xf numFmtId="0" fontId="31" fillId="0" borderId="0" xfId="4" applyFont="1" applyAlignment="1"/>
    <xf numFmtId="0" fontId="22" fillId="3" borderId="84" xfId="4" applyFont="1" applyFill="1" applyBorder="1" applyAlignment="1">
      <alignment horizontal="center" vertical="center" wrapText="1"/>
    </xf>
    <xf numFmtId="0" fontId="9" fillId="0" borderId="10" xfId="4" applyFont="1" applyBorder="1" applyAlignment="1">
      <alignment vertical="center" wrapText="1"/>
    </xf>
    <xf numFmtId="0" fontId="9" fillId="0" borderId="10" xfId="4" applyFont="1" applyBorder="1" applyAlignment="1">
      <alignment horizontal="center" vertical="center"/>
    </xf>
    <xf numFmtId="166" fontId="9" fillId="0" borderId="10" xfId="4" applyNumberFormat="1" applyFont="1" applyBorder="1" applyAlignment="1">
      <alignment horizontal="center" vertical="center"/>
    </xf>
    <xf numFmtId="166" fontId="9" fillId="0" borderId="55" xfId="4" applyNumberFormat="1" applyFont="1" applyBorder="1" applyAlignment="1">
      <alignment horizontal="right" vertical="center"/>
    </xf>
    <xf numFmtId="166" fontId="9" fillId="0" borderId="40" xfId="4" quotePrefix="1" applyNumberFormat="1" applyFont="1" applyBorder="1" applyAlignment="1">
      <alignment horizontal="center" vertical="center"/>
    </xf>
    <xf numFmtId="166" fontId="9" fillId="0" borderId="20" xfId="4" applyNumberFormat="1" applyFont="1" applyBorder="1" applyAlignment="1">
      <alignment horizontal="left" vertical="center"/>
    </xf>
    <xf numFmtId="166" fontId="8" fillId="0" borderId="0" xfId="4" applyNumberFormat="1"/>
    <xf numFmtId="0" fontId="35" fillId="0" borderId="0" xfId="4" applyFont="1"/>
    <xf numFmtId="0" fontId="19" fillId="0" borderId="10" xfId="4" applyFont="1" applyBorder="1" applyAlignment="1">
      <alignment vertical="center" wrapText="1"/>
    </xf>
    <xf numFmtId="166" fontId="19" fillId="0" borderId="10" xfId="4" applyNumberFormat="1" applyFont="1" applyBorder="1" applyAlignment="1">
      <alignment horizontal="center" vertical="center"/>
    </xf>
    <xf numFmtId="166" fontId="19" fillId="0" borderId="55" xfId="4" applyNumberFormat="1" applyFont="1" applyBorder="1" applyAlignment="1">
      <alignment horizontal="right" vertical="center"/>
    </xf>
    <xf numFmtId="166" fontId="19" fillId="0" borderId="40" xfId="4" applyNumberFormat="1" applyFont="1" applyBorder="1" applyAlignment="1">
      <alignment horizontal="center" vertical="center"/>
    </xf>
    <xf numFmtId="166" fontId="19" fillId="0" borderId="20" xfId="4" applyNumberFormat="1" applyFont="1" applyBorder="1" applyAlignment="1">
      <alignment horizontal="left" vertical="center"/>
    </xf>
    <xf numFmtId="167" fontId="19" fillId="0" borderId="10" xfId="4" quotePrefix="1" applyNumberFormat="1" applyFont="1" applyBorder="1" applyAlignment="1">
      <alignment horizontal="center" vertical="center"/>
    </xf>
    <xf numFmtId="166" fontId="19" fillId="0" borderId="10" xfId="4" quotePrefix="1" applyNumberFormat="1" applyFont="1" applyBorder="1" applyAlignment="1">
      <alignment horizontal="center" vertical="center"/>
    </xf>
    <xf numFmtId="0" fontId="19" fillId="0" borderId="0" xfId="4" applyFont="1" applyBorder="1" applyAlignment="1">
      <alignment vertical="center" wrapText="1"/>
    </xf>
    <xf numFmtId="0" fontId="19" fillId="0" borderId="0" xfId="4" applyFont="1" applyBorder="1" applyAlignment="1">
      <alignment horizontal="center" vertical="center"/>
    </xf>
    <xf numFmtId="167" fontId="19" fillId="0" borderId="0" xfId="4" quotePrefix="1" applyNumberFormat="1" applyFont="1" applyBorder="1" applyAlignment="1">
      <alignment horizontal="center" vertical="center"/>
    </xf>
    <xf numFmtId="166" fontId="19" fillId="0" borderId="0" xfId="4" quotePrefix="1" applyNumberFormat="1" applyFont="1" applyBorder="1" applyAlignment="1">
      <alignment horizontal="center" vertical="center"/>
    </xf>
    <xf numFmtId="166" fontId="19" fillId="0" borderId="0" xfId="4" applyNumberFormat="1" applyFont="1" applyBorder="1" applyAlignment="1">
      <alignment horizontal="center" vertical="center"/>
    </xf>
    <xf numFmtId="0" fontId="20" fillId="0" borderId="0" xfId="4" applyFont="1" applyBorder="1" applyAlignment="1">
      <alignment vertical="center" wrapText="1"/>
    </xf>
    <xf numFmtId="0" fontId="13" fillId="0" borderId="0" xfId="4" applyFont="1" applyBorder="1" applyAlignment="1">
      <alignment horizontal="center" vertical="center"/>
    </xf>
    <xf numFmtId="167" fontId="13" fillId="0" borderId="0" xfId="4" quotePrefix="1" applyNumberFormat="1" applyFont="1" applyBorder="1" applyAlignment="1">
      <alignment horizontal="center" vertical="center"/>
    </xf>
    <xf numFmtId="166" fontId="13" fillId="0" borderId="0" xfId="4" quotePrefix="1" applyNumberFormat="1" applyFont="1" applyBorder="1" applyAlignment="1">
      <alignment horizontal="center" vertical="center"/>
    </xf>
    <xf numFmtId="166" fontId="13" fillId="0" borderId="0" xfId="4" applyNumberFormat="1" applyFont="1" applyBorder="1" applyAlignment="1">
      <alignment horizontal="center" vertical="center"/>
    </xf>
    <xf numFmtId="0" fontId="13" fillId="0" borderId="0" xfId="4" applyFont="1" applyAlignment="1"/>
    <xf numFmtId="0" fontId="13" fillId="0" borderId="0" xfId="4" applyFont="1" applyFill="1" applyAlignment="1"/>
    <xf numFmtId="0" fontId="31" fillId="0" borderId="0" xfId="4" applyFont="1"/>
    <xf numFmtId="0" fontId="39" fillId="0" borderId="10" xfId="4" applyFont="1" applyBorder="1" applyAlignment="1">
      <alignment horizontal="center" vertical="center" wrapText="1"/>
    </xf>
    <xf numFmtId="1" fontId="39" fillId="0" borderId="10" xfId="4" applyNumberFormat="1" applyFont="1" applyBorder="1" applyAlignment="1">
      <alignment horizontal="center" vertical="center" wrapText="1"/>
    </xf>
    <xf numFmtId="0" fontId="13" fillId="0" borderId="47" xfId="4" applyFont="1" applyBorder="1" applyAlignment="1">
      <alignment wrapText="1"/>
    </xf>
    <xf numFmtId="0" fontId="13" fillId="0" borderId="0" xfId="4" applyFont="1" applyAlignment="1">
      <alignment wrapText="1"/>
    </xf>
    <xf numFmtId="0" fontId="13" fillId="0" borderId="47" xfId="4" applyFont="1" applyBorder="1" applyAlignment="1"/>
    <xf numFmtId="0" fontId="20" fillId="0" borderId="0" xfId="4" applyFont="1" applyBorder="1" applyAlignment="1"/>
    <xf numFmtId="0" fontId="0" fillId="4" borderId="0" xfId="0" applyFill="1"/>
    <xf numFmtId="0" fontId="0" fillId="5" borderId="0" xfId="0" applyFill="1"/>
    <xf numFmtId="0" fontId="0" fillId="6" borderId="0" xfId="0" applyFill="1"/>
    <xf numFmtId="0" fontId="9" fillId="0" borderId="76" xfId="4" applyFont="1" applyBorder="1" applyAlignment="1">
      <alignment vertical="center"/>
    </xf>
    <xf numFmtId="0" fontId="9" fillId="0" borderId="0" xfId="4" applyFont="1" applyBorder="1" applyAlignment="1">
      <alignment vertical="center"/>
    </xf>
    <xf numFmtId="165" fontId="9" fillId="0" borderId="0" xfId="4" applyNumberFormat="1" applyFont="1" applyBorder="1" applyAlignment="1">
      <alignment horizontal="center" vertical="center"/>
    </xf>
    <xf numFmtId="0" fontId="20" fillId="0" borderId="0" xfId="0" applyFont="1"/>
    <xf numFmtId="0" fontId="0" fillId="0" borderId="0" xfId="0" applyFill="1"/>
    <xf numFmtId="0" fontId="0" fillId="0" borderId="0" xfId="0" applyFill="1" applyAlignment="1">
      <alignment wrapText="1"/>
    </xf>
    <xf numFmtId="0" fontId="13" fillId="0" borderId="0" xfId="0" applyFont="1"/>
    <xf numFmtId="0" fontId="41" fillId="0" borderId="0" xfId="7" applyFont="1"/>
    <xf numFmtId="0" fontId="12" fillId="0" borderId="0" xfId="7" applyFont="1"/>
    <xf numFmtId="0" fontId="8" fillId="0" borderId="0" xfId="4" applyFont="1"/>
    <xf numFmtId="0" fontId="9" fillId="0" borderId="0" xfId="5" applyFont="1" applyAlignment="1"/>
    <xf numFmtId="0" fontId="42" fillId="0" borderId="0" xfId="5"/>
    <xf numFmtId="0" fontId="43" fillId="0" borderId="0" xfId="1" applyFont="1" applyAlignment="1" applyProtection="1">
      <alignment horizontal="left"/>
    </xf>
    <xf numFmtId="0" fontId="44" fillId="0" borderId="0" xfId="5" applyFont="1"/>
    <xf numFmtId="0" fontId="20" fillId="0" borderId="0" xfId="5" applyFont="1"/>
    <xf numFmtId="0" fontId="21" fillId="0" borderId="0" xfId="5" applyFont="1"/>
    <xf numFmtId="0" fontId="42" fillId="0" borderId="0" xfId="5" applyFill="1" applyBorder="1" applyAlignment="1">
      <alignment wrapText="1"/>
    </xf>
    <xf numFmtId="0" fontId="42" fillId="0" borderId="0" xfId="5" applyAlignment="1">
      <alignment horizontal="right"/>
    </xf>
    <xf numFmtId="0" fontId="45" fillId="3" borderId="85" xfId="5" applyNumberFormat="1" applyFont="1" applyFill="1" applyBorder="1" applyAlignment="1">
      <alignment vertical="center" wrapText="1"/>
    </xf>
    <xf numFmtId="0" fontId="45" fillId="3" borderId="20" xfId="5" applyNumberFormat="1" applyFont="1" applyFill="1" applyBorder="1" applyAlignment="1">
      <alignment vertical="center" wrapText="1"/>
    </xf>
    <xf numFmtId="0" fontId="45" fillId="3" borderId="36" xfId="5" applyFont="1" applyFill="1" applyBorder="1" applyAlignment="1">
      <alignment vertical="center"/>
    </xf>
    <xf numFmtId="0" fontId="45" fillId="3" borderId="23" xfId="5" applyFont="1" applyFill="1" applyBorder="1" applyAlignment="1">
      <alignment vertical="center"/>
    </xf>
    <xf numFmtId="0" fontId="47" fillId="3" borderId="23" xfId="5" applyNumberFormat="1" applyFont="1" applyFill="1" applyBorder="1" applyAlignment="1">
      <alignment horizontal="center" vertical="center" wrapText="1"/>
    </xf>
    <xf numFmtId="0" fontId="46" fillId="3" borderId="53" xfId="5" applyNumberFormat="1" applyFont="1" applyFill="1" applyBorder="1" applyAlignment="1">
      <alignment horizontal="center" vertical="center" wrapText="1"/>
    </xf>
    <xf numFmtId="0" fontId="46" fillId="3" borderId="67" xfId="5" applyNumberFormat="1" applyFont="1" applyFill="1" applyBorder="1" applyAlignment="1">
      <alignment horizontal="center" vertical="center" wrapText="1"/>
    </xf>
    <xf numFmtId="0" fontId="47" fillId="3" borderId="23" xfId="5" applyNumberFormat="1" applyFont="1" applyFill="1" applyBorder="1" applyAlignment="1">
      <alignment horizontal="right" vertical="center" wrapText="1"/>
    </xf>
    <xf numFmtId="0" fontId="42" fillId="0" borderId="0" xfId="5" applyFont="1" applyBorder="1" applyAlignment="1">
      <alignment horizontal="center" vertical="center" wrapText="1"/>
    </xf>
    <xf numFmtId="0" fontId="42" fillId="0" borderId="0" xfId="5" applyAlignment="1">
      <alignment horizontal="center" vertical="center" wrapText="1"/>
    </xf>
    <xf numFmtId="0" fontId="42" fillId="0" borderId="10" xfId="5" applyFill="1" applyBorder="1"/>
    <xf numFmtId="1" fontId="42" fillId="0" borderId="10" xfId="5" applyNumberFormat="1" applyFill="1" applyBorder="1" applyAlignment="1">
      <alignment horizontal="center" wrapText="1"/>
    </xf>
    <xf numFmtId="1" fontId="48" fillId="0" borderId="24" xfId="5" applyNumberFormat="1" applyFont="1" applyFill="1" applyBorder="1" applyAlignment="1">
      <alignment horizontal="center" wrapText="1"/>
    </xf>
    <xf numFmtId="1" fontId="48" fillId="0" borderId="86" xfId="5" applyNumberFormat="1" applyFont="1" applyFill="1" applyBorder="1" applyAlignment="1">
      <alignment horizontal="center" wrapText="1"/>
    </xf>
    <xf numFmtId="1" fontId="48" fillId="0" borderId="32" xfId="5" applyNumberFormat="1" applyFont="1" applyFill="1" applyBorder="1" applyAlignment="1">
      <alignment horizontal="center" wrapText="1"/>
    </xf>
    <xf numFmtId="1" fontId="48" fillId="0" borderId="49" xfId="5" applyNumberFormat="1" applyFont="1" applyFill="1" applyBorder="1" applyAlignment="1">
      <alignment horizontal="center" wrapText="1"/>
    </xf>
    <xf numFmtId="0" fontId="42" fillId="0" borderId="0" xfId="5" applyFont="1" applyBorder="1" applyAlignment="1">
      <alignment horizontal="center"/>
    </xf>
    <xf numFmtId="1" fontId="48" fillId="0" borderId="36" xfId="5" applyNumberFormat="1" applyFont="1" applyFill="1" applyBorder="1" applyAlignment="1">
      <alignment horizontal="center" wrapText="1"/>
    </xf>
    <xf numFmtId="1" fontId="48" fillId="0" borderId="39" xfId="5" applyNumberFormat="1" applyFont="1" applyFill="1" applyBorder="1" applyAlignment="1">
      <alignment horizontal="center" wrapText="1"/>
    </xf>
    <xf numFmtId="0" fontId="42" fillId="0" borderId="0" xfId="5" applyFill="1" applyBorder="1"/>
    <xf numFmtId="0" fontId="48" fillId="3" borderId="36" xfId="5" applyFont="1" applyFill="1" applyBorder="1"/>
    <xf numFmtId="0" fontId="22" fillId="3" borderId="23" xfId="5" applyFont="1" applyFill="1" applyBorder="1" applyAlignment="1">
      <alignment vertical="center"/>
    </xf>
    <xf numFmtId="164" fontId="22" fillId="3" borderId="23" xfId="5" applyNumberFormat="1" applyFont="1" applyFill="1" applyBorder="1" applyAlignment="1">
      <alignment horizontal="center" vertical="center" wrapText="1"/>
    </xf>
    <xf numFmtId="164" fontId="11" fillId="3" borderId="23" xfId="5" applyNumberFormat="1" applyFont="1" applyFill="1" applyBorder="1" applyAlignment="1">
      <alignment horizontal="center" vertical="center" wrapText="1"/>
    </xf>
    <xf numFmtId="164" fontId="11" fillId="3" borderId="39" xfId="5" applyNumberFormat="1" applyFont="1" applyFill="1" applyBorder="1" applyAlignment="1">
      <alignment horizontal="center" vertical="center" wrapText="1"/>
    </xf>
    <xf numFmtId="0" fontId="11" fillId="3" borderId="37" xfId="5" applyFont="1" applyFill="1" applyBorder="1" applyAlignment="1">
      <alignment horizontal="right" vertical="center" wrapText="1"/>
    </xf>
    <xf numFmtId="0" fontId="11" fillId="3" borderId="23" xfId="5" applyFont="1" applyFill="1" applyBorder="1" applyAlignment="1">
      <alignment horizontal="right" vertical="center" wrapText="1"/>
    </xf>
    <xf numFmtId="0" fontId="11" fillId="3" borderId="38" xfId="5" applyFont="1" applyFill="1" applyBorder="1" applyAlignment="1">
      <alignment horizontal="right" vertical="center" wrapText="1"/>
    </xf>
    <xf numFmtId="0" fontId="42" fillId="0" borderId="87" xfId="5" applyFont="1" applyBorder="1" applyAlignment="1">
      <alignment horizontal="center" vertical="center" wrapText="1"/>
    </xf>
    <xf numFmtId="0" fontId="42" fillId="0" borderId="10" xfId="5" applyBorder="1"/>
    <xf numFmtId="0" fontId="42" fillId="0" borderId="10" xfId="5" applyFill="1" applyBorder="1" applyAlignment="1">
      <alignment horizontal="center" wrapText="1"/>
    </xf>
    <xf numFmtId="0" fontId="42" fillId="0" borderId="87" xfId="5" applyFont="1" applyBorder="1" applyAlignment="1">
      <alignment horizontal="center"/>
    </xf>
    <xf numFmtId="0" fontId="42" fillId="0" borderId="87" xfId="5" applyFont="1" applyBorder="1"/>
    <xf numFmtId="0" fontId="42" fillId="0" borderId="0" xfId="5" applyFont="1" applyBorder="1"/>
    <xf numFmtId="0" fontId="13" fillId="0" borderId="0" xfId="5" applyFont="1" applyFill="1" applyAlignment="1">
      <alignment vertical="center"/>
    </xf>
    <xf numFmtId="0" fontId="8" fillId="0" borderId="0" xfId="4" applyAlignment="1">
      <alignment horizontal="left" wrapText="1"/>
    </xf>
    <xf numFmtId="166" fontId="51" fillId="2" borderId="5" xfId="6" applyNumberFormat="1" applyFont="1" applyFill="1" applyBorder="1" applyAlignment="1">
      <alignment horizontal="center" vertical="center"/>
    </xf>
    <xf numFmtId="168" fontId="55" fillId="0" borderId="5" xfId="6" applyNumberFormat="1" applyFont="1" applyFill="1" applyBorder="1" applyAlignment="1">
      <alignment horizontal="center" vertical="center"/>
    </xf>
    <xf numFmtId="0" fontId="56" fillId="0" borderId="0" xfId="4" applyFont="1" applyBorder="1" applyAlignment="1">
      <alignment horizontal="center" vertical="center" wrapText="1"/>
    </xf>
    <xf numFmtId="0" fontId="56" fillId="0" borderId="87" xfId="4" applyFont="1" applyBorder="1" applyAlignment="1">
      <alignment horizontal="center" vertical="center" wrapText="1"/>
    </xf>
    <xf numFmtId="0" fontId="56" fillId="0" borderId="87" xfId="4" applyFont="1" applyBorder="1" applyAlignment="1">
      <alignment horizontal="center"/>
    </xf>
    <xf numFmtId="0" fontId="56" fillId="0" borderId="0" xfId="4" applyFont="1" applyBorder="1" applyAlignment="1">
      <alignment horizontal="center"/>
    </xf>
    <xf numFmtId="1" fontId="8" fillId="0" borderId="10" xfId="4" applyNumberFormat="1" applyFill="1" applyBorder="1" applyAlignment="1">
      <alignment horizontal="center" vertical="center" wrapText="1"/>
    </xf>
    <xf numFmtId="1" fontId="8" fillId="0" borderId="10" xfId="4" applyNumberFormat="1" applyFill="1" applyBorder="1" applyAlignment="1">
      <alignment horizontal="right" vertical="center"/>
    </xf>
    <xf numFmtId="0" fontId="8" fillId="0" borderId="10" xfId="4" applyFill="1" applyBorder="1" applyAlignment="1">
      <alignment horizontal="right" vertical="center"/>
    </xf>
    <xf numFmtId="0" fontId="9" fillId="0" borderId="88" xfId="4" applyFont="1" applyFill="1" applyBorder="1" applyAlignment="1">
      <alignment vertical="center" wrapText="1"/>
    </xf>
    <xf numFmtId="0" fontId="8" fillId="0" borderId="71" xfId="4" applyFill="1" applyBorder="1" applyAlignment="1">
      <alignment horizontal="center"/>
    </xf>
    <xf numFmtId="0" fontId="8" fillId="0" borderId="89" xfId="4" applyFill="1" applyBorder="1" applyAlignment="1">
      <alignment horizontal="center"/>
    </xf>
    <xf numFmtId="0" fontId="8" fillId="0" borderId="67" xfId="4" applyFill="1" applyBorder="1" applyAlignment="1">
      <alignment horizontal="center"/>
    </xf>
    <xf numFmtId="0" fontId="22" fillId="3" borderId="90" xfId="4" applyFont="1" applyFill="1" applyBorder="1" applyAlignment="1">
      <alignment vertical="center"/>
    </xf>
    <xf numFmtId="0" fontId="26" fillId="3" borderId="37" xfId="4" applyFont="1" applyFill="1" applyBorder="1"/>
    <xf numFmtId="0" fontId="22" fillId="3" borderId="68" xfId="4" applyFont="1" applyFill="1" applyBorder="1" applyAlignment="1">
      <alignment vertical="center"/>
    </xf>
    <xf numFmtId="0" fontId="22" fillId="3" borderId="91" xfId="4" applyFont="1" applyFill="1" applyBorder="1" applyAlignment="1">
      <alignment vertical="center"/>
    </xf>
    <xf numFmtId="0" fontId="57" fillId="0" borderId="20" xfId="4" applyFont="1" applyFill="1" applyBorder="1"/>
    <xf numFmtId="0" fontId="58" fillId="0" borderId="0" xfId="0" applyFont="1"/>
    <xf numFmtId="0" fontId="59" fillId="0" borderId="0" xfId="0" applyFont="1"/>
    <xf numFmtId="0" fontId="0" fillId="0" borderId="0" xfId="0" applyAlignment="1">
      <alignment horizontal="left"/>
    </xf>
    <xf numFmtId="0" fontId="8" fillId="0" borderId="78" xfId="4" applyFont="1" applyFill="1" applyBorder="1" applyAlignment="1">
      <alignment vertical="center" wrapText="1"/>
    </xf>
    <xf numFmtId="0" fontId="8" fillId="0" borderId="78" xfId="4" applyFont="1" applyBorder="1" applyAlignment="1">
      <alignment vertical="center" wrapText="1"/>
    </xf>
    <xf numFmtId="0" fontId="13" fillId="0" borderId="0" xfId="4" applyFont="1" applyFill="1" applyBorder="1" applyAlignment="1">
      <alignment wrapText="1"/>
    </xf>
    <xf numFmtId="0" fontId="61" fillId="0" borderId="0" xfId="0" applyFont="1"/>
    <xf numFmtId="0" fontId="0" fillId="7" borderId="0" xfId="0" applyFill="1"/>
    <xf numFmtId="0" fontId="28" fillId="0" borderId="0" xfId="4" applyFont="1" applyAlignment="1">
      <alignment vertical="center" wrapText="1"/>
    </xf>
    <xf numFmtId="0" fontId="28" fillId="0" borderId="0" xfId="4" applyFont="1" applyAlignment="1">
      <alignment vertical="center"/>
    </xf>
    <xf numFmtId="0" fontId="41" fillId="0" borderId="0" xfId="0" applyFont="1"/>
    <xf numFmtId="0" fontId="63" fillId="0" borderId="0" xfId="0" applyFont="1"/>
    <xf numFmtId="0" fontId="65" fillId="0" borderId="0" xfId="0" applyFont="1"/>
    <xf numFmtId="0" fontId="66" fillId="0" borderId="0" xfId="4" applyFont="1"/>
    <xf numFmtId="0" fontId="60" fillId="0" borderId="0" xfId="0" applyNumberFormat="1" applyFont="1" applyAlignment="1">
      <alignment wrapText="1"/>
    </xf>
    <xf numFmtId="0" fontId="60" fillId="0" borderId="0" xfId="0" applyFont="1" applyAlignment="1">
      <alignment wrapText="1"/>
    </xf>
    <xf numFmtId="0" fontId="0" fillId="0" borderId="0" xfId="0" applyAlignment="1">
      <alignment wrapText="1"/>
    </xf>
    <xf numFmtId="0" fontId="8" fillId="0" borderId="0" xfId="4" applyAlignment="1">
      <alignment horizontal="center" vertical="center"/>
    </xf>
    <xf numFmtId="0" fontId="28" fillId="0" borderId="0" xfId="4" applyFont="1" applyAlignment="1"/>
    <xf numFmtId="0" fontId="49" fillId="2" borderId="1" xfId="7" applyFont="1" applyFill="1" applyBorder="1" applyAlignment="1">
      <alignment vertical="center"/>
    </xf>
    <xf numFmtId="0" fontId="49" fillId="2" borderId="2" xfId="7" applyFont="1" applyFill="1" applyBorder="1" applyAlignment="1">
      <alignment vertical="center"/>
    </xf>
    <xf numFmtId="0" fontId="11" fillId="3" borderId="3" xfId="7" applyFont="1" applyFill="1" applyBorder="1" applyAlignment="1">
      <alignment horizontal="center" vertical="center"/>
    </xf>
    <xf numFmtId="0" fontId="11" fillId="3" borderId="3" xfId="7" applyFont="1" applyFill="1" applyBorder="1" applyAlignment="1">
      <alignment horizontal="center" vertical="center" wrapText="1"/>
    </xf>
    <xf numFmtId="0" fontId="49" fillId="2" borderId="4" xfId="7" applyFont="1" applyFill="1" applyBorder="1" applyAlignment="1">
      <alignment horizontal="center" vertical="center" wrapText="1"/>
    </xf>
    <xf numFmtId="0" fontId="49" fillId="2" borderId="5" xfId="7" applyFont="1" applyFill="1" applyBorder="1" applyAlignment="1">
      <alignment horizontal="center" vertical="center" wrapText="1"/>
    </xf>
    <xf numFmtId="0" fontId="50" fillId="2" borderId="5" xfId="7" applyFont="1" applyFill="1" applyBorder="1" applyAlignment="1">
      <alignment horizontal="center" vertical="center" wrapText="1"/>
    </xf>
    <xf numFmtId="0" fontId="50" fillId="2" borderId="17" xfId="7" applyFont="1" applyFill="1" applyBorder="1" applyAlignment="1">
      <alignment horizontal="center" vertical="center" wrapText="1"/>
    </xf>
    <xf numFmtId="0" fontId="49" fillId="2" borderId="6" xfId="7" applyFont="1" applyFill="1" applyBorder="1" applyAlignment="1">
      <alignment horizontal="center" vertical="center" wrapText="1"/>
    </xf>
    <xf numFmtId="0" fontId="11" fillId="3" borderId="7" xfId="7" applyFont="1" applyFill="1" applyBorder="1" applyAlignment="1">
      <alignment horizontal="center" vertical="center"/>
    </xf>
    <xf numFmtId="0" fontId="11" fillId="3" borderId="8" xfId="7" applyFont="1" applyFill="1" applyBorder="1" applyAlignment="1">
      <alignment horizontal="center" vertical="center"/>
    </xf>
    <xf numFmtId="0" fontId="12" fillId="0" borderId="9" xfId="7" applyFont="1" applyFill="1" applyBorder="1" applyAlignment="1">
      <alignment horizontal="center" vertical="center"/>
    </xf>
    <xf numFmtId="1" fontId="12" fillId="0" borderId="9" xfId="7" applyNumberFormat="1" applyFont="1" applyBorder="1" applyAlignment="1">
      <alignment horizontal="center" vertical="center"/>
    </xf>
    <xf numFmtId="0" fontId="12" fillId="0" borderId="9" xfId="7" applyFont="1" applyBorder="1" applyAlignment="1">
      <alignment horizontal="center" vertical="center"/>
    </xf>
    <xf numFmtId="1" fontId="51" fillId="2" borderId="11" xfId="7" applyNumberFormat="1" applyFont="1" applyFill="1" applyBorder="1" applyAlignment="1">
      <alignment horizontal="center" vertical="center"/>
    </xf>
    <xf numFmtId="0" fontId="51" fillId="2" borderId="5" xfId="7" applyFont="1" applyFill="1" applyBorder="1" applyAlignment="1">
      <alignment horizontal="center" vertical="center"/>
    </xf>
    <xf numFmtId="166" fontId="51" fillId="2" borderId="5" xfId="7" applyNumberFormat="1" applyFont="1" applyFill="1" applyBorder="1" applyAlignment="1">
      <alignment horizontal="center" vertical="center"/>
    </xf>
    <xf numFmtId="168" fontId="51" fillId="2" borderId="17" xfId="7" applyNumberFormat="1" applyFont="1" applyFill="1" applyBorder="1" applyAlignment="1">
      <alignment horizontal="center" vertical="center"/>
    </xf>
    <xf numFmtId="0" fontId="51" fillId="2" borderId="12" xfId="7" applyFont="1" applyFill="1" applyBorder="1" applyAlignment="1">
      <alignment horizontal="center" vertical="center"/>
    </xf>
    <xf numFmtId="0" fontId="51" fillId="2" borderId="13" xfId="7" applyFont="1" applyFill="1" applyBorder="1" applyAlignment="1">
      <alignment horizontal="center" vertical="center"/>
    </xf>
    <xf numFmtId="0" fontId="12" fillId="0" borderId="0" xfId="7" applyFont="1" applyAlignment="1">
      <alignment horizontal="center"/>
    </xf>
    <xf numFmtId="0" fontId="67" fillId="0" borderId="0" xfId="0" applyFont="1" applyAlignment="1">
      <alignment horizontal="left" readingOrder="1"/>
    </xf>
    <xf numFmtId="0" fontId="68" fillId="0" borderId="0" xfId="0" applyFont="1" applyAlignment="1">
      <alignment horizontal="left" vertical="top" wrapText="1" readingOrder="1"/>
    </xf>
    <xf numFmtId="0" fontId="68" fillId="0" borderId="0" xfId="0" applyFont="1" applyAlignment="1">
      <alignment horizontal="left" wrapText="1" readingOrder="1"/>
    </xf>
    <xf numFmtId="168" fontId="55" fillId="0" borderId="5" xfId="7" applyNumberFormat="1" applyFont="1" applyFill="1" applyBorder="1" applyAlignment="1">
      <alignment horizontal="center" vertical="center"/>
    </xf>
    <xf numFmtId="0" fontId="13" fillId="0" borderId="9" xfId="7" applyFont="1" applyFill="1" applyBorder="1" applyAlignment="1">
      <alignment horizontal="center" vertical="center"/>
    </xf>
    <xf numFmtId="0" fontId="49" fillId="2" borderId="18" xfId="7" applyFont="1" applyFill="1" applyBorder="1" applyAlignment="1">
      <alignment vertical="center"/>
    </xf>
    <xf numFmtId="0" fontId="53" fillId="2" borderId="5" xfId="7" applyFont="1" applyFill="1" applyBorder="1" applyAlignment="1">
      <alignment horizontal="center" vertical="center" wrapText="1"/>
    </xf>
    <xf numFmtId="168" fontId="54" fillId="0" borderId="5" xfId="7" applyNumberFormat="1" applyFont="1" applyFill="1" applyBorder="1" applyAlignment="1">
      <alignment horizontal="center" vertical="center"/>
    </xf>
    <xf numFmtId="0" fontId="8" fillId="0" borderId="0" xfId="4"/>
    <xf numFmtId="0" fontId="8" fillId="0" borderId="0" xfId="4" applyAlignment="1">
      <alignment wrapText="1"/>
    </xf>
    <xf numFmtId="166" fontId="19" fillId="0" borderId="40" xfId="4" applyNumberFormat="1" applyFont="1" applyBorder="1" applyAlignment="1">
      <alignment horizontal="center" vertical="center"/>
    </xf>
    <xf numFmtId="0" fontId="13" fillId="0" borderId="0" xfId="4" applyFont="1" applyFill="1" applyAlignment="1">
      <alignment wrapText="1"/>
    </xf>
    <xf numFmtId="0" fontId="9" fillId="0" borderId="0" xfId="4" applyFont="1" applyAlignment="1">
      <alignment horizontal="left"/>
    </xf>
    <xf numFmtId="0" fontId="8" fillId="0" borderId="0" xfId="4" applyFill="1"/>
    <xf numFmtId="0" fontId="8" fillId="0" borderId="0" xfId="4"/>
    <xf numFmtId="0" fontId="71" fillId="0" borderId="0" xfId="0" applyFont="1"/>
    <xf numFmtId="0" fontId="71" fillId="0" borderId="115" xfId="0" applyFont="1" applyBorder="1"/>
    <xf numFmtId="0" fontId="72" fillId="8" borderId="118" xfId="0" applyFont="1" applyFill="1" applyBorder="1" applyAlignment="1">
      <alignment horizontal="center" vertical="center"/>
    </xf>
    <xf numFmtId="0" fontId="72" fillId="8" borderId="119" xfId="0" applyFont="1" applyFill="1" applyBorder="1" applyAlignment="1">
      <alignment horizontal="center" vertical="center"/>
    </xf>
    <xf numFmtId="1" fontId="71" fillId="0" borderId="115" xfId="0" applyNumberFormat="1" applyFont="1" applyBorder="1"/>
    <xf numFmtId="166" fontId="71" fillId="0" borderId="115" xfId="0" applyNumberFormat="1" applyFont="1" applyBorder="1"/>
    <xf numFmtId="0" fontId="8" fillId="0" borderId="0" xfId="4"/>
    <xf numFmtId="0" fontId="56" fillId="0" borderId="0" xfId="4" applyFont="1" applyBorder="1" applyAlignment="1">
      <alignment horizontal="center" vertical="center" wrapText="1"/>
    </xf>
    <xf numFmtId="0" fontId="70" fillId="0" borderId="0" xfId="0" applyFont="1" applyAlignment="1">
      <alignment horizontal="left" wrapText="1"/>
    </xf>
    <xf numFmtId="0" fontId="30" fillId="0" borderId="0" xfId="4" applyFont="1"/>
    <xf numFmtId="0" fontId="51" fillId="2" borderId="14" xfId="7" applyFont="1" applyFill="1" applyBorder="1" applyAlignment="1">
      <alignment horizontal="center" vertical="center"/>
    </xf>
    <xf numFmtId="0" fontId="51" fillId="2" borderId="15" xfId="7" applyFont="1" applyFill="1" applyBorder="1" applyAlignment="1">
      <alignment horizontal="center" vertical="center"/>
    </xf>
    <xf numFmtId="166" fontId="51" fillId="2" borderId="15" xfId="7" applyNumberFormat="1" applyFont="1" applyFill="1" applyBorder="1" applyAlignment="1">
      <alignment horizontal="center" vertical="center"/>
    </xf>
    <xf numFmtId="168" fontId="55" fillId="0" borderId="15" xfId="7" applyNumberFormat="1" applyFont="1" applyFill="1" applyBorder="1" applyAlignment="1">
      <alignment horizontal="center" vertical="center"/>
    </xf>
    <xf numFmtId="0" fontId="51" fillId="2" borderId="16" xfId="7" applyFont="1" applyFill="1" applyBorder="1" applyAlignment="1">
      <alignment horizontal="center" vertical="center"/>
    </xf>
    <xf numFmtId="0" fontId="8" fillId="0" borderId="10" xfId="4" applyFont="1" applyFill="1" applyBorder="1"/>
    <xf numFmtId="0" fontId="74" fillId="0" borderId="0" xfId="4" applyFont="1" applyAlignment="1">
      <alignment wrapText="1"/>
    </xf>
    <xf numFmtId="0" fontId="0" fillId="0" borderId="0" xfId="0" applyBorder="1"/>
    <xf numFmtId="0" fontId="0" fillId="0" borderId="0" xfId="0" applyBorder="1" applyAlignment="1">
      <alignment wrapText="1"/>
    </xf>
    <xf numFmtId="1" fontId="0" fillId="0" borderId="0" xfId="0" applyNumberFormat="1" applyBorder="1"/>
    <xf numFmtId="166" fontId="0" fillId="0" borderId="0" xfId="0" applyNumberFormat="1" applyBorder="1"/>
    <xf numFmtId="0" fontId="8" fillId="0" borderId="0" xfId="4"/>
    <xf numFmtId="0" fontId="8" fillId="0" borderId="9" xfId="4" applyBorder="1" applyAlignment="1">
      <alignment horizontal="center" vertical="center" wrapText="1"/>
    </xf>
    <xf numFmtId="0" fontId="72" fillId="8" borderId="125" xfId="0" applyFont="1" applyFill="1" applyBorder="1" applyAlignment="1">
      <alignment vertical="center" wrapText="1"/>
    </xf>
    <xf numFmtId="0" fontId="74" fillId="8" borderId="126" xfId="0" applyFont="1" applyFill="1" applyBorder="1" applyAlignment="1">
      <alignment vertical="center"/>
    </xf>
    <xf numFmtId="0" fontId="74" fillId="8" borderId="120" xfId="0" applyFont="1" applyFill="1" applyBorder="1" applyAlignment="1">
      <alignment horizontal="center" vertical="top" wrapText="1"/>
    </xf>
    <xf numFmtId="0" fontId="74" fillId="8" borderId="121" xfId="0" applyFont="1" applyFill="1" applyBorder="1" applyAlignment="1">
      <alignment horizontal="center" vertical="top" wrapText="1"/>
    </xf>
    <xf numFmtId="0" fontId="69" fillId="0" borderId="0" xfId="4" applyFont="1" applyAlignment="1">
      <alignment wrapText="1"/>
    </xf>
    <xf numFmtId="0" fontId="13" fillId="0" borderId="0" xfId="4" applyFont="1" applyAlignment="1">
      <alignment wrapText="1"/>
    </xf>
    <xf numFmtId="0" fontId="8" fillId="0" borderId="0" xfId="4"/>
    <xf numFmtId="0" fontId="74" fillId="0" borderId="0" xfId="4" applyFont="1"/>
    <xf numFmtId="0" fontId="22" fillId="3" borderId="127" xfId="4" applyFont="1" applyFill="1" applyBorder="1" applyAlignment="1">
      <alignment horizontal="center" vertical="center" wrapText="1"/>
    </xf>
    <xf numFmtId="0" fontId="22" fillId="3" borderId="128" xfId="4" applyFont="1" applyFill="1" applyBorder="1" applyAlignment="1">
      <alignment horizontal="center" vertical="center" wrapText="1"/>
    </xf>
    <xf numFmtId="0" fontId="42" fillId="0" borderId="0" xfId="5" applyAlignment="1">
      <alignment wrapText="1"/>
    </xf>
    <xf numFmtId="0" fontId="37" fillId="0" borderId="0" xfId="4" applyFont="1" applyBorder="1" applyAlignment="1">
      <alignment horizontal="center"/>
    </xf>
    <xf numFmtId="0" fontId="37" fillId="0" borderId="87" xfId="4" applyFont="1" applyBorder="1" applyAlignment="1">
      <alignment horizontal="center" wrapText="1"/>
    </xf>
    <xf numFmtId="0" fontId="37" fillId="0" borderId="0" xfId="4" applyFont="1" applyBorder="1"/>
    <xf numFmtId="0" fontId="37" fillId="0" borderId="87" xfId="4" applyFont="1" applyBorder="1" applyAlignment="1">
      <alignment wrapText="1"/>
    </xf>
    <xf numFmtId="0" fontId="8" fillId="0" borderId="0" xfId="4" applyFont="1" applyFill="1" applyBorder="1" applyAlignment="1">
      <alignment horizontal="center"/>
    </xf>
    <xf numFmtId="0" fontId="37" fillId="0" borderId="0" xfId="4" applyFont="1" applyBorder="1" applyAlignment="1">
      <alignment horizontal="center" vertical="center" wrapText="1"/>
    </xf>
    <xf numFmtId="0" fontId="37" fillId="0" borderId="87" xfId="4" applyFont="1" applyBorder="1" applyAlignment="1">
      <alignment horizontal="center" vertical="center" wrapText="1"/>
    </xf>
    <xf numFmtId="0" fontId="22" fillId="3" borderId="129" xfId="4" applyFont="1" applyFill="1" applyBorder="1" applyAlignment="1">
      <alignment horizontal="left" vertical="center" wrapText="1"/>
    </xf>
    <xf numFmtId="0" fontId="13" fillId="0" borderId="0" xfId="4" applyFont="1" applyBorder="1" applyAlignment="1">
      <alignment wrapText="1"/>
    </xf>
    <xf numFmtId="0" fontId="20" fillId="9" borderId="0" xfId="4" applyFont="1" applyFill="1" applyBorder="1" applyAlignment="1">
      <alignment vertical="center" wrapText="1"/>
    </xf>
    <xf numFmtId="1" fontId="8" fillId="0" borderId="10" xfId="4" applyNumberFormat="1" applyFont="1" applyFill="1" applyBorder="1" applyAlignment="1">
      <alignment horizontal="center" wrapText="1"/>
    </xf>
    <xf numFmtId="166" fontId="8" fillId="0" borderId="10" xfId="4" applyNumberFormat="1" applyFont="1" applyFill="1" applyBorder="1" applyAlignment="1">
      <alignment horizontal="center" wrapText="1"/>
    </xf>
    <xf numFmtId="0" fontId="20" fillId="0" borderId="0" xfId="4" applyFont="1" applyBorder="1" applyAlignment="1">
      <alignment vertical="center"/>
    </xf>
    <xf numFmtId="0" fontId="9" fillId="0" borderId="0" xfId="9" applyFont="1" applyAlignment="1">
      <alignment horizontal="left"/>
    </xf>
    <xf numFmtId="0" fontId="8" fillId="0" borderId="0" xfId="4" applyFill="1"/>
    <xf numFmtId="0" fontId="8" fillId="0" borderId="0" xfId="4"/>
    <xf numFmtId="0" fontId="22" fillId="0" borderId="20" xfId="4" applyFont="1" applyFill="1" applyBorder="1" applyAlignment="1">
      <alignment horizontal="center" vertical="center" wrapText="1"/>
    </xf>
    <xf numFmtId="0" fontId="78" fillId="0" borderId="0" xfId="0" applyFont="1"/>
    <xf numFmtId="0" fontId="8" fillId="0" borderId="0" xfId="4" applyAlignment="1">
      <alignment wrapText="1"/>
    </xf>
    <xf numFmtId="0" fontId="18" fillId="0" borderId="0" xfId="1" applyFont="1" applyAlignment="1" applyProtection="1">
      <alignment horizontal="right" vertical="center" wrapText="1"/>
    </xf>
    <xf numFmtId="0" fontId="8" fillId="0" borderId="0" xfId="4"/>
    <xf numFmtId="0" fontId="13" fillId="0" borderId="0" xfId="9" applyFont="1" applyAlignment="1">
      <alignment horizontal="left"/>
    </xf>
    <xf numFmtId="0" fontId="79" fillId="0" borderId="0" xfId="0" applyFont="1"/>
    <xf numFmtId="0" fontId="80" fillId="0" borderId="0" xfId="0" applyFont="1"/>
    <xf numFmtId="0" fontId="8" fillId="0" borderId="0" xfId="4" applyFont="1" applyAlignment="1">
      <alignment vertical="center"/>
    </xf>
    <xf numFmtId="0" fontId="28" fillId="0" borderId="0" xfId="4" applyFont="1" applyAlignment="1">
      <alignment vertical="top" wrapText="1"/>
    </xf>
    <xf numFmtId="0" fontId="8" fillId="0" borderId="0" xfId="4"/>
    <xf numFmtId="0" fontId="80" fillId="0" borderId="0" xfId="0" applyFont="1" applyAlignment="1">
      <alignment vertical="center"/>
    </xf>
    <xf numFmtId="1" fontId="80" fillId="0" borderId="115" xfId="0" applyNumberFormat="1" applyFont="1" applyBorder="1" applyAlignment="1">
      <alignment horizontal="center" vertical="center"/>
    </xf>
    <xf numFmtId="0" fontId="82" fillId="8" borderId="118" xfId="0" applyFont="1" applyFill="1" applyBorder="1" applyAlignment="1">
      <alignment horizontal="center" vertical="center"/>
    </xf>
    <xf numFmtId="0" fontId="82" fillId="8" borderId="119" xfId="0" applyFont="1" applyFill="1" applyBorder="1" applyAlignment="1">
      <alignment horizontal="center" vertical="center"/>
    </xf>
    <xf numFmtId="0" fontId="28" fillId="0" borderId="0" xfId="4" quotePrefix="1" applyFont="1" applyAlignment="1">
      <alignment vertical="center"/>
    </xf>
    <xf numFmtId="0" fontId="8" fillId="0" borderId="0" xfId="9" applyFont="1" applyFill="1" applyAlignment="1">
      <alignment horizontal="left"/>
    </xf>
    <xf numFmtId="167" fontId="9" fillId="0" borderId="10" xfId="4" applyNumberFormat="1" applyFont="1" applyBorder="1" applyAlignment="1">
      <alignment horizontal="center" vertical="center"/>
    </xf>
    <xf numFmtId="167" fontId="19" fillId="0" borderId="10" xfId="4" applyNumberFormat="1" applyFont="1" applyBorder="1" applyAlignment="1">
      <alignment horizontal="center" vertical="center"/>
    </xf>
    <xf numFmtId="167" fontId="39" fillId="0" borderId="10" xfId="4" applyNumberFormat="1" applyFont="1" applyBorder="1" applyAlignment="1">
      <alignment horizontal="center" vertical="center" wrapText="1"/>
    </xf>
    <xf numFmtId="0" fontId="18" fillId="0" borderId="0" xfId="1" applyFont="1" applyAlignment="1" applyProtection="1">
      <alignment horizontal="right" vertical="center" wrapText="1"/>
    </xf>
    <xf numFmtId="0" fontId="8" fillId="0" borderId="0" xfId="4"/>
    <xf numFmtId="0" fontId="18" fillId="0" borderId="0" xfId="1" applyFont="1" applyAlignment="1" applyProtection="1">
      <alignment horizontal="right" vertical="center" wrapText="1"/>
    </xf>
    <xf numFmtId="167" fontId="8" fillId="0" borderId="10" xfId="4" applyNumberFormat="1" applyFont="1" applyFill="1" applyBorder="1" applyAlignment="1">
      <alignment horizontal="center" vertical="center"/>
    </xf>
    <xf numFmtId="167" fontId="8" fillId="0" borderId="10" xfId="4" applyNumberFormat="1" applyFont="1" applyBorder="1" applyAlignment="1">
      <alignment horizontal="center" vertical="center"/>
    </xf>
    <xf numFmtId="167" fontId="9" fillId="0" borderId="77" xfId="4" applyNumberFormat="1" applyFont="1" applyBorder="1" applyAlignment="1">
      <alignment horizontal="center" vertical="center"/>
    </xf>
    <xf numFmtId="167" fontId="80" fillId="0" borderId="115" xfId="0" applyNumberFormat="1" applyFont="1" applyBorder="1" applyAlignment="1">
      <alignment horizontal="center" vertical="center"/>
    </xf>
    <xf numFmtId="167" fontId="12" fillId="0" borderId="9" xfId="7" applyNumberFormat="1" applyFont="1" applyBorder="1" applyAlignment="1">
      <alignment horizontal="center" vertical="center"/>
    </xf>
    <xf numFmtId="0" fontId="8" fillId="0" borderId="0" xfId="4"/>
    <xf numFmtId="167" fontId="8" fillId="0" borderId="10" xfId="4" applyNumberFormat="1" applyFill="1" applyBorder="1" applyAlignment="1">
      <alignment wrapText="1"/>
    </xf>
    <xf numFmtId="167" fontId="8" fillId="0" borderId="10" xfId="4" applyNumberFormat="1" applyFill="1" applyBorder="1" applyAlignment="1">
      <alignment horizontal="right"/>
    </xf>
    <xf numFmtId="167" fontId="8" fillId="0" borderId="10" xfId="4" applyNumberFormat="1" applyFill="1" applyBorder="1"/>
    <xf numFmtId="167" fontId="12" fillId="0" borderId="9" xfId="6" applyNumberFormat="1" applyFont="1" applyBorder="1" applyAlignment="1">
      <alignment horizontal="center" vertical="center"/>
    </xf>
    <xf numFmtId="167" fontId="8" fillId="0" borderId="55" xfId="4" applyNumberFormat="1" applyFill="1" applyBorder="1" applyAlignment="1">
      <alignment wrapText="1"/>
    </xf>
    <xf numFmtId="0" fontId="40" fillId="0" borderId="0" xfId="0" applyFont="1" applyAlignment="1">
      <alignment wrapText="1"/>
    </xf>
    <xf numFmtId="167" fontId="8" fillId="0" borderId="10" xfId="4" applyNumberFormat="1" applyFill="1" applyBorder="1" applyAlignment="1">
      <alignment horizontal="center" wrapText="1"/>
    </xf>
    <xf numFmtId="167" fontId="8" fillId="0" borderId="10" xfId="4" applyNumberFormat="1" applyFont="1" applyFill="1" applyBorder="1" applyAlignment="1">
      <alignment horizontal="center" wrapText="1"/>
    </xf>
    <xf numFmtId="0" fontId="13" fillId="0" borderId="0" xfId="4" applyFont="1" applyFill="1" applyBorder="1" applyAlignment="1">
      <alignment vertical="center" wrapText="1"/>
    </xf>
    <xf numFmtId="0" fontId="8" fillId="0" borderId="0" xfId="4"/>
    <xf numFmtId="0" fontId="60" fillId="0" borderId="0" xfId="0" applyNumberFormat="1" applyFont="1" applyAlignment="1">
      <alignment horizontal="left" vertical="center" wrapText="1"/>
    </xf>
    <xf numFmtId="167" fontId="42" fillId="0" borderId="10" xfId="5" applyNumberFormat="1" applyFill="1" applyBorder="1" applyAlignment="1">
      <alignment wrapText="1"/>
    </xf>
    <xf numFmtId="167" fontId="42" fillId="0" borderId="10" xfId="5" applyNumberFormat="1" applyFill="1" applyBorder="1" applyAlignment="1">
      <alignment horizontal="right"/>
    </xf>
    <xf numFmtId="167" fontId="8" fillId="0" borderId="10" xfId="5" applyNumberFormat="1" applyFont="1" applyFill="1" applyBorder="1" applyAlignment="1">
      <alignment horizontal="right"/>
    </xf>
    <xf numFmtId="167" fontId="42" fillId="0" borderId="10" xfId="5" applyNumberFormat="1" applyFill="1" applyBorder="1"/>
    <xf numFmtId="0" fontId="74" fillId="0" borderId="0" xfId="0" applyFont="1"/>
    <xf numFmtId="1" fontId="74" fillId="0" borderId="0" xfId="0" applyNumberFormat="1" applyFont="1"/>
    <xf numFmtId="0" fontId="80" fillId="0" borderId="0" xfId="0" applyFont="1" applyAlignment="1">
      <alignment horizontal="left" indent="1"/>
    </xf>
    <xf numFmtId="0" fontId="83" fillId="0" borderId="0" xfId="1" applyFont="1" applyAlignment="1" applyProtection="1">
      <alignment horizontal="center"/>
    </xf>
    <xf numFmtId="9" fontId="86" fillId="0" borderId="10" xfId="4" applyNumberFormat="1" applyFont="1" applyBorder="1" applyAlignment="1">
      <alignment horizontal="center" vertical="center" wrapText="1"/>
    </xf>
    <xf numFmtId="0" fontId="60" fillId="0" borderId="0" xfId="0" applyNumberFormat="1" applyFont="1" applyAlignment="1">
      <alignment vertical="center" wrapText="1"/>
    </xf>
    <xf numFmtId="0" fontId="60" fillId="0" borderId="0" xfId="0" applyFont="1" applyAlignment="1">
      <alignment vertical="center" wrapText="1"/>
    </xf>
    <xf numFmtId="0" fontId="40" fillId="0" borderId="10" xfId="4" applyFont="1" applyBorder="1" applyAlignment="1">
      <alignment horizontal="center" vertical="center" wrapText="1"/>
    </xf>
    <xf numFmtId="0" fontId="21" fillId="0" borderId="0" xfId="5" applyFont="1" applyAlignment="1"/>
    <xf numFmtId="0" fontId="42" fillId="0" borderId="0" xfId="5" applyFill="1" applyBorder="1" applyAlignment="1"/>
    <xf numFmtId="0" fontId="42" fillId="0" borderId="0" xfId="5" applyAlignment="1"/>
    <xf numFmtId="0" fontId="13" fillId="0" borderId="0" xfId="5" applyNumberFormat="1" applyFont="1" applyAlignment="1"/>
    <xf numFmtId="0" fontId="13" fillId="0" borderId="0" xfId="5" applyFont="1" applyAlignment="1">
      <alignment horizontal="left" vertical="center"/>
    </xf>
    <xf numFmtId="0" fontId="13" fillId="0" borderId="0" xfId="5" applyFont="1" applyAlignment="1"/>
    <xf numFmtId="0" fontId="13" fillId="0" borderId="0" xfId="5" applyFont="1"/>
    <xf numFmtId="0" fontId="18" fillId="0" borderId="0" xfId="1" applyFont="1" applyAlignment="1" applyProtection="1">
      <alignment vertical="center"/>
    </xf>
    <xf numFmtId="0" fontId="13" fillId="0" borderId="0" xfId="4" applyFont="1" applyBorder="1" applyAlignment="1">
      <alignment horizontal="left" vertical="center" wrapText="1"/>
    </xf>
    <xf numFmtId="0" fontId="13" fillId="0" borderId="0" xfId="4" applyFont="1" applyAlignment="1">
      <alignment horizontal="left" vertical="center" wrapText="1"/>
    </xf>
    <xf numFmtId="0" fontId="9" fillId="0" borderId="0" xfId="4" applyFont="1" applyAlignment="1">
      <alignment horizontal="left" vertical="center" wrapText="1"/>
    </xf>
    <xf numFmtId="0" fontId="8" fillId="0" borderId="0" xfId="4" applyAlignment="1">
      <alignment wrapText="1"/>
    </xf>
    <xf numFmtId="0" fontId="8" fillId="0" borderId="0" xfId="4"/>
    <xf numFmtId="0" fontId="18" fillId="0" borderId="0" xfId="1" applyFont="1" applyAlignment="1" applyProtection="1">
      <alignment horizontal="right" wrapText="1"/>
    </xf>
    <xf numFmtId="167" fontId="0" fillId="0" borderId="0" xfId="0" applyNumberFormat="1"/>
    <xf numFmtId="9" fontId="0" fillId="0" borderId="0" xfId="0" applyNumberFormat="1"/>
    <xf numFmtId="0" fontId="9" fillId="0" borderId="0" xfId="4" applyFont="1" applyAlignment="1">
      <alignment horizontal="left" vertical="center" wrapText="1"/>
    </xf>
    <xf numFmtId="0" fontId="8" fillId="0" borderId="0" xfId="4"/>
    <xf numFmtId="0" fontId="22" fillId="3" borderId="138" xfId="4" applyFont="1" applyFill="1" applyBorder="1" applyAlignment="1">
      <alignment horizontal="left" vertical="center" wrapText="1"/>
    </xf>
    <xf numFmtId="0" fontId="39" fillId="0" borderId="10" xfId="4" applyFont="1" applyBorder="1" applyAlignment="1">
      <alignment horizontal="left" vertical="center" wrapText="1"/>
    </xf>
    <xf numFmtId="0" fontId="40" fillId="0" borderId="10" xfId="4" applyFont="1" applyBorder="1" applyAlignment="1">
      <alignment horizontal="left" vertical="center" wrapText="1"/>
    </xf>
    <xf numFmtId="0" fontId="22" fillId="3" borderId="139" xfId="4" applyFont="1" applyFill="1" applyBorder="1" applyAlignment="1">
      <alignment horizontal="center" vertical="center" wrapText="1"/>
    </xf>
    <xf numFmtId="0" fontId="22" fillId="3" borderId="140" xfId="4" applyFont="1" applyFill="1" applyBorder="1" applyAlignment="1">
      <alignment horizontal="center" vertical="center" wrapText="1"/>
    </xf>
    <xf numFmtId="0" fontId="8" fillId="0" borderId="0" xfId="4" applyAlignment="1">
      <alignment vertical="top"/>
    </xf>
    <xf numFmtId="0" fontId="8" fillId="0" borderId="0" xfId="4"/>
    <xf numFmtId="0" fontId="17" fillId="0" borderId="10" xfId="1" applyFill="1" applyBorder="1" applyAlignment="1" applyProtection="1">
      <alignment horizontal="center" vertical="center"/>
    </xf>
    <xf numFmtId="0" fontId="73" fillId="0" borderId="0" xfId="0" applyFont="1" applyAlignment="1">
      <alignment horizontal="left" vertical="center" wrapText="1"/>
    </xf>
    <xf numFmtId="0" fontId="28" fillId="0" borderId="0" xfId="4" applyFont="1" applyFill="1" applyAlignment="1">
      <alignment horizontal="left" vertical="center" wrapText="1" indent="4"/>
    </xf>
    <xf numFmtId="167" fontId="9" fillId="0" borderId="77" xfId="4" applyNumberFormat="1" applyFont="1" applyFill="1" applyBorder="1" applyAlignment="1">
      <alignment horizontal="center" vertical="center"/>
    </xf>
    <xf numFmtId="165" fontId="8" fillId="0" borderId="10" xfId="4" applyNumberFormat="1" applyFont="1" applyFill="1" applyBorder="1" applyAlignment="1">
      <alignment horizontal="center" vertical="center"/>
    </xf>
    <xf numFmtId="165" fontId="8" fillId="0" borderId="79" xfId="4" applyNumberFormat="1" applyFont="1" applyFill="1" applyBorder="1" applyAlignment="1">
      <alignment horizontal="left" vertical="center" wrapText="1"/>
    </xf>
    <xf numFmtId="165" fontId="8" fillId="0" borderId="79" xfId="4" applyNumberFormat="1" applyFont="1" applyFill="1" applyBorder="1" applyAlignment="1">
      <alignment vertical="center" wrapText="1"/>
    </xf>
    <xf numFmtId="0" fontId="8" fillId="0" borderId="0" xfId="4" applyFont="1" applyFill="1" applyAlignment="1">
      <alignment horizontal="center" vertical="center"/>
    </xf>
    <xf numFmtId="165" fontId="9" fillId="0" borderId="77" xfId="4" applyNumberFormat="1" applyFont="1" applyFill="1" applyBorder="1" applyAlignment="1">
      <alignment horizontal="center" vertical="center"/>
    </xf>
    <xf numFmtId="0" fontId="18" fillId="0" borderId="0" xfId="1" applyFont="1" applyAlignment="1" applyProtection="1">
      <alignment horizontal="right" vertical="center" wrapText="1"/>
    </xf>
    <xf numFmtId="0" fontId="8" fillId="0" borderId="0" xfId="4"/>
    <xf numFmtId="0" fontId="87" fillId="0" borderId="0" xfId="4" applyFont="1"/>
    <xf numFmtId="0" fontId="80" fillId="0" borderId="115" xfId="0" applyFont="1" applyFill="1" applyBorder="1" applyAlignment="1">
      <alignment vertical="center"/>
    </xf>
    <xf numFmtId="0" fontId="81" fillId="0" borderId="0" xfId="0" applyFont="1"/>
    <xf numFmtId="0" fontId="0" fillId="0" borderId="0" xfId="0" applyAlignment="1">
      <alignment wrapText="1"/>
    </xf>
    <xf numFmtId="0" fontId="8" fillId="0" borderId="0" xfId="4"/>
    <xf numFmtId="0" fontId="8" fillId="0" borderId="79" xfId="4" applyFont="1" applyFill="1" applyBorder="1" applyAlignment="1">
      <alignment vertical="center" wrapText="1"/>
    </xf>
    <xf numFmtId="0" fontId="8" fillId="0" borderId="0" xfId="4" applyFill="1" applyAlignment="1">
      <alignment horizontal="center" vertical="center"/>
    </xf>
    <xf numFmtId="0" fontId="9" fillId="0" borderId="0" xfId="4" applyFont="1" applyAlignment="1">
      <alignment horizontal="left" vertical="center" wrapText="1"/>
    </xf>
    <xf numFmtId="0" fontId="13" fillId="0" borderId="0" xfId="4" applyNumberFormat="1" applyFont="1" applyAlignment="1">
      <alignment vertical="top" wrapText="1"/>
    </xf>
    <xf numFmtId="0" fontId="8" fillId="0" borderId="0" xfId="4"/>
    <xf numFmtId="166" fontId="39" fillId="0" borderId="10" xfId="4" applyNumberFormat="1" applyFont="1" applyBorder="1" applyAlignment="1">
      <alignment horizontal="center" vertical="center" wrapText="1"/>
    </xf>
    <xf numFmtId="166" fontId="40" fillId="0" borderId="10" xfId="4" applyNumberFormat="1" applyFont="1" applyBorder="1" applyAlignment="1">
      <alignment horizontal="center" vertical="center" wrapText="1"/>
    </xf>
    <xf numFmtId="0" fontId="71" fillId="0" borderId="0" xfId="0" applyFont="1" applyAlignment="1">
      <alignment vertical="center"/>
    </xf>
    <xf numFmtId="0" fontId="71" fillId="0" borderId="0" xfId="0" applyFont="1" applyAlignment="1">
      <alignment horizontal="center" vertical="center"/>
    </xf>
    <xf numFmtId="0" fontId="71" fillId="0" borderId="0" xfId="0" applyFont="1" applyBorder="1" applyAlignment="1">
      <alignment vertical="center"/>
    </xf>
    <xf numFmtId="0" fontId="71" fillId="8" borderId="134" xfId="0" applyFont="1" applyFill="1" applyBorder="1" applyAlignment="1">
      <alignment vertical="center"/>
    </xf>
    <xf numFmtId="0" fontId="71" fillId="8" borderId="141" xfId="0" applyFont="1" applyFill="1" applyBorder="1" applyAlignment="1">
      <alignment horizontal="center" vertical="center"/>
    </xf>
    <xf numFmtId="0" fontId="71" fillId="8" borderId="141" xfId="0" applyFont="1" applyFill="1" applyBorder="1" applyAlignment="1">
      <alignment vertical="center"/>
    </xf>
    <xf numFmtId="0" fontId="72" fillId="8" borderId="142" xfId="0" applyFont="1" applyFill="1" applyBorder="1" applyAlignment="1">
      <alignment vertical="center"/>
    </xf>
    <xf numFmtId="0" fontId="72" fillId="8" borderId="143" xfId="0" applyFont="1" applyFill="1" applyBorder="1" applyAlignment="1">
      <alignment horizontal="center" vertical="top" wrapText="1"/>
    </xf>
    <xf numFmtId="0" fontId="72" fillId="8" borderId="144" xfId="0" applyFont="1" applyFill="1" applyBorder="1" applyAlignment="1">
      <alignment horizontal="center" vertical="top" wrapText="1"/>
    </xf>
    <xf numFmtId="0" fontId="72" fillId="8" borderId="145" xfId="0" applyFont="1" applyFill="1" applyBorder="1" applyAlignment="1">
      <alignment horizontal="center" vertical="top" wrapText="1"/>
    </xf>
    <xf numFmtId="0" fontId="73" fillId="0" borderId="148" xfId="0" applyFont="1" applyBorder="1" applyAlignment="1">
      <alignment vertical="center"/>
    </xf>
    <xf numFmtId="167" fontId="73" fillId="0" borderId="148" xfId="0" applyNumberFormat="1" applyFont="1" applyBorder="1" applyAlignment="1">
      <alignment horizontal="center" vertical="center"/>
    </xf>
    <xf numFmtId="1" fontId="73" fillId="0" borderId="149" xfId="0" applyNumberFormat="1" applyFont="1" applyBorder="1" applyAlignment="1">
      <alignment horizontal="center" vertical="center"/>
    </xf>
    <xf numFmtId="1" fontId="89" fillId="0" borderId="149" xfId="0" applyNumberFormat="1" applyFont="1" applyBorder="1" applyAlignment="1">
      <alignment horizontal="center" vertical="center"/>
    </xf>
    <xf numFmtId="1" fontId="89" fillId="0" borderId="150" xfId="0" applyNumberFormat="1" applyFont="1" applyBorder="1" applyAlignment="1">
      <alignment horizontal="center" vertical="center"/>
    </xf>
    <xf numFmtId="1" fontId="89" fillId="0" borderId="151" xfId="0" applyNumberFormat="1" applyFont="1" applyBorder="1" applyAlignment="1">
      <alignment horizontal="center" vertical="center"/>
    </xf>
    <xf numFmtId="1" fontId="89" fillId="0" borderId="152" xfId="0" applyNumberFormat="1" applyFont="1" applyBorder="1" applyAlignment="1">
      <alignment horizontal="center" vertical="center"/>
    </xf>
    <xf numFmtId="1" fontId="89" fillId="0" borderId="0" xfId="0" applyNumberFormat="1" applyFont="1" applyBorder="1" applyAlignment="1">
      <alignment horizontal="center" vertical="center"/>
    </xf>
    <xf numFmtId="1" fontId="89" fillId="0" borderId="147" xfId="0" applyNumberFormat="1" applyFont="1" applyBorder="1" applyAlignment="1">
      <alignment horizontal="center" vertical="center"/>
    </xf>
    <xf numFmtId="0" fontId="73" fillId="0" borderId="149" xfId="0" applyFont="1" applyBorder="1" applyAlignment="1">
      <alignment vertical="center"/>
    </xf>
    <xf numFmtId="167" fontId="73" fillId="0" borderId="149" xfId="0" applyNumberFormat="1" applyFont="1" applyBorder="1" applyAlignment="1">
      <alignment horizontal="center" vertical="center"/>
    </xf>
    <xf numFmtId="0" fontId="71" fillId="10" borderId="149" xfId="0" applyFont="1" applyFill="1" applyBorder="1" applyAlignment="1">
      <alignment vertical="center"/>
    </xf>
    <xf numFmtId="167" fontId="71" fillId="10" borderId="149" xfId="0" applyNumberFormat="1" applyFont="1" applyFill="1" applyBorder="1" applyAlignment="1">
      <alignment horizontal="center" vertical="center"/>
    </xf>
    <xf numFmtId="1" fontId="71" fillId="10" borderId="149" xfId="0" applyNumberFormat="1" applyFont="1" applyFill="1" applyBorder="1" applyAlignment="1">
      <alignment horizontal="center" vertical="center"/>
    </xf>
    <xf numFmtId="1" fontId="75" fillId="10" borderId="149" xfId="0" applyNumberFormat="1" applyFont="1" applyFill="1" applyBorder="1" applyAlignment="1">
      <alignment horizontal="center" vertical="center"/>
    </xf>
    <xf numFmtId="1" fontId="75" fillId="10" borderId="152" xfId="0" applyNumberFormat="1" applyFont="1" applyFill="1" applyBorder="1" applyAlignment="1">
      <alignment horizontal="center" vertical="center"/>
    </xf>
    <xf numFmtId="1" fontId="75" fillId="10" borderId="0" xfId="0" applyNumberFormat="1" applyFont="1" applyFill="1" applyBorder="1" applyAlignment="1">
      <alignment horizontal="center" vertical="center"/>
    </xf>
    <xf numFmtId="1" fontId="75" fillId="10" borderId="147" xfId="0" applyNumberFormat="1" applyFont="1" applyFill="1" applyBorder="1" applyAlignment="1">
      <alignment horizontal="center" vertical="center"/>
    </xf>
    <xf numFmtId="0" fontId="71" fillId="0" borderId="149" xfId="0" applyFont="1" applyBorder="1" applyAlignment="1">
      <alignment vertical="center"/>
    </xf>
    <xf numFmtId="167" fontId="71" fillId="0" borderId="149" xfId="0" applyNumberFormat="1" applyFont="1" applyBorder="1" applyAlignment="1">
      <alignment horizontal="center" vertical="center"/>
    </xf>
    <xf numFmtId="1" fontId="71" fillId="0" borderId="149" xfId="0" applyNumberFormat="1" applyFont="1" applyBorder="1" applyAlignment="1">
      <alignment horizontal="center" vertical="center"/>
    </xf>
    <xf numFmtId="1" fontId="75" fillId="0" borderId="149" xfId="0" applyNumberFormat="1" applyFont="1" applyBorder="1" applyAlignment="1">
      <alignment horizontal="center" vertical="center"/>
    </xf>
    <xf numFmtId="1" fontId="75" fillId="0" borderId="152" xfId="0" applyNumberFormat="1" applyFont="1" applyBorder="1" applyAlignment="1">
      <alignment horizontal="center" vertical="center"/>
    </xf>
    <xf numFmtId="1" fontId="75" fillId="0" borderId="0" xfId="0" applyNumberFormat="1" applyFont="1" applyBorder="1" applyAlignment="1">
      <alignment horizontal="center" vertical="center"/>
    </xf>
    <xf numFmtId="1" fontId="75" fillId="0" borderId="147" xfId="0" applyNumberFormat="1" applyFont="1" applyBorder="1" applyAlignment="1">
      <alignment horizontal="center" vertical="center"/>
    </xf>
    <xf numFmtId="0" fontId="71" fillId="10" borderId="153" xfId="0" applyFont="1" applyFill="1" applyBorder="1" applyAlignment="1">
      <alignment vertical="center"/>
    </xf>
    <xf numFmtId="167" fontId="71" fillId="10" borderId="153" xfId="0" applyNumberFormat="1" applyFont="1" applyFill="1" applyBorder="1" applyAlignment="1">
      <alignment horizontal="center" vertical="center"/>
    </xf>
    <xf numFmtId="1" fontId="71" fillId="10" borderId="153" xfId="0" applyNumberFormat="1" applyFont="1" applyFill="1" applyBorder="1" applyAlignment="1">
      <alignment horizontal="center" vertical="center"/>
    </xf>
    <xf numFmtId="1" fontId="75" fillId="10" borderId="153" xfId="0" applyNumberFormat="1" applyFont="1" applyFill="1" applyBorder="1" applyAlignment="1">
      <alignment horizontal="center" vertical="center"/>
    </xf>
    <xf numFmtId="1" fontId="75" fillId="10" borderId="154" xfId="0" applyNumberFormat="1" applyFont="1" applyFill="1" applyBorder="1" applyAlignment="1">
      <alignment horizontal="center" vertical="center"/>
    </xf>
    <xf numFmtId="1" fontId="75" fillId="10" borderId="155" xfId="0" applyNumberFormat="1" applyFont="1" applyFill="1" applyBorder="1" applyAlignment="1">
      <alignment horizontal="center" vertical="center"/>
    </xf>
    <xf numFmtId="1" fontId="75" fillId="10" borderId="156" xfId="0" applyNumberFormat="1" applyFont="1" applyFill="1" applyBorder="1" applyAlignment="1">
      <alignment horizontal="center" vertical="center"/>
    </xf>
    <xf numFmtId="0" fontId="76" fillId="8" borderId="143" xfId="0" applyFont="1" applyFill="1" applyBorder="1" applyAlignment="1">
      <alignment horizontal="center" vertical="top" wrapText="1"/>
    </xf>
    <xf numFmtId="0" fontId="90" fillId="0" borderId="0" xfId="0" applyFont="1" applyAlignment="1"/>
    <xf numFmtId="167" fontId="8" fillId="0" borderId="10" xfId="4" applyNumberFormat="1" applyFont="1" applyFill="1" applyBorder="1" applyAlignment="1">
      <alignment horizontal="right"/>
    </xf>
    <xf numFmtId="0" fontId="26" fillId="11" borderId="31" xfId="4" applyFont="1" applyFill="1" applyBorder="1" applyAlignment="1">
      <alignment horizontal="center" wrapText="1"/>
    </xf>
    <xf numFmtId="1" fontId="26" fillId="11" borderId="29" xfId="4" applyNumberFormat="1" applyFont="1" applyFill="1" applyBorder="1" applyAlignment="1">
      <alignment horizontal="center" wrapText="1"/>
    </xf>
    <xf numFmtId="1" fontId="26" fillId="11" borderId="28" xfId="4" applyNumberFormat="1" applyFont="1" applyFill="1" applyBorder="1" applyAlignment="1">
      <alignment horizontal="center" wrapText="1"/>
    </xf>
    <xf numFmtId="0" fontId="26" fillId="11" borderId="38" xfId="4" applyFont="1" applyFill="1" applyBorder="1" applyAlignment="1">
      <alignment horizontal="center" wrapText="1"/>
    </xf>
    <xf numFmtId="1" fontId="26" fillId="11" borderId="37" xfId="4" applyNumberFormat="1" applyFont="1" applyFill="1" applyBorder="1" applyAlignment="1">
      <alignment horizontal="center" wrapText="1"/>
    </xf>
    <xf numFmtId="1" fontId="26" fillId="11" borderId="36" xfId="4" applyNumberFormat="1" applyFont="1" applyFill="1" applyBorder="1" applyAlignment="1">
      <alignment horizontal="center" wrapText="1"/>
    </xf>
    <xf numFmtId="0" fontId="26" fillId="11" borderId="35" xfId="4" applyFont="1" applyFill="1" applyBorder="1" applyAlignment="1">
      <alignment horizontal="center" wrapText="1"/>
    </xf>
    <xf numFmtId="1" fontId="26" fillId="11" borderId="33" xfId="4" applyNumberFormat="1" applyFont="1" applyFill="1" applyBorder="1" applyAlignment="1">
      <alignment horizontal="center" wrapText="1"/>
    </xf>
    <xf numFmtId="1" fontId="26" fillId="11" borderId="32" xfId="4" applyNumberFormat="1" applyFont="1" applyFill="1" applyBorder="1" applyAlignment="1">
      <alignment horizontal="center" wrapText="1"/>
    </xf>
    <xf numFmtId="1" fontId="26" fillId="11" borderId="44" xfId="4" applyNumberFormat="1" applyFont="1" applyFill="1" applyBorder="1" applyAlignment="1">
      <alignment horizontal="center" wrapText="1"/>
    </xf>
    <xf numFmtId="1" fontId="26" fillId="11" borderId="43" xfId="4" applyNumberFormat="1" applyFont="1" applyFill="1" applyBorder="1" applyAlignment="1">
      <alignment horizontal="center" wrapText="1"/>
    </xf>
    <xf numFmtId="1" fontId="26" fillId="11" borderId="42" xfId="4" applyNumberFormat="1" applyFont="1" applyFill="1" applyBorder="1" applyAlignment="1">
      <alignment horizontal="center" wrapText="1"/>
    </xf>
    <xf numFmtId="0" fontId="26" fillId="11" borderId="130" xfId="4" applyFont="1" applyFill="1" applyBorder="1" applyAlignment="1">
      <alignment horizontal="center" wrapText="1"/>
    </xf>
    <xf numFmtId="1" fontId="26" fillId="11" borderId="47" xfId="4" applyNumberFormat="1" applyFont="1" applyFill="1" applyBorder="1" applyAlignment="1">
      <alignment horizontal="center" wrapText="1"/>
    </xf>
    <xf numFmtId="1" fontId="26" fillId="11" borderId="108" xfId="4" applyNumberFormat="1" applyFont="1" applyFill="1" applyBorder="1" applyAlignment="1">
      <alignment horizontal="center" wrapText="1"/>
    </xf>
    <xf numFmtId="1" fontId="26" fillId="11" borderId="112" xfId="4" applyNumberFormat="1" applyFont="1" applyFill="1" applyBorder="1" applyAlignment="1">
      <alignment horizontal="center" wrapText="1"/>
    </xf>
    <xf numFmtId="0" fontId="23" fillId="3" borderId="21" xfId="4" applyFont="1" applyFill="1" applyBorder="1" applyAlignment="1">
      <alignment vertical="center" wrapText="1"/>
    </xf>
    <xf numFmtId="0" fontId="23" fillId="3" borderId="103" xfId="4" applyNumberFormat="1" applyFont="1" applyFill="1" applyBorder="1" applyAlignment="1">
      <alignment vertical="center" wrapText="1"/>
    </xf>
    <xf numFmtId="0" fontId="23" fillId="3" borderId="112" xfId="4" applyFont="1" applyFill="1" applyBorder="1" applyAlignment="1">
      <alignment vertical="center" wrapText="1"/>
    </xf>
    <xf numFmtId="0" fontId="23" fillId="3" borderId="101" xfId="4" applyNumberFormat="1" applyFont="1" applyFill="1" applyBorder="1" applyAlignment="1">
      <alignment vertical="center" wrapText="1"/>
    </xf>
    <xf numFmtId="0" fontId="26" fillId="11" borderId="103" xfId="4" applyFont="1" applyFill="1" applyBorder="1" applyAlignment="1">
      <alignment horizontal="center" wrapText="1"/>
    </xf>
    <xf numFmtId="0" fontId="26" fillId="11" borderId="46" xfId="4" applyFont="1" applyFill="1" applyBorder="1" applyAlignment="1">
      <alignment horizontal="center" wrapText="1"/>
    </xf>
    <xf numFmtId="1" fontId="26" fillId="11" borderId="46" xfId="4" applyNumberFormat="1" applyFont="1" applyFill="1" applyBorder="1" applyAlignment="1">
      <alignment horizontal="center" wrapText="1"/>
    </xf>
    <xf numFmtId="1" fontId="26" fillId="11" borderId="68" xfId="4" applyNumberFormat="1" applyFont="1" applyFill="1" applyBorder="1" applyAlignment="1">
      <alignment horizontal="center" wrapText="1"/>
    </xf>
    <xf numFmtId="0" fontId="26" fillId="11" borderId="109" xfId="4" applyFont="1" applyFill="1" applyBorder="1" applyAlignment="1">
      <alignment horizontal="center" wrapText="1"/>
    </xf>
    <xf numFmtId="0" fontId="26" fillId="11" borderId="0" xfId="4" applyFont="1" applyFill="1" applyBorder="1" applyAlignment="1">
      <alignment horizontal="center" wrapText="1"/>
    </xf>
    <xf numFmtId="1" fontId="26" fillId="11" borderId="0" xfId="4" applyNumberFormat="1" applyFont="1" applyFill="1" applyBorder="1" applyAlignment="1">
      <alignment horizontal="center" wrapText="1"/>
    </xf>
    <xf numFmtId="1" fontId="26" fillId="11" borderId="87" xfId="4" applyNumberFormat="1" applyFont="1" applyFill="1" applyBorder="1" applyAlignment="1">
      <alignment horizontal="center" wrapText="1"/>
    </xf>
    <xf numFmtId="0" fontId="26" fillId="11" borderId="101" xfId="4" applyFont="1" applyFill="1" applyBorder="1" applyAlignment="1">
      <alignment horizontal="center" wrapText="1"/>
    </xf>
    <xf numFmtId="0" fontId="26" fillId="11" borderId="47" xfId="4" applyFont="1" applyFill="1" applyBorder="1" applyAlignment="1">
      <alignment horizontal="center" wrapText="1"/>
    </xf>
    <xf numFmtId="1" fontId="26" fillId="11" borderId="157" xfId="4" applyNumberFormat="1" applyFont="1" applyFill="1" applyBorder="1" applyAlignment="1">
      <alignment horizontal="center" wrapText="1"/>
    </xf>
    <xf numFmtId="0" fontId="23" fillId="3" borderId="67" xfId="4" applyFont="1" applyFill="1" applyBorder="1" applyAlignment="1">
      <alignment vertical="center" wrapText="1"/>
    </xf>
    <xf numFmtId="0" fontId="23" fillId="3" borderId="71" xfId="4" applyFont="1" applyFill="1" applyBorder="1" applyAlignment="1">
      <alignment vertical="center" wrapText="1"/>
    </xf>
    <xf numFmtId="1" fontId="26" fillId="11" borderId="38" xfId="4" applyNumberFormat="1" applyFont="1" applyFill="1" applyBorder="1" applyAlignment="1">
      <alignment horizontal="center" wrapText="1"/>
    </xf>
    <xf numFmtId="1" fontId="26" fillId="11" borderId="39" xfId="4" applyNumberFormat="1" applyFont="1" applyFill="1" applyBorder="1" applyAlignment="1">
      <alignment horizontal="center" wrapText="1"/>
    </xf>
    <xf numFmtId="1" fontId="26" fillId="11" borderId="23" xfId="4" applyNumberFormat="1" applyFont="1" applyFill="1" applyBorder="1" applyAlignment="1">
      <alignment horizontal="center" wrapText="1"/>
    </xf>
    <xf numFmtId="1" fontId="26" fillId="11" borderId="49" xfId="4" applyNumberFormat="1" applyFont="1" applyFill="1" applyBorder="1" applyAlignment="1">
      <alignment horizontal="center" wrapText="1"/>
    </xf>
    <xf numFmtId="1" fontId="26" fillId="11" borderId="34" xfId="4" applyNumberFormat="1" applyFont="1" applyFill="1" applyBorder="1" applyAlignment="1">
      <alignment horizontal="center" wrapText="1"/>
    </xf>
    <xf numFmtId="1" fontId="26" fillId="11" borderId="48" xfId="4" applyNumberFormat="1" applyFont="1" applyFill="1" applyBorder="1" applyAlignment="1">
      <alignment horizontal="center" wrapText="1"/>
    </xf>
    <xf numFmtId="1" fontId="26" fillId="11" borderId="30" xfId="4" applyNumberFormat="1" applyFont="1" applyFill="1" applyBorder="1" applyAlignment="1">
      <alignment horizontal="center" wrapText="1"/>
    </xf>
    <xf numFmtId="1" fontId="26" fillId="11" borderId="130" xfId="4" applyNumberFormat="1" applyFont="1" applyFill="1" applyBorder="1" applyAlignment="1">
      <alignment horizontal="center" wrapText="1"/>
    </xf>
    <xf numFmtId="1" fontId="26" fillId="11" borderId="100" xfId="4" applyNumberFormat="1" applyFont="1" applyFill="1" applyBorder="1" applyAlignment="1">
      <alignment horizontal="center" wrapText="1"/>
    </xf>
    <xf numFmtId="1" fontId="26" fillId="11" borderId="158" xfId="4" applyNumberFormat="1" applyFont="1" applyFill="1" applyBorder="1" applyAlignment="1">
      <alignment horizontal="center" wrapText="1"/>
    </xf>
    <xf numFmtId="0" fontId="28" fillId="0" borderId="0" xfId="4" applyFont="1" applyFill="1" applyAlignment="1">
      <alignment horizontal="left" vertical="center" wrapText="1" indent="4"/>
    </xf>
    <xf numFmtId="0" fontId="13" fillId="0" borderId="0" xfId="4" applyNumberFormat="1" applyFont="1" applyAlignment="1">
      <alignment vertical="top" wrapText="1"/>
    </xf>
    <xf numFmtId="0" fontId="8" fillId="0" borderId="0" xfId="4" applyAlignment="1">
      <alignment vertical="top" wrapText="1"/>
    </xf>
    <xf numFmtId="0" fontId="18" fillId="0" borderId="0" xfId="1" applyFont="1" applyAlignment="1" applyProtection="1">
      <alignment horizontal="center" vertical="center" wrapText="1"/>
    </xf>
    <xf numFmtId="0" fontId="73" fillId="0" borderId="0" xfId="0" applyFont="1" applyAlignment="1">
      <alignment horizontal="left" vertical="center" wrapText="1"/>
    </xf>
    <xf numFmtId="0" fontId="28" fillId="0" borderId="0" xfId="4" applyFont="1" applyFill="1" applyAlignment="1">
      <alignment horizontal="left" vertical="center" wrapText="1" indent="4"/>
    </xf>
    <xf numFmtId="0" fontId="8" fillId="0" borderId="0" xfId="4" applyFont="1" applyAlignment="1"/>
    <xf numFmtId="0" fontId="8" fillId="0" borderId="0" xfId="5" applyFont="1" applyFill="1" applyBorder="1" applyAlignment="1"/>
    <xf numFmtId="0" fontId="22" fillId="0" borderId="0" xfId="5" applyFont="1" applyFill="1" applyBorder="1" applyAlignment="1">
      <alignment horizontal="center" vertical="center"/>
    </xf>
    <xf numFmtId="0" fontId="22" fillId="0" borderId="0" xfId="5" applyNumberFormat="1" applyFont="1" applyFill="1" applyBorder="1" applyAlignment="1">
      <alignment horizontal="center" vertical="center"/>
    </xf>
    <xf numFmtId="0" fontId="22" fillId="0" borderId="0" xfId="5" applyNumberFormat="1" applyFont="1" applyFill="1" applyBorder="1" applyAlignment="1">
      <alignment vertical="center"/>
    </xf>
    <xf numFmtId="0" fontId="23" fillId="0" borderId="0" xfId="5" applyFont="1" applyFill="1" applyBorder="1" applyAlignment="1">
      <alignment horizontal="center" vertical="center"/>
    </xf>
    <xf numFmtId="0" fontId="8" fillId="0" borderId="0" xfId="5" applyFont="1" applyFill="1" applyBorder="1" applyAlignment="1">
      <alignment horizontal="center" vertical="center"/>
    </xf>
    <xf numFmtId="0" fontId="22" fillId="0" borderId="0" xfId="5" applyFont="1" applyFill="1" applyBorder="1" applyAlignment="1">
      <alignment vertical="center"/>
    </xf>
    <xf numFmtId="0" fontId="23" fillId="0" borderId="0" xfId="5" applyNumberFormat="1" applyFont="1" applyFill="1" applyBorder="1" applyAlignment="1">
      <alignment horizontal="center" vertical="center"/>
    </xf>
    <xf numFmtId="0" fontId="22" fillId="0" borderId="0" xfId="5" applyNumberFormat="1" applyFont="1" applyFill="1" applyBorder="1" applyAlignment="1">
      <alignment horizontal="right" vertical="center"/>
    </xf>
    <xf numFmtId="0" fontId="26" fillId="0" borderId="0" xfId="5" applyFont="1" applyFill="1" applyBorder="1" applyAlignment="1"/>
    <xf numFmtId="1" fontId="8" fillId="0" borderId="0" xfId="5" applyNumberFormat="1" applyFont="1" applyFill="1" applyBorder="1" applyAlignment="1">
      <alignment horizontal="center"/>
    </xf>
    <xf numFmtId="1" fontId="26" fillId="0" borderId="0" xfId="5" applyNumberFormat="1" applyFont="1" applyFill="1" applyBorder="1" applyAlignment="1">
      <alignment horizontal="center"/>
    </xf>
    <xf numFmtId="0" fontId="26" fillId="0" borderId="0" xfId="5" applyFont="1" applyFill="1" applyBorder="1" applyAlignment="1">
      <alignment horizontal="center"/>
    </xf>
    <xf numFmtId="167" fontId="8" fillId="0" borderId="0" xfId="5" applyNumberFormat="1" applyFont="1" applyFill="1" applyBorder="1" applyAlignment="1"/>
    <xf numFmtId="0" fontId="8" fillId="0" borderId="0" xfId="5" applyFont="1" applyFill="1" applyBorder="1" applyAlignment="1">
      <alignment horizontal="center"/>
    </xf>
    <xf numFmtId="0" fontId="22" fillId="0" borderId="0" xfId="5" applyFont="1" applyFill="1" applyBorder="1" applyAlignment="1">
      <alignment horizontal="left" vertical="center"/>
    </xf>
    <xf numFmtId="164" fontId="22" fillId="0" borderId="0" xfId="5" applyNumberFormat="1" applyFont="1" applyFill="1" applyBorder="1" applyAlignment="1">
      <alignment horizontal="center" vertical="center"/>
    </xf>
    <xf numFmtId="0" fontId="22" fillId="0" borderId="0" xfId="5" applyFont="1" applyFill="1" applyBorder="1" applyAlignment="1">
      <alignment horizontal="right" vertical="center"/>
    </xf>
    <xf numFmtId="167" fontId="8" fillId="0" borderId="0" xfId="5" applyNumberFormat="1" applyFont="1" applyFill="1" applyBorder="1" applyAlignment="1">
      <alignment horizontal="right"/>
    </xf>
    <xf numFmtId="0" fontId="21" fillId="0" borderId="0" xfId="5" applyFont="1" applyFill="1" applyBorder="1" applyAlignment="1"/>
    <xf numFmtId="0" fontId="8" fillId="0" borderId="0" xfId="5" applyFont="1" applyFill="1" applyBorder="1" applyAlignment="1">
      <alignment horizontal="right"/>
    </xf>
    <xf numFmtId="0" fontId="8" fillId="0" borderId="0" xfId="5" applyFont="1" applyFill="1" applyBorder="1" applyAlignment="1">
      <alignment vertical="center"/>
    </xf>
    <xf numFmtId="0" fontId="72" fillId="8" borderId="137" xfId="0" applyFont="1" applyFill="1" applyBorder="1" applyAlignment="1">
      <alignment vertical="center"/>
    </xf>
    <xf numFmtId="0" fontId="72" fillId="8" borderId="159" xfId="0" applyFont="1" applyFill="1" applyBorder="1" applyAlignment="1">
      <alignment vertical="center"/>
    </xf>
    <xf numFmtId="0" fontId="72" fillId="8" borderId="134" xfId="0" applyFont="1" applyFill="1" applyBorder="1" applyAlignment="1">
      <alignment vertical="center"/>
    </xf>
    <xf numFmtId="0" fontId="72" fillId="8" borderId="135" xfId="0" applyFont="1" applyFill="1" applyBorder="1" applyAlignment="1">
      <alignment vertical="center"/>
    </xf>
    <xf numFmtId="0" fontId="73" fillId="0" borderId="0" xfId="0" applyFont="1" applyAlignment="1">
      <alignment vertical="center" wrapText="1"/>
    </xf>
    <xf numFmtId="0" fontId="28" fillId="0" borderId="0" xfId="4" applyFont="1" applyFill="1" applyAlignment="1">
      <alignment vertical="center" wrapText="1"/>
    </xf>
    <xf numFmtId="0" fontId="11" fillId="3" borderId="3" xfId="7" applyFont="1" applyFill="1" applyBorder="1" applyAlignment="1">
      <alignment horizontal="center" vertical="center" wrapText="1"/>
    </xf>
    <xf numFmtId="0" fontId="68" fillId="0" borderId="0" xfId="0" applyFont="1" applyAlignment="1">
      <alignment horizontal="left" vertical="top" wrapText="1" readingOrder="1"/>
    </xf>
    <xf numFmtId="0" fontId="68" fillId="0" borderId="0" xfId="0" applyFont="1" applyAlignment="1">
      <alignment horizontal="left" wrapText="1" readingOrder="1"/>
    </xf>
    <xf numFmtId="0" fontId="8" fillId="0" borderId="0" xfId="4" applyFill="1"/>
    <xf numFmtId="0" fontId="8" fillId="0" borderId="0" xfId="4"/>
    <xf numFmtId="0" fontId="8" fillId="0" borderId="0" xfId="4" applyFill="1" applyAlignment="1">
      <alignment horizontal="center"/>
    </xf>
    <xf numFmtId="0" fontId="71" fillId="0" borderId="148" xfId="0" applyFont="1" applyBorder="1" applyAlignment="1">
      <alignment vertical="center"/>
    </xf>
    <xf numFmtId="0" fontId="71" fillId="0" borderId="148" xfId="0" applyFont="1" applyBorder="1" applyAlignment="1">
      <alignment horizontal="center" vertical="center" wrapText="1"/>
    </xf>
    <xf numFmtId="0" fontId="73" fillId="0" borderId="149" xfId="0" applyFont="1" applyBorder="1" applyAlignment="1">
      <alignment vertical="center" wrapText="1"/>
    </xf>
    <xf numFmtId="0" fontId="71" fillId="0" borderId="149" xfId="0" applyFont="1" applyBorder="1" applyAlignment="1">
      <alignment horizontal="center" vertical="center"/>
    </xf>
    <xf numFmtId="0" fontId="71" fillId="0" borderId="149" xfId="0" applyFont="1" applyBorder="1" applyAlignment="1">
      <alignment horizontal="left" vertical="center" wrapText="1" indent="2"/>
    </xf>
    <xf numFmtId="0" fontId="75" fillId="0" borderId="149" xfId="0" applyFont="1" applyBorder="1" applyAlignment="1">
      <alignment horizontal="center" vertical="center"/>
    </xf>
    <xf numFmtId="166" fontId="75" fillId="0" borderId="149" xfId="0" applyNumberFormat="1" applyFont="1" applyBorder="1" applyAlignment="1">
      <alignment horizontal="center" vertical="center"/>
    </xf>
    <xf numFmtId="0" fontId="75" fillId="0" borderId="149" xfId="0" applyFont="1" applyBorder="1" applyAlignment="1">
      <alignment vertical="center"/>
    </xf>
    <xf numFmtId="166" fontId="71" fillId="0" borderId="149" xfId="0" applyNumberFormat="1" applyFont="1" applyBorder="1" applyAlignment="1">
      <alignment horizontal="center" vertical="center"/>
    </xf>
    <xf numFmtId="0" fontId="71" fillId="0" borderId="149" xfId="0" applyFont="1" applyBorder="1" applyAlignment="1">
      <alignment horizontal="left" vertical="center"/>
    </xf>
    <xf numFmtId="43" fontId="75" fillId="0" borderId="149" xfId="0" applyNumberFormat="1" applyFont="1" applyBorder="1" applyAlignment="1">
      <alignment horizontal="center" vertical="center"/>
    </xf>
    <xf numFmtId="0" fontId="71" fillId="0" borderId="153" xfId="0" applyFont="1" applyBorder="1" applyAlignment="1">
      <alignment vertical="center"/>
    </xf>
    <xf numFmtId="0" fontId="75" fillId="0" borderId="153" xfId="0" applyFont="1" applyBorder="1" applyAlignment="1">
      <alignment horizontal="center" vertical="center"/>
    </xf>
    <xf numFmtId="166" fontId="75" fillId="0" borderId="153" xfId="0" applyNumberFormat="1" applyFont="1" applyBorder="1" applyAlignment="1">
      <alignment horizontal="center" vertical="center"/>
    </xf>
    <xf numFmtId="43" fontId="75" fillId="0" borderId="153" xfId="0" applyNumberFormat="1" applyFont="1" applyBorder="1" applyAlignment="1">
      <alignment horizontal="center" vertical="center"/>
    </xf>
    <xf numFmtId="0" fontId="73" fillId="12" borderId="149" xfId="0" applyFont="1" applyFill="1" applyBorder="1" applyAlignment="1">
      <alignment vertical="center" wrapText="1"/>
    </xf>
    <xf numFmtId="0" fontId="71" fillId="12" borderId="149" xfId="0" applyFont="1" applyFill="1" applyBorder="1" applyAlignment="1">
      <alignment horizontal="center" vertical="center"/>
    </xf>
    <xf numFmtId="167" fontId="71" fillId="12" borderId="149" xfId="0" applyNumberFormat="1" applyFont="1" applyFill="1" applyBorder="1" applyAlignment="1">
      <alignment horizontal="center" vertical="center"/>
    </xf>
    <xf numFmtId="0" fontId="71" fillId="12" borderId="149" xfId="0" applyFont="1" applyFill="1" applyBorder="1" applyAlignment="1">
      <alignment horizontal="left" vertical="center" wrapText="1" indent="2"/>
    </xf>
    <xf numFmtId="166" fontId="71" fillId="12" borderId="149" xfId="0" applyNumberFormat="1" applyFont="1" applyFill="1" applyBorder="1" applyAlignment="1">
      <alignment horizontal="center" vertical="center"/>
    </xf>
    <xf numFmtId="0" fontId="71" fillId="12" borderId="149" xfId="0" applyFont="1" applyFill="1" applyBorder="1" applyAlignment="1">
      <alignment horizontal="center" vertical="center" wrapText="1"/>
    </xf>
    <xf numFmtId="43" fontId="71" fillId="12" borderId="149" xfId="0" applyNumberFormat="1" applyFont="1" applyFill="1" applyBorder="1" applyAlignment="1">
      <alignment horizontal="center" vertical="center"/>
    </xf>
    <xf numFmtId="0" fontId="75" fillId="0" borderId="0" xfId="0" applyFont="1" applyAlignment="1">
      <alignment vertical="center"/>
    </xf>
    <xf numFmtId="0" fontId="22" fillId="3" borderId="20" xfId="4" applyFont="1" applyFill="1" applyBorder="1" applyAlignment="1">
      <alignment horizontal="center" vertical="center" wrapText="1"/>
    </xf>
    <xf numFmtId="0" fontId="22" fillId="3" borderId="160" xfId="4" applyFont="1" applyFill="1" applyBorder="1" applyAlignment="1">
      <alignment horizontal="center" vertical="center" wrapText="1"/>
    </xf>
    <xf numFmtId="0" fontId="22" fillId="3" borderId="128" xfId="4" applyFont="1" applyFill="1" applyBorder="1" applyAlignment="1">
      <alignment horizontal="center" vertical="center"/>
    </xf>
    <xf numFmtId="0" fontId="91" fillId="0" borderId="0" xfId="1" applyFont="1" applyAlignment="1" applyProtection="1">
      <alignment vertical="center"/>
    </xf>
    <xf numFmtId="0" fontId="8" fillId="0" borderId="0" xfId="4" applyAlignment="1">
      <alignment wrapText="1"/>
    </xf>
    <xf numFmtId="0" fontId="18" fillId="0" borderId="0" xfId="1" applyFont="1" applyAlignment="1" applyProtection="1">
      <alignment horizontal="right"/>
    </xf>
    <xf numFmtId="0" fontId="22" fillId="3" borderId="26" xfId="4" applyFont="1" applyFill="1" applyBorder="1" applyAlignment="1">
      <alignment horizontal="center" vertical="center"/>
    </xf>
    <xf numFmtId="0" fontId="8" fillId="0" borderId="0" xfId="4"/>
    <xf numFmtId="0" fontId="22" fillId="3" borderId="24" xfId="4" applyFont="1" applyFill="1" applyBorder="1" applyAlignment="1">
      <alignment horizontal="center" vertical="center"/>
    </xf>
    <xf numFmtId="0" fontId="18" fillId="0" borderId="0" xfId="1" applyFont="1" applyAlignment="1" applyProtection="1">
      <alignment horizontal="right" vertical="center"/>
    </xf>
    <xf numFmtId="0" fontId="13" fillId="0" borderId="0" xfId="4" applyFont="1" applyBorder="1" applyAlignment="1">
      <alignment vertical="center" wrapText="1"/>
    </xf>
    <xf numFmtId="0" fontId="8" fillId="0" borderId="0" xfId="4" applyFill="1"/>
    <xf numFmtId="0" fontId="8" fillId="0" borderId="0" xfId="4"/>
    <xf numFmtId="0" fontId="18" fillId="0" borderId="0" xfId="1" applyFont="1" applyAlignment="1" applyProtection="1"/>
    <xf numFmtId="0" fontId="28" fillId="0" borderId="0" xfId="4" applyFont="1" applyAlignment="1">
      <alignment horizontal="left" vertical="center" wrapText="1" indent="3"/>
    </xf>
    <xf numFmtId="0" fontId="11" fillId="3" borderId="3" xfId="7" applyFont="1" applyFill="1" applyBorder="1" applyAlignment="1">
      <alignment horizontal="center" vertical="center" wrapText="1"/>
    </xf>
    <xf numFmtId="0" fontId="8" fillId="0" borderId="0" xfId="4"/>
    <xf numFmtId="0" fontId="17" fillId="0" borderId="10" xfId="1" applyFill="1" applyBorder="1" applyAlignment="1" applyProtection="1">
      <alignment horizontal="center" vertical="center" wrapText="1"/>
    </xf>
    <xf numFmtId="0" fontId="13" fillId="0" borderId="47" xfId="4" applyFont="1" applyBorder="1" applyAlignment="1">
      <alignment vertical="center" wrapText="1"/>
    </xf>
    <xf numFmtId="0" fontId="17" fillId="0" borderId="87" xfId="1" applyFill="1" applyBorder="1" applyAlignment="1" applyProtection="1">
      <alignment horizontal="center" vertical="center" wrapText="1"/>
    </xf>
    <xf numFmtId="0" fontId="8" fillId="0" borderId="109" xfId="4" applyBorder="1"/>
    <xf numFmtId="0" fontId="8" fillId="0" borderId="0" xfId="4" applyAlignment="1">
      <alignment horizontal="left" indent="1"/>
    </xf>
    <xf numFmtId="0" fontId="8" fillId="0" borderId="0" xfId="4"/>
    <xf numFmtId="0" fontId="12" fillId="0" borderId="0" xfId="7" applyNumberFormat="1" applyFont="1"/>
    <xf numFmtId="0" fontId="92" fillId="0" borderId="0" xfId="10"/>
    <xf numFmtId="0" fontId="95" fillId="0" borderId="0" xfId="4" applyFont="1"/>
    <xf numFmtId="0" fontId="8" fillId="0" borderId="0" xfId="11"/>
    <xf numFmtId="0" fontId="8" fillId="0" borderId="0" xfId="12"/>
    <xf numFmtId="0" fontId="8" fillId="0" borderId="0" xfId="13"/>
    <xf numFmtId="0" fontId="8" fillId="0" borderId="0" xfId="14"/>
    <xf numFmtId="0" fontId="8" fillId="0" borderId="0" xfId="16"/>
    <xf numFmtId="1" fontId="0" fillId="0" borderId="0" xfId="0" applyNumberFormat="1"/>
    <xf numFmtId="0" fontId="8" fillId="0" borderId="0" xfId="17"/>
    <xf numFmtId="0" fontId="13" fillId="0" borderId="0" xfId="4" applyFont="1" applyAlignment="1">
      <alignment horizontal="left" vertical="center" wrapText="1"/>
    </xf>
    <xf numFmtId="0" fontId="13" fillId="0" borderId="0" xfId="4" applyFont="1" applyBorder="1" applyAlignment="1">
      <alignment horizontal="left" vertical="center" wrapText="1"/>
    </xf>
    <xf numFmtId="0" fontId="8" fillId="0" borderId="0" xfId="4" applyAlignment="1">
      <alignment wrapText="1"/>
    </xf>
    <xf numFmtId="0" fontId="18" fillId="0" borderId="0" xfId="1" applyFont="1" applyAlignment="1" applyProtection="1"/>
    <xf numFmtId="0" fontId="9" fillId="0" borderId="0" xfId="4" applyFont="1" applyAlignment="1">
      <alignment horizontal="left" vertical="center" wrapText="1"/>
    </xf>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28" fillId="0" borderId="0" xfId="4" applyFont="1" applyFill="1" applyAlignment="1">
      <alignment horizontal="left" vertical="center" wrapText="1" indent="4"/>
    </xf>
    <xf numFmtId="0" fontId="8" fillId="0" borderId="0" xfId="4"/>
    <xf numFmtId="0" fontId="24" fillId="0" borderId="87" xfId="4" applyFont="1" applyBorder="1" applyAlignment="1">
      <alignment horizontal="center" vertical="center" wrapText="1"/>
    </xf>
    <xf numFmtId="0" fontId="24" fillId="0" borderId="0" xfId="4" applyFont="1" applyBorder="1" applyAlignment="1">
      <alignment horizontal="center" vertical="center" wrapText="1"/>
    </xf>
    <xf numFmtId="0" fontId="18" fillId="0" borderId="0" xfId="1" applyFont="1" applyAlignment="1" applyProtection="1">
      <alignment horizontal="right" vertical="center"/>
    </xf>
    <xf numFmtId="0" fontId="18" fillId="0" borderId="0" xfId="1" applyFont="1" applyAlignment="1" applyProtection="1">
      <alignment horizontal="right" wrapText="1"/>
    </xf>
    <xf numFmtId="0" fontId="8" fillId="0" borderId="0" xfId="4" applyAlignment="1">
      <alignment horizontal="left"/>
    </xf>
    <xf numFmtId="0" fontId="18" fillId="0" borderId="0" xfId="1" applyFont="1" applyAlignment="1" applyProtection="1">
      <alignment horizontal="center" vertical="center" wrapText="1"/>
    </xf>
    <xf numFmtId="0" fontId="6" fillId="0" borderId="0" xfId="0" applyFont="1"/>
    <xf numFmtId="167" fontId="97" fillId="0" borderId="149" xfId="0" applyNumberFormat="1" applyFont="1" applyBorder="1" applyAlignment="1">
      <alignment horizontal="center" vertical="center"/>
    </xf>
    <xf numFmtId="167" fontId="98" fillId="0" borderId="149" xfId="0" applyNumberFormat="1" applyFont="1" applyBorder="1" applyAlignment="1">
      <alignment horizontal="center" vertical="center"/>
    </xf>
    <xf numFmtId="167" fontId="98" fillId="10" borderId="153" xfId="0" applyNumberFormat="1" applyFont="1" applyFill="1" applyBorder="1" applyAlignment="1">
      <alignment horizontal="center" vertical="center"/>
    </xf>
    <xf numFmtId="0" fontId="8" fillId="0" borderId="0" xfId="4" applyAlignment="1">
      <alignment wrapText="1"/>
    </xf>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16" fillId="0" borderId="0" xfId="4" applyFont="1" applyAlignment="1">
      <alignment horizontal="left" vertical="center" wrapText="1"/>
    </xf>
    <xf numFmtId="0" fontId="8" fillId="0" borderId="0" xfId="4"/>
    <xf numFmtId="0" fontId="8" fillId="0" borderId="0" xfId="4" applyAlignment="1">
      <alignment wrapText="1"/>
    </xf>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8" fillId="0" borderId="0" xfId="4"/>
    <xf numFmtId="0" fontId="39" fillId="0" borderId="10" xfId="4" applyFont="1" applyFill="1" applyBorder="1" applyAlignment="1">
      <alignment horizontal="center" vertical="center" wrapText="1"/>
    </xf>
    <xf numFmtId="167" fontId="39" fillId="0" borderId="10" xfId="4" applyNumberFormat="1" applyFont="1" applyFill="1" applyBorder="1" applyAlignment="1">
      <alignment horizontal="center" vertical="center" wrapText="1"/>
    </xf>
    <xf numFmtId="9" fontId="86" fillId="0" borderId="10" xfId="4" applyNumberFormat="1" applyFont="1" applyFill="1" applyBorder="1" applyAlignment="1">
      <alignment horizontal="center" vertical="center" wrapText="1"/>
    </xf>
    <xf numFmtId="1" fontId="39" fillId="0" borderId="10" xfId="4" applyNumberFormat="1" applyFont="1" applyFill="1" applyBorder="1" applyAlignment="1">
      <alignment horizontal="center" vertical="center" wrapText="1"/>
    </xf>
    <xf numFmtId="0" fontId="39" fillId="0" borderId="10" xfId="4" applyNumberFormat="1" applyFont="1" applyBorder="1" applyAlignment="1">
      <alignment horizontal="center" vertical="center" wrapText="1"/>
    </xf>
    <xf numFmtId="167" fontId="89" fillId="0" borderId="149" xfId="0" applyNumberFormat="1" applyFont="1" applyBorder="1" applyAlignment="1">
      <alignment horizontal="center" vertical="center"/>
    </xf>
    <xf numFmtId="167" fontId="75" fillId="10" borderId="149" xfId="0" applyNumberFormat="1" applyFont="1" applyFill="1" applyBorder="1" applyAlignment="1">
      <alignment horizontal="center" vertical="center"/>
    </xf>
    <xf numFmtId="167" fontId="75" fillId="0" borderId="149" xfId="0" applyNumberFormat="1" applyFont="1" applyBorder="1" applyAlignment="1">
      <alignment horizontal="center" vertical="center"/>
    </xf>
    <xf numFmtId="0" fontId="6" fillId="0" borderId="0" xfId="0" applyFont="1" applyFill="1" applyAlignment="1">
      <alignment horizontal="center" vertical="center"/>
    </xf>
    <xf numFmtId="0" fontId="5" fillId="0" borderId="0" xfId="0" applyFont="1"/>
    <xf numFmtId="0" fontId="5" fillId="0" borderId="0" xfId="0" applyFont="1" applyFill="1"/>
    <xf numFmtId="0" fontId="8" fillId="0" borderId="0" xfId="4" applyAlignment="1">
      <alignment wrapText="1"/>
    </xf>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16" fillId="0" borderId="0" xfId="4" applyFont="1" applyAlignment="1">
      <alignment horizontal="left" vertical="center" wrapText="1"/>
    </xf>
    <xf numFmtId="0" fontId="8" fillId="0" borderId="0" xfId="4"/>
    <xf numFmtId="0" fontId="4" fillId="0" borderId="0" xfId="0" applyFont="1"/>
    <xf numFmtId="0" fontId="8" fillId="0" borderId="0" xfId="4" applyAlignment="1">
      <alignment wrapText="1"/>
    </xf>
    <xf numFmtId="0" fontId="18" fillId="0" borderId="0" xfId="1" applyFont="1" applyAlignment="1" applyProtection="1"/>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8" fillId="0" borderId="0" xfId="4" applyAlignment="1">
      <alignment vertical="center" wrapText="1"/>
    </xf>
    <xf numFmtId="0" fontId="8" fillId="0" borderId="0" xfId="4"/>
    <xf numFmtId="0" fontId="24" fillId="0" borderId="87" xfId="4" applyFont="1" applyBorder="1" applyAlignment="1">
      <alignment horizontal="center" vertical="center" wrapText="1"/>
    </xf>
    <xf numFmtId="0" fontId="24" fillId="0" borderId="0" xfId="4" applyFont="1" applyBorder="1" applyAlignment="1">
      <alignment horizontal="center" vertical="center" wrapText="1"/>
    </xf>
    <xf numFmtId="0" fontId="18" fillId="0" borderId="0" xfId="1" applyFont="1" applyAlignment="1" applyProtection="1">
      <alignment horizontal="center" vertical="center" wrapText="1"/>
    </xf>
    <xf numFmtId="0" fontId="100" fillId="3" borderId="24" xfId="4" applyFont="1" applyFill="1" applyBorder="1" applyAlignment="1">
      <alignment vertical="center" wrapText="1"/>
    </xf>
    <xf numFmtId="0" fontId="100" fillId="3" borderId="169" xfId="4" applyFont="1" applyFill="1" applyBorder="1" applyAlignment="1">
      <alignment vertical="center" wrapText="1"/>
    </xf>
    <xf numFmtId="0" fontId="22" fillId="3" borderId="38" xfId="4" applyFont="1" applyFill="1" applyBorder="1" applyAlignment="1">
      <alignment horizontal="center" vertical="center" wrapText="1"/>
    </xf>
    <xf numFmtId="167" fontId="8" fillId="0" borderId="10" xfId="4" applyNumberFormat="1" applyBorder="1" applyAlignment="1">
      <alignment horizontal="center"/>
    </xf>
    <xf numFmtId="1" fontId="8" fillId="0" borderId="10" xfId="4" applyNumberFormat="1" applyBorder="1" applyAlignment="1">
      <alignment horizontal="center"/>
    </xf>
    <xf numFmtId="167" fontId="8" fillId="0" borderId="10" xfId="4" applyNumberFormat="1" applyBorder="1" applyAlignment="1">
      <alignment horizontal="center" vertical="center"/>
    </xf>
    <xf numFmtId="0" fontId="9" fillId="0" borderId="10" xfId="4" applyFont="1" applyBorder="1"/>
    <xf numFmtId="167" fontId="9" fillId="0" borderId="10" xfId="4" applyNumberFormat="1" applyFont="1" applyBorder="1" applyAlignment="1">
      <alignment horizontal="center"/>
    </xf>
    <xf numFmtId="1" fontId="9" fillId="0" borderId="10" xfId="4" applyNumberFormat="1" applyFont="1" applyBorder="1" applyAlignment="1">
      <alignment horizontal="center"/>
    </xf>
    <xf numFmtId="0" fontId="37" fillId="3" borderId="24" xfId="4" applyFont="1" applyFill="1" applyBorder="1" applyAlignment="1">
      <alignment vertical="center" wrapText="1"/>
    </xf>
    <xf numFmtId="0" fontId="8" fillId="0" borderId="10" xfId="4" applyFont="1" applyBorder="1"/>
    <xf numFmtId="167" fontId="8" fillId="0" borderId="10" xfId="4" applyNumberFormat="1" applyFont="1" applyBorder="1" applyAlignment="1">
      <alignment horizontal="center"/>
    </xf>
    <xf numFmtId="1" fontId="8" fillId="0" borderId="10" xfId="4" applyNumberFormat="1" applyFont="1" applyBorder="1" applyAlignment="1">
      <alignment horizontal="center"/>
    </xf>
    <xf numFmtId="0" fontId="8" fillId="0" borderId="10" xfId="4" applyFont="1" applyBorder="1" applyAlignment="1">
      <alignment horizontal="center" vertical="center"/>
    </xf>
    <xf numFmtId="167" fontId="8" fillId="0" borderId="20" xfId="4" applyNumberFormat="1" applyFill="1" applyBorder="1" applyAlignment="1">
      <alignment wrapText="1"/>
    </xf>
    <xf numFmtId="167" fontId="8" fillId="0" borderId="68" xfId="4" applyNumberFormat="1" applyFill="1" applyBorder="1" applyAlignment="1">
      <alignment wrapText="1"/>
    </xf>
    <xf numFmtId="167" fontId="8" fillId="0" borderId="46" xfId="4" applyNumberFormat="1" applyFill="1" applyBorder="1" applyAlignment="1">
      <alignment wrapText="1"/>
    </xf>
    <xf numFmtId="167" fontId="8" fillId="0" borderId="103" xfId="4" applyNumberFormat="1" applyFill="1" applyBorder="1" applyAlignment="1">
      <alignment wrapText="1"/>
    </xf>
    <xf numFmtId="167" fontId="8" fillId="0" borderId="40" xfId="4" applyNumberFormat="1" applyFill="1" applyBorder="1" applyAlignment="1">
      <alignment wrapText="1"/>
    </xf>
    <xf numFmtId="165" fontId="8" fillId="0" borderId="59" xfId="4" applyNumberFormat="1" applyFont="1" applyFill="1" applyBorder="1" applyAlignment="1">
      <alignment horizontal="left" vertical="center" wrapText="1"/>
    </xf>
    <xf numFmtId="165" fontId="8" fillId="0" borderId="0" xfId="4" applyNumberFormat="1" applyFont="1" applyFill="1" applyBorder="1" applyAlignment="1">
      <alignment horizontal="left" vertical="center" wrapText="1"/>
    </xf>
    <xf numFmtId="0" fontId="8" fillId="0" borderId="170" xfId="20" applyFont="1" applyBorder="1" applyAlignment="1">
      <alignment vertical="center" wrapText="1"/>
    </xf>
    <xf numFmtId="0" fontId="102" fillId="3" borderId="46" xfId="4" applyNumberFormat="1" applyFont="1" applyFill="1" applyBorder="1" applyAlignment="1">
      <alignment horizontal="center" vertical="center" wrapText="1"/>
    </xf>
    <xf numFmtId="0" fontId="8" fillId="0" borderId="0" xfId="4" applyAlignment="1">
      <alignment wrapText="1"/>
    </xf>
    <xf numFmtId="0" fontId="18" fillId="0" borderId="0" xfId="1" applyFont="1" applyAlignment="1" applyProtection="1"/>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8" fillId="0" borderId="0" xfId="4" applyFill="1"/>
    <xf numFmtId="0" fontId="8" fillId="0" borderId="0" xfId="4"/>
    <xf numFmtId="0" fontId="24" fillId="0" borderId="87" xfId="4" applyFont="1" applyBorder="1" applyAlignment="1">
      <alignment horizontal="center" vertical="center" wrapText="1"/>
    </xf>
    <xf numFmtId="0" fontId="24" fillId="0" borderId="0" xfId="4" applyFont="1" applyBorder="1" applyAlignment="1">
      <alignment horizontal="center" vertical="center" wrapText="1"/>
    </xf>
    <xf numFmtId="0" fontId="18" fillId="0" borderId="0" xfId="1" applyFont="1" applyAlignment="1" applyProtection="1">
      <alignment horizontal="center" vertical="center" wrapText="1"/>
    </xf>
    <xf numFmtId="0" fontId="73" fillId="0" borderId="0" xfId="0" applyFont="1" applyAlignment="1">
      <alignment horizontal="left" vertical="center" wrapText="1"/>
    </xf>
    <xf numFmtId="0" fontId="8" fillId="0" borderId="0" xfId="4" applyAlignment="1">
      <alignment wrapText="1"/>
    </xf>
    <xf numFmtId="0" fontId="18" fillId="0" borderId="0" xfId="1" applyFont="1" applyAlignment="1" applyProtection="1">
      <alignment horizontal="right"/>
    </xf>
    <xf numFmtId="0" fontId="8" fillId="0" borderId="0" xfId="4"/>
    <xf numFmtId="0" fontId="28" fillId="0" borderId="0" xfId="4" applyFont="1" applyFill="1" applyAlignment="1">
      <alignment horizontal="left" vertical="center" wrapText="1" indent="4"/>
    </xf>
    <xf numFmtId="0" fontId="22" fillId="3" borderId="26" xfId="4" applyFont="1" applyFill="1" applyBorder="1" applyAlignment="1">
      <alignment horizontal="center" vertical="center"/>
    </xf>
    <xf numFmtId="0" fontId="22" fillId="3" borderId="24" xfId="4" applyFont="1" applyFill="1" applyBorder="1" applyAlignment="1">
      <alignment horizontal="center" vertical="center"/>
    </xf>
    <xf numFmtId="0" fontId="18" fillId="0" borderId="0" xfId="1" applyFont="1" applyAlignment="1" applyProtection="1">
      <alignment horizontal="right" vertical="center"/>
    </xf>
    <xf numFmtId="0" fontId="82" fillId="8" borderId="171" xfId="0" applyFont="1" applyFill="1" applyBorder="1" applyAlignment="1">
      <alignment horizontal="center" vertical="center"/>
    </xf>
    <xf numFmtId="0" fontId="8" fillId="0" borderId="0" xfId="4" applyAlignment="1">
      <alignment wrapText="1"/>
    </xf>
    <xf numFmtId="0" fontId="18" fillId="0" borderId="0" xfId="1" applyFont="1" applyAlignment="1" applyProtection="1"/>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8" fillId="0" borderId="0" xfId="4"/>
    <xf numFmtId="0" fontId="8" fillId="0" borderId="0" xfId="4" applyAlignment="1">
      <alignment horizontal="left"/>
    </xf>
    <xf numFmtId="0" fontId="18" fillId="0" borderId="0" xfId="1" applyFont="1" applyAlignment="1" applyProtection="1">
      <alignment horizontal="center" vertical="center" wrapText="1"/>
    </xf>
    <xf numFmtId="167" fontId="8" fillId="0" borderId="0" xfId="4" applyNumberFormat="1"/>
    <xf numFmtId="0" fontId="72" fillId="0" borderId="146" xfId="0" applyFont="1" applyFill="1" applyBorder="1" applyAlignment="1">
      <alignment vertical="center" wrapText="1"/>
    </xf>
    <xf numFmtId="0" fontId="72" fillId="0" borderId="0" xfId="0" applyFont="1" applyFill="1" applyBorder="1" applyAlignment="1">
      <alignment vertical="center" wrapText="1"/>
    </xf>
    <xf numFmtId="0" fontId="72" fillId="0" borderId="0" xfId="0" applyFont="1" applyFill="1" applyBorder="1" applyAlignment="1">
      <alignment horizontal="center" vertical="center"/>
    </xf>
    <xf numFmtId="0" fontId="71" fillId="0" borderId="0" xfId="0" applyFont="1" applyFill="1" applyBorder="1"/>
    <xf numFmtId="166" fontId="71" fillId="0" borderId="0" xfId="0" applyNumberFormat="1" applyFont="1" applyFill="1" applyBorder="1"/>
    <xf numFmtId="0" fontId="8" fillId="0" borderId="0" xfId="4" applyAlignment="1">
      <alignment wrapText="1"/>
    </xf>
    <xf numFmtId="0" fontId="18" fillId="0" borderId="0" xfId="1" applyFont="1" applyAlignment="1" applyProtection="1"/>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8" fillId="0" borderId="0" xfId="4"/>
    <xf numFmtId="0" fontId="8" fillId="0" borderId="0" xfId="4" applyAlignment="1">
      <alignment horizontal="left"/>
    </xf>
    <xf numFmtId="0" fontId="18" fillId="0" borderId="0" xfId="1" applyFont="1" applyAlignment="1" applyProtection="1">
      <alignment horizontal="center" vertical="center" wrapText="1"/>
    </xf>
    <xf numFmtId="1" fontId="26" fillId="11" borderId="101" xfId="4" applyNumberFormat="1" applyFont="1" applyFill="1" applyBorder="1" applyAlignment="1">
      <alignment horizontal="center" wrapText="1"/>
    </xf>
    <xf numFmtId="1" fontId="26" fillId="11" borderId="109" xfId="4" applyNumberFormat="1" applyFont="1" applyFill="1" applyBorder="1" applyAlignment="1">
      <alignment horizontal="center" wrapText="1"/>
    </xf>
    <xf numFmtId="1" fontId="26" fillId="11" borderId="103" xfId="4" applyNumberFormat="1" applyFont="1" applyFill="1" applyBorder="1" applyAlignment="1">
      <alignment horizontal="center" wrapText="1"/>
    </xf>
    <xf numFmtId="0" fontId="13" fillId="0" borderId="0" xfId="4" applyFont="1" applyAlignment="1">
      <alignment horizontal="left" vertical="center" wrapText="1"/>
    </xf>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11" fillId="3" borderId="3" xfId="7" applyFont="1" applyFill="1" applyBorder="1" applyAlignment="1">
      <alignment horizontal="center" vertical="center" wrapText="1"/>
    </xf>
    <xf numFmtId="0" fontId="8" fillId="0" borderId="0" xfId="4" applyFill="1"/>
    <xf numFmtId="0" fontId="8" fillId="0" borderId="0" xfId="4"/>
    <xf numFmtId="0" fontId="8" fillId="0" borderId="10" xfId="4" applyFont="1" applyFill="1" applyBorder="1" applyAlignment="1">
      <alignment horizontal="left" vertical="center" wrapText="1" indent="1"/>
    </xf>
    <xf numFmtId="0" fontId="8" fillId="0" borderId="101" xfId="4" applyBorder="1" applyAlignment="1">
      <alignment vertical="center"/>
    </xf>
    <xf numFmtId="0" fontId="9" fillId="0" borderId="88" xfId="4" applyFont="1" applyBorder="1" applyAlignment="1">
      <alignment wrapText="1"/>
    </xf>
    <xf numFmtId="0" fontId="8" fillId="0" borderId="161" xfId="4" applyBorder="1"/>
    <xf numFmtId="0" fontId="8" fillId="0" borderId="162" xfId="4" applyBorder="1"/>
    <xf numFmtId="0" fontId="8" fillId="0" borderId="163" xfId="4" applyBorder="1"/>
    <xf numFmtId="0" fontId="0" fillId="4" borderId="164" xfId="0" applyFill="1" applyBorder="1"/>
    <xf numFmtId="0" fontId="58" fillId="0" borderId="0" xfId="0" applyFont="1" applyBorder="1"/>
    <xf numFmtId="0" fontId="0" fillId="0" borderId="165" xfId="0" applyBorder="1"/>
    <xf numFmtId="0" fontId="0" fillId="5" borderId="164" xfId="0" applyFill="1" applyBorder="1"/>
    <xf numFmtId="0" fontId="0" fillId="6" borderId="164" xfId="0" applyFill="1" applyBorder="1"/>
    <xf numFmtId="0" fontId="0" fillId="7" borderId="164" xfId="0" applyFill="1" applyBorder="1"/>
    <xf numFmtId="0" fontId="0" fillId="0" borderId="164" xfId="0" applyBorder="1"/>
    <xf numFmtId="0" fontId="8" fillId="0" borderId="166" xfId="4" applyBorder="1"/>
    <xf numFmtId="0" fontId="8" fillId="0" borderId="167" xfId="4" applyBorder="1"/>
    <xf numFmtId="0" fontId="8" fillId="0" borderId="168" xfId="4" applyBorder="1"/>
    <xf numFmtId="0" fontId="8" fillId="0" borderId="10" xfId="7" applyFont="1" applyFill="1" applyBorder="1" applyAlignment="1">
      <alignment horizontal="left" vertical="center" wrapText="1" indent="1"/>
    </xf>
    <xf numFmtId="0" fontId="8" fillId="0" borderId="10" xfId="4" applyFont="1" applyFill="1" applyBorder="1" applyAlignment="1">
      <alignment horizontal="left" vertical="center" indent="1"/>
    </xf>
    <xf numFmtId="0" fontId="21" fillId="0" borderId="10" xfId="4" applyFont="1" applyFill="1" applyBorder="1" applyAlignment="1">
      <alignment horizontal="left" vertical="center" wrapText="1" indent="1"/>
    </xf>
    <xf numFmtId="1" fontId="26" fillId="11" borderId="172" xfId="4" applyNumberFormat="1" applyFont="1" applyFill="1" applyBorder="1" applyAlignment="1">
      <alignment horizontal="center" wrapText="1"/>
    </xf>
    <xf numFmtId="1" fontId="26" fillId="11" borderId="173" xfId="4" applyNumberFormat="1" applyFont="1" applyFill="1" applyBorder="1" applyAlignment="1">
      <alignment horizontal="center" wrapText="1"/>
    </xf>
    <xf numFmtId="0" fontId="26" fillId="11" borderId="174" xfId="4" applyFont="1" applyFill="1" applyBorder="1" applyAlignment="1">
      <alignment horizontal="center" wrapText="1"/>
    </xf>
    <xf numFmtId="1" fontId="26" fillId="11" borderId="175" xfId="4" applyNumberFormat="1" applyFont="1" applyFill="1" applyBorder="1" applyAlignment="1">
      <alignment horizontal="center" wrapText="1"/>
    </xf>
    <xf numFmtId="1" fontId="26" fillId="11" borderId="176" xfId="4" applyNumberFormat="1" applyFont="1" applyFill="1" applyBorder="1" applyAlignment="1">
      <alignment horizontal="center" wrapText="1"/>
    </xf>
    <xf numFmtId="0" fontId="26" fillId="11" borderId="177" xfId="4" applyFont="1" applyFill="1" applyBorder="1" applyAlignment="1">
      <alignment horizontal="center" wrapText="1"/>
    </xf>
    <xf numFmtId="167" fontId="8" fillId="0" borderId="0" xfId="4" applyNumberFormat="1" applyAlignment="1">
      <alignment wrapText="1"/>
    </xf>
    <xf numFmtId="167" fontId="42" fillId="0" borderId="0" xfId="5" applyNumberFormat="1"/>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8" fillId="0" borderId="0" xfId="4"/>
    <xf numFmtId="0" fontId="22" fillId="3" borderId="84" xfId="4" applyFont="1" applyFill="1" applyBorder="1" applyAlignment="1">
      <alignment horizontal="center" vertical="center" wrapText="1"/>
    </xf>
    <xf numFmtId="0" fontId="13" fillId="0" borderId="0" xfId="4" applyFont="1" applyAlignment="1">
      <alignment wrapText="1"/>
    </xf>
    <xf numFmtId="0" fontId="8" fillId="0" borderId="0" xfId="4"/>
    <xf numFmtId="0" fontId="8" fillId="0" borderId="0" xfId="4" applyBorder="1"/>
    <xf numFmtId="0" fontId="0" fillId="0" borderId="0" xfId="0" applyFill="1" applyBorder="1"/>
    <xf numFmtId="0" fontId="58" fillId="0" borderId="0" xfId="0" applyFont="1" applyFill="1" applyBorder="1"/>
    <xf numFmtId="0" fontId="28" fillId="0" borderId="0" xfId="4" applyFont="1"/>
    <xf numFmtId="0" fontId="104" fillId="0" borderId="0" xfId="4" applyFont="1"/>
    <xf numFmtId="0" fontId="104" fillId="0" borderId="0" xfId="4" applyFont="1" applyAlignment="1">
      <alignment horizontal="right" wrapText="1"/>
    </xf>
    <xf numFmtId="0" fontId="105" fillId="0" borderId="146" xfId="0" applyFont="1" applyFill="1" applyBorder="1" applyAlignment="1">
      <alignment horizontal="center" vertical="center"/>
    </xf>
    <xf numFmtId="0" fontId="104" fillId="0" borderId="152" xfId="0" applyFont="1" applyFill="1" applyBorder="1"/>
    <xf numFmtId="1" fontId="74" fillId="0" borderId="28" xfId="4" applyNumberFormat="1" applyFont="1" applyFill="1" applyBorder="1" applyAlignment="1">
      <alignment horizontal="center" wrapText="1"/>
    </xf>
    <xf numFmtId="1" fontId="74" fillId="0" borderId="30" xfId="4" applyNumberFormat="1" applyFont="1" applyFill="1" applyBorder="1" applyAlignment="1">
      <alignment horizontal="center" wrapText="1"/>
    </xf>
    <xf numFmtId="1" fontId="74" fillId="0" borderId="32" xfId="4" applyNumberFormat="1" applyFont="1" applyFill="1" applyBorder="1" applyAlignment="1">
      <alignment horizontal="center" wrapText="1"/>
    </xf>
    <xf numFmtId="1" fontId="74" fillId="0" borderId="34" xfId="4" applyNumberFormat="1" applyFont="1" applyFill="1" applyBorder="1" applyAlignment="1">
      <alignment horizontal="center" wrapText="1"/>
    </xf>
    <xf numFmtId="0" fontId="39" fillId="0" borderId="10" xfId="4" applyFont="1" applyBorder="1" applyAlignment="1">
      <alignment horizontal="left" vertical="center" wrapText="1" indent="2"/>
    </xf>
    <xf numFmtId="0" fontId="39" fillId="0" borderId="10" xfId="4" applyFont="1" applyFill="1" applyBorder="1" applyAlignment="1">
      <alignment horizontal="left" vertical="center" wrapText="1" indent="2"/>
    </xf>
    <xf numFmtId="0" fontId="22" fillId="3" borderId="45" xfId="4" applyFont="1" applyFill="1" applyBorder="1" applyAlignment="1">
      <alignment horizontal="left" vertical="center" wrapText="1" indent="2"/>
    </xf>
    <xf numFmtId="0" fontId="9" fillId="0" borderId="0" xfId="5" applyFont="1" applyAlignment="1">
      <alignment horizontal="left"/>
    </xf>
    <xf numFmtId="0" fontId="32" fillId="0" borderId="0" xfId="1" applyFont="1" applyBorder="1" applyAlignment="1" applyProtection="1">
      <alignment horizontal="center" vertical="center"/>
    </xf>
    <xf numFmtId="0" fontId="18" fillId="0" borderId="0" xfId="1" applyFont="1" applyAlignment="1" applyProtection="1"/>
    <xf numFmtId="0" fontId="18" fillId="0" borderId="0" xfId="1" applyFont="1" applyAlignment="1" applyProtection="1">
      <alignment horizontal="right" vertical="center" wrapText="1"/>
    </xf>
    <xf numFmtId="0" fontId="18" fillId="0" borderId="0" xfId="1" applyFont="1" applyAlignment="1" applyProtection="1">
      <alignment horizontal="right"/>
    </xf>
    <xf numFmtId="0" fontId="8" fillId="0" borderId="0" xfId="4"/>
    <xf numFmtId="0" fontId="16" fillId="0" borderId="0" xfId="4" applyFont="1" applyAlignment="1">
      <alignment horizontal="left" vertical="center" wrapText="1"/>
    </xf>
    <xf numFmtId="0" fontId="22" fillId="3" borderId="26" xfId="4" applyFont="1" applyFill="1" applyBorder="1" applyAlignment="1">
      <alignment horizontal="center" vertical="center" wrapText="1"/>
    </xf>
    <xf numFmtId="0" fontId="2" fillId="0" borderId="0" xfId="0" applyFont="1" applyAlignment="1">
      <alignment horizontal="center" vertical="center"/>
    </xf>
    <xf numFmtId="166" fontId="2" fillId="0" borderId="0" xfId="0" applyNumberFormat="1" applyFont="1" applyAlignment="1">
      <alignment horizontal="center" vertical="center"/>
    </xf>
    <xf numFmtId="0" fontId="8" fillId="0" borderId="0" xfId="4" applyFont="1" applyAlignment="1">
      <alignment vertical="center" wrapText="1"/>
    </xf>
    <xf numFmtId="17" fontId="2" fillId="0" borderId="136" xfId="0" applyNumberFormat="1" applyFont="1" applyFill="1" applyBorder="1" applyAlignment="1">
      <alignment horizontal="center" vertical="center"/>
    </xf>
    <xf numFmtId="0" fontId="2" fillId="0" borderId="136" xfId="0" applyFont="1" applyFill="1" applyBorder="1" applyAlignment="1">
      <alignment horizontal="center" vertical="center" wrapText="1"/>
    </xf>
    <xf numFmtId="166" fontId="2" fillId="0" borderId="136" xfId="0" applyNumberFormat="1" applyFont="1" applyFill="1" applyBorder="1" applyAlignment="1">
      <alignment horizontal="center" vertical="center" wrapText="1"/>
    </xf>
    <xf numFmtId="0" fontId="2" fillId="0" borderId="136" xfId="0" applyFont="1" applyFill="1" applyBorder="1" applyAlignment="1">
      <alignment horizontal="center" vertical="center"/>
    </xf>
    <xf numFmtId="166" fontId="2" fillId="0" borderId="136" xfId="0" applyNumberFormat="1" applyFont="1" applyFill="1" applyBorder="1" applyAlignment="1">
      <alignment horizontal="center" vertical="center"/>
    </xf>
    <xf numFmtId="0" fontId="72" fillId="8" borderId="178" xfId="0" applyFont="1" applyFill="1" applyBorder="1" applyAlignment="1">
      <alignment horizontal="center" vertical="center"/>
    </xf>
    <xf numFmtId="0" fontId="72" fillId="8" borderId="179" xfId="0" applyFont="1" applyFill="1" applyBorder="1" applyAlignment="1">
      <alignment horizontal="center" vertical="center" wrapText="1"/>
    </xf>
    <xf numFmtId="0" fontId="72" fillId="8" borderId="180" xfId="0" applyFont="1" applyFill="1" applyBorder="1" applyAlignment="1">
      <alignment horizontal="center" vertical="center" wrapText="1"/>
    </xf>
    <xf numFmtId="1" fontId="8" fillId="0" borderId="10" xfId="4" applyNumberFormat="1" applyFont="1" applyBorder="1" applyAlignment="1">
      <alignment horizontal="center" vertical="center"/>
    </xf>
    <xf numFmtId="0" fontId="8" fillId="0" borderId="0" xfId="4" applyBorder="1" applyAlignment="1">
      <alignment vertical="center"/>
    </xf>
    <xf numFmtId="0" fontId="103" fillId="0" borderId="0" xfId="1" applyFont="1" applyBorder="1" applyAlignment="1" applyProtection="1">
      <alignment horizontal="center" vertical="center"/>
    </xf>
    <xf numFmtId="0" fontId="107" fillId="0" borderId="0" xfId="1" applyFont="1" applyBorder="1" applyAlignment="1" applyProtection="1">
      <alignment vertical="center"/>
    </xf>
    <xf numFmtId="0" fontId="108" fillId="0" borderId="0" xfId="7" applyFont="1"/>
    <xf numFmtId="0" fontId="12" fillId="0" borderId="0" xfId="7" applyFont="1" applyBorder="1" applyAlignment="1"/>
    <xf numFmtId="0" fontId="93" fillId="0" borderId="0" xfId="17" applyFont="1" applyBorder="1" applyAlignment="1">
      <alignment horizontal="center" vertical="center"/>
    </xf>
    <xf numFmtId="0" fontId="96" fillId="2" borderId="0" xfId="17" applyFont="1" applyFill="1" applyBorder="1" applyAlignment="1"/>
    <xf numFmtId="0" fontId="8" fillId="0" borderId="0" xfId="17" applyBorder="1" applyAlignment="1"/>
    <xf numFmtId="0" fontId="96" fillId="0" borderId="0" xfId="17" applyFont="1" applyBorder="1" applyAlignment="1">
      <alignment horizontal="left"/>
    </xf>
    <xf numFmtId="0" fontId="96" fillId="0" borderId="0" xfId="17" applyFont="1" applyBorder="1" applyAlignment="1">
      <alignment horizontal="center"/>
    </xf>
    <xf numFmtId="0" fontId="96" fillId="0" borderId="0" xfId="17" applyFont="1" applyBorder="1" applyAlignment="1">
      <alignment horizontal="left" vertical="top"/>
    </xf>
    <xf numFmtId="169" fontId="96" fillId="0" borderId="0" xfId="17" applyNumberFormat="1" applyFont="1" applyBorder="1" applyAlignment="1">
      <alignment horizontal="right" vertical="center"/>
    </xf>
    <xf numFmtId="0" fontId="0" fillId="0" borderId="0" xfId="0" applyBorder="1" applyAlignment="1"/>
    <xf numFmtId="0" fontId="108" fillId="0" borderId="181" xfId="7" applyFont="1" applyFill="1" applyBorder="1" applyAlignment="1">
      <alignment horizontal="center" vertical="center"/>
    </xf>
    <xf numFmtId="0" fontId="108" fillId="0" borderId="181" xfId="7" applyFont="1" applyBorder="1" applyAlignment="1">
      <alignment horizontal="center"/>
    </xf>
    <xf numFmtId="0" fontId="108" fillId="0" borderId="181" xfId="6" applyFont="1" applyFill="1" applyBorder="1" applyAlignment="1">
      <alignment horizontal="center" vertical="center"/>
    </xf>
    <xf numFmtId="0" fontId="93" fillId="0" borderId="0" xfId="14" applyFont="1" applyBorder="1" applyAlignment="1">
      <alignment horizontal="center" vertical="center"/>
    </xf>
    <xf numFmtId="0" fontId="96" fillId="2" borderId="0" xfId="14" applyFont="1" applyFill="1" applyBorder="1" applyAlignment="1"/>
    <xf numFmtId="0" fontId="8" fillId="0" borderId="0" xfId="14" applyBorder="1" applyAlignment="1"/>
    <xf numFmtId="0" fontId="96" fillId="0" borderId="0" xfId="14" applyFont="1" applyBorder="1" applyAlignment="1">
      <alignment horizontal="left"/>
    </xf>
    <xf numFmtId="0" fontId="96" fillId="0" borderId="0" xfId="14" applyFont="1" applyBorder="1" applyAlignment="1">
      <alignment horizontal="center"/>
    </xf>
    <xf numFmtId="0" fontId="96" fillId="0" borderId="0" xfId="14" applyFont="1" applyBorder="1" applyAlignment="1">
      <alignment horizontal="left" vertical="top"/>
    </xf>
    <xf numFmtId="169" fontId="96" fillId="0" borderId="0" xfId="14" applyNumberFormat="1" applyFont="1" applyBorder="1" applyAlignment="1">
      <alignment horizontal="right" vertical="center"/>
    </xf>
    <xf numFmtId="0" fontId="93" fillId="0" borderId="0" xfId="10" applyFont="1" applyBorder="1" applyAlignment="1">
      <alignment horizontal="center" vertical="center"/>
    </xf>
    <xf numFmtId="0" fontId="94" fillId="2" borderId="0" xfId="10" applyFont="1" applyFill="1" applyBorder="1" applyAlignment="1"/>
    <xf numFmtId="0" fontId="92" fillId="0" borderId="0" xfId="10" applyBorder="1" applyAlignment="1"/>
    <xf numFmtId="0" fontId="94" fillId="0" borderId="0" xfId="10" applyFont="1" applyBorder="1" applyAlignment="1">
      <alignment horizontal="left"/>
    </xf>
    <xf numFmtId="0" fontId="94" fillId="0" borderId="0" xfId="10" applyFont="1" applyBorder="1" applyAlignment="1">
      <alignment horizontal="center"/>
    </xf>
    <xf numFmtId="0" fontId="94" fillId="0" borderId="0" xfId="10" applyFont="1" applyBorder="1" applyAlignment="1">
      <alignment horizontal="left" vertical="top"/>
    </xf>
    <xf numFmtId="169" fontId="94" fillId="0" borderId="0" xfId="10" applyNumberFormat="1" applyFont="1" applyBorder="1" applyAlignment="1">
      <alignment horizontal="right" vertical="center"/>
    </xf>
    <xf numFmtId="0" fontId="12" fillId="0" borderId="0" xfId="7" applyFont="1" applyBorder="1" applyAlignment="1">
      <alignment horizontal="center"/>
    </xf>
    <xf numFmtId="0" fontId="93" fillId="0" borderId="0" xfId="11" applyFont="1" applyBorder="1" applyAlignment="1">
      <alignment horizontal="center" vertical="center"/>
    </xf>
    <xf numFmtId="0" fontId="96" fillId="2" borderId="0" xfId="11" applyFont="1" applyFill="1" applyBorder="1" applyAlignment="1"/>
    <xf numFmtId="0" fontId="8" fillId="0" borderId="0" xfId="11" applyBorder="1" applyAlignment="1"/>
    <xf numFmtId="0" fontId="96" fillId="0" borderId="0" xfId="11" applyFont="1" applyBorder="1" applyAlignment="1">
      <alignment horizontal="left"/>
    </xf>
    <xf numFmtId="0" fontId="96" fillId="0" borderId="0" xfId="11" applyFont="1" applyBorder="1" applyAlignment="1">
      <alignment horizontal="center"/>
    </xf>
    <xf numFmtId="0" fontId="96" fillId="0" borderId="0" xfId="11" applyFont="1" applyBorder="1" applyAlignment="1">
      <alignment horizontal="left" vertical="top"/>
    </xf>
    <xf numFmtId="169" fontId="96" fillId="0" borderId="0" xfId="11" applyNumberFormat="1" applyFont="1" applyBorder="1" applyAlignment="1">
      <alignment horizontal="right" vertical="center"/>
    </xf>
    <xf numFmtId="0" fontId="93" fillId="0" borderId="0" xfId="12" applyFont="1" applyBorder="1" applyAlignment="1">
      <alignment horizontal="center" vertical="center"/>
    </xf>
    <xf numFmtId="0" fontId="96" fillId="2" borderId="0" xfId="12" applyFont="1" applyFill="1" applyBorder="1" applyAlignment="1"/>
    <xf numFmtId="0" fontId="8" fillId="0" borderId="0" xfId="12" applyBorder="1" applyAlignment="1"/>
    <xf numFmtId="0" fontId="96" fillId="0" borderId="0" xfId="12" applyFont="1" applyBorder="1" applyAlignment="1">
      <alignment horizontal="left"/>
    </xf>
    <xf numFmtId="0" fontId="96" fillId="0" borderId="0" xfId="12" applyFont="1" applyBorder="1" applyAlignment="1">
      <alignment horizontal="center"/>
    </xf>
    <xf numFmtId="0" fontId="96" fillId="0" borderId="0" xfId="12" applyFont="1" applyBorder="1" applyAlignment="1">
      <alignment horizontal="left" vertical="top"/>
    </xf>
    <xf numFmtId="169" fontId="96" fillId="0" borderId="0" xfId="12" applyNumberFormat="1" applyFont="1" applyBorder="1" applyAlignment="1">
      <alignment horizontal="right" vertical="center"/>
    </xf>
    <xf numFmtId="0" fontId="93" fillId="0" borderId="0" xfId="13" applyFont="1" applyBorder="1" applyAlignment="1">
      <alignment horizontal="center" vertical="center"/>
    </xf>
    <xf numFmtId="0" fontId="96" fillId="2" borderId="0" xfId="13" applyFont="1" applyFill="1" applyBorder="1" applyAlignment="1"/>
    <xf numFmtId="0" fontId="8" fillId="0" borderId="0" xfId="13" applyBorder="1" applyAlignment="1"/>
    <xf numFmtId="0" fontId="96" fillId="0" borderId="0" xfId="13" applyFont="1" applyBorder="1" applyAlignment="1">
      <alignment horizontal="left"/>
    </xf>
    <xf numFmtId="0" fontId="96" fillId="0" borderId="0" xfId="13" applyFont="1" applyBorder="1" applyAlignment="1">
      <alignment horizontal="center"/>
    </xf>
    <xf numFmtId="0" fontId="96" fillId="0" borderId="0" xfId="13" applyFont="1" applyBorder="1" applyAlignment="1">
      <alignment horizontal="left" vertical="top"/>
    </xf>
    <xf numFmtId="169" fontId="96" fillId="0" borderId="0" xfId="13" applyNumberFormat="1" applyFont="1" applyBorder="1" applyAlignment="1">
      <alignment horizontal="right" vertical="center"/>
    </xf>
    <xf numFmtId="0" fontId="8" fillId="0" borderId="0" xfId="4" applyFont="1" applyBorder="1" applyAlignment="1">
      <alignment horizontal="left" vertical="center"/>
    </xf>
    <xf numFmtId="0" fontId="74" fillId="0" borderId="0" xfId="4" applyFont="1" applyAlignment="1">
      <alignment horizontal="center" vertical="center"/>
    </xf>
    <xf numFmtId="0" fontId="8" fillId="0" borderId="0" xfId="4"/>
    <xf numFmtId="0" fontId="1" fillId="0" borderId="0" xfId="22"/>
    <xf numFmtId="0" fontId="1" fillId="0" borderId="164" xfId="22" applyBorder="1"/>
    <xf numFmtId="0" fontId="1" fillId="0" borderId="0" xfId="22" applyBorder="1"/>
    <xf numFmtId="0" fontId="1" fillId="0" borderId="165" xfId="22" applyBorder="1"/>
    <xf numFmtId="0" fontId="1" fillId="0" borderId="0" xfId="22" applyAlignment="1">
      <alignment horizontal="center" vertical="center"/>
    </xf>
    <xf numFmtId="0" fontId="1" fillId="13" borderId="164" xfId="22" applyFill="1" applyBorder="1"/>
    <xf numFmtId="0" fontId="1" fillId="13" borderId="0" xfId="22" applyFill="1" applyBorder="1"/>
    <xf numFmtId="0" fontId="1" fillId="13" borderId="165" xfId="22" applyFill="1" applyBorder="1"/>
    <xf numFmtId="0" fontId="1" fillId="0" borderId="0" xfId="22" applyBorder="1" applyAlignment="1">
      <alignment horizontal="center" vertical="center" wrapText="1"/>
    </xf>
    <xf numFmtId="0" fontId="110" fillId="0" borderId="0" xfId="15" applyFont="1" applyBorder="1"/>
    <xf numFmtId="0" fontId="111" fillId="2" borderId="0" xfId="15" applyFont="1" applyFill="1" applyBorder="1"/>
    <xf numFmtId="0" fontId="111" fillId="0" borderId="0" xfId="15" applyFont="1" applyBorder="1" applyAlignment="1">
      <alignment horizontal="center"/>
    </xf>
    <xf numFmtId="0" fontId="111" fillId="0" borderId="0" xfId="15" applyFont="1" applyBorder="1" applyAlignment="1">
      <alignment horizontal="left" vertical="top" wrapText="1"/>
    </xf>
    <xf numFmtId="169" fontId="111" fillId="0" borderId="0" xfId="15" applyNumberFormat="1" applyFont="1" applyBorder="1" applyAlignment="1">
      <alignment horizontal="right" vertical="center"/>
    </xf>
    <xf numFmtId="0" fontId="111" fillId="0" borderId="0" xfId="15" applyFont="1" applyBorder="1" applyAlignment="1">
      <alignment horizontal="center" wrapText="1"/>
    </xf>
    <xf numFmtId="0" fontId="112" fillId="0" borderId="0" xfId="6" applyFont="1" applyBorder="1"/>
    <xf numFmtId="0" fontId="112" fillId="0" borderId="0" xfId="6" applyFont="1" applyBorder="1" applyAlignment="1">
      <alignment horizontal="center"/>
    </xf>
    <xf numFmtId="0" fontId="113" fillId="0" borderId="0" xfId="0" applyFont="1" applyBorder="1"/>
    <xf numFmtId="0" fontId="115" fillId="2" borderId="0" xfId="16" applyFont="1" applyFill="1" applyBorder="1"/>
    <xf numFmtId="0" fontId="74" fillId="0" borderId="0" xfId="16" applyFont="1" applyBorder="1"/>
    <xf numFmtId="0" fontId="115" fillId="0" borderId="0" xfId="16" applyFont="1" applyBorder="1" applyAlignment="1">
      <alignment horizontal="center"/>
    </xf>
    <xf numFmtId="0" fontId="115" fillId="0" borderId="0" xfId="16" applyFont="1" applyBorder="1" applyAlignment="1">
      <alignment horizontal="left" vertical="top" wrapText="1"/>
    </xf>
    <xf numFmtId="169" fontId="115" fillId="0" borderId="0" xfId="16" applyNumberFormat="1" applyFont="1" applyBorder="1" applyAlignment="1">
      <alignment horizontal="right" vertical="center"/>
    </xf>
    <xf numFmtId="0" fontId="74" fillId="0" borderId="0" xfId="4" applyFont="1" applyBorder="1"/>
    <xf numFmtId="0" fontId="74" fillId="0" borderId="0" xfId="4" applyFont="1" applyBorder="1" applyAlignment="1">
      <alignment wrapText="1"/>
    </xf>
    <xf numFmtId="0" fontId="9" fillId="0" borderId="0" xfId="4" applyFont="1" applyAlignment="1">
      <alignment horizontal="left" vertical="center"/>
    </xf>
    <xf numFmtId="0" fontId="32" fillId="0" borderId="0" xfId="1" applyFont="1" applyBorder="1" applyAlignment="1" applyProtection="1">
      <alignment horizontal="center" vertical="center"/>
    </xf>
    <xf numFmtId="0" fontId="73" fillId="0" borderId="0" xfId="0" applyFont="1" applyAlignment="1">
      <alignment horizontal="left" vertical="center" wrapText="1"/>
    </xf>
    <xf numFmtId="0" fontId="72" fillId="8" borderId="122" xfId="0" applyFont="1" applyFill="1" applyBorder="1" applyAlignment="1">
      <alignment horizontal="center" vertical="center"/>
    </xf>
    <xf numFmtId="0" fontId="72" fillId="8" borderId="123" xfId="0" applyFont="1" applyFill="1" applyBorder="1" applyAlignment="1">
      <alignment horizontal="center" vertical="center"/>
    </xf>
    <xf numFmtId="0" fontId="72" fillId="8" borderId="137" xfId="0" applyFont="1" applyFill="1" applyBorder="1" applyAlignment="1">
      <alignment horizontal="center" vertical="center"/>
    </xf>
    <xf numFmtId="0" fontId="72" fillId="8" borderId="124" xfId="0" applyFont="1" applyFill="1" applyBorder="1" applyAlignment="1">
      <alignment horizontal="center" vertical="center"/>
    </xf>
    <xf numFmtId="0" fontId="76" fillId="8" borderId="146" xfId="0" applyFont="1" applyFill="1" applyBorder="1" applyAlignment="1">
      <alignment horizontal="center" vertical="center" wrapText="1"/>
    </xf>
    <xf numFmtId="0" fontId="76" fillId="8" borderId="0" xfId="0" applyFont="1" applyFill="1" applyBorder="1" applyAlignment="1">
      <alignment horizontal="center" vertical="center" wrapText="1"/>
    </xf>
    <xf numFmtId="0" fontId="76" fillId="8" borderId="147" xfId="0" applyFont="1" applyFill="1" applyBorder="1" applyAlignment="1">
      <alignment horizontal="center" vertical="center" wrapText="1"/>
    </xf>
    <xf numFmtId="0" fontId="13" fillId="0" borderId="0" xfId="4" applyFont="1" applyAlignment="1">
      <alignment horizontal="left" vertical="center" wrapText="1"/>
    </xf>
    <xf numFmtId="0" fontId="31" fillId="0" borderId="0" xfId="4" applyFont="1" applyAlignment="1">
      <alignment horizontal="left" vertical="center" wrapText="1"/>
    </xf>
    <xf numFmtId="0" fontId="22" fillId="3" borderId="94" xfId="4" applyFont="1" applyFill="1" applyBorder="1" applyAlignment="1">
      <alignment vertical="center"/>
    </xf>
    <xf numFmtId="0" fontId="22" fillId="3" borderId="95" xfId="4" applyFont="1" applyFill="1" applyBorder="1" applyAlignment="1">
      <alignment vertical="center"/>
    </xf>
    <xf numFmtId="0" fontId="22" fillId="3" borderId="96" xfId="4" applyFont="1" applyFill="1" applyBorder="1" applyAlignment="1">
      <alignment horizontal="center" vertical="center" wrapText="1"/>
    </xf>
    <xf numFmtId="0" fontId="22" fillId="3" borderId="97" xfId="4" applyFont="1" applyFill="1" applyBorder="1" applyAlignment="1">
      <alignment horizontal="center" vertical="center" wrapText="1"/>
    </xf>
    <xf numFmtId="0" fontId="22" fillId="3" borderId="98" xfId="4" applyFont="1" applyFill="1" applyBorder="1" applyAlignment="1">
      <alignment horizontal="center" vertical="center" wrapText="1"/>
    </xf>
    <xf numFmtId="0" fontId="22" fillId="3" borderId="99" xfId="4" applyFont="1" applyFill="1" applyBorder="1" applyAlignment="1">
      <alignment horizontal="center" vertical="center" wrapText="1"/>
    </xf>
    <xf numFmtId="166" fontId="19" fillId="0" borderId="55" xfId="4" applyNumberFormat="1" applyFont="1" applyBorder="1" applyAlignment="1">
      <alignment horizontal="center" vertical="center"/>
    </xf>
    <xf numFmtId="166" fontId="19" fillId="0" borderId="40" xfId="4" applyNumberFormat="1" applyFont="1" applyBorder="1" applyAlignment="1">
      <alignment horizontal="center" vertical="center"/>
    </xf>
    <xf numFmtId="166" fontId="19" fillId="0" borderId="20" xfId="4" applyNumberFormat="1" applyFont="1" applyBorder="1" applyAlignment="1">
      <alignment horizontal="center" vertical="center"/>
    </xf>
    <xf numFmtId="0" fontId="13" fillId="0" borderId="0" xfId="4" applyFont="1" applyBorder="1" applyAlignment="1">
      <alignment horizontal="left" vertical="center" wrapText="1"/>
    </xf>
    <xf numFmtId="0" fontId="13" fillId="0" borderId="0" xfId="4" applyFont="1" applyBorder="1" applyAlignment="1">
      <alignment vertical="center" wrapText="1"/>
    </xf>
    <xf numFmtId="0" fontId="8" fillId="0" borderId="0" xfId="4" applyAlignment="1">
      <alignment wrapText="1"/>
    </xf>
    <xf numFmtId="0" fontId="13" fillId="0" borderId="0" xfId="4" applyFont="1" applyFill="1" applyAlignment="1">
      <alignment wrapText="1"/>
    </xf>
    <xf numFmtId="0" fontId="18" fillId="0" borderId="0" xfId="1" applyFont="1" applyAlignment="1" applyProtection="1"/>
    <xf numFmtId="0" fontId="22" fillId="3" borderId="45" xfId="4" applyFont="1" applyFill="1" applyBorder="1" applyAlignment="1">
      <alignment vertical="center"/>
    </xf>
    <xf numFmtId="0" fontId="22" fillId="3" borderId="84" xfId="4" applyFont="1" applyFill="1" applyBorder="1" applyAlignment="1">
      <alignment horizontal="center" vertical="center" wrapText="1"/>
    </xf>
    <xf numFmtId="0" fontId="22" fillId="3" borderId="100" xfId="4" applyFont="1" applyFill="1" applyBorder="1" applyAlignment="1">
      <alignment horizontal="center" vertical="center" wrapText="1"/>
    </xf>
    <xf numFmtId="0" fontId="22" fillId="3" borderId="47" xfId="4" applyFont="1" applyFill="1" applyBorder="1" applyAlignment="1">
      <alignment horizontal="center" vertical="center" wrapText="1"/>
    </xf>
    <xf numFmtId="0" fontId="22" fillId="3" borderId="101" xfId="4" applyFont="1" applyFill="1" applyBorder="1" applyAlignment="1">
      <alignment horizontal="center" vertical="center" wrapText="1"/>
    </xf>
    <xf numFmtId="0" fontId="22" fillId="3" borderId="102" xfId="4" applyFont="1" applyFill="1" applyBorder="1" applyAlignment="1">
      <alignment horizontal="center" vertical="center" wrapText="1"/>
    </xf>
    <xf numFmtId="0" fontId="22" fillId="3" borderId="46" xfId="4" applyFont="1" applyFill="1" applyBorder="1" applyAlignment="1">
      <alignment horizontal="center" vertical="center" wrapText="1"/>
    </xf>
    <xf numFmtId="0" fontId="22" fillId="3" borderId="103" xfId="4" applyFont="1" applyFill="1" applyBorder="1" applyAlignment="1">
      <alignment horizontal="center" vertical="center" wrapText="1"/>
    </xf>
    <xf numFmtId="0" fontId="9" fillId="0" borderId="0" xfId="4" applyFont="1" applyAlignment="1">
      <alignment horizontal="left" wrapText="1"/>
    </xf>
    <xf numFmtId="0" fontId="8" fillId="0" borderId="0" xfId="4" applyFont="1" applyAlignment="1">
      <alignment wrapText="1"/>
    </xf>
    <xf numFmtId="0" fontId="9" fillId="0" borderId="0" xfId="4" applyFont="1" applyAlignment="1">
      <alignment horizontal="left" vertical="center" wrapText="1"/>
    </xf>
    <xf numFmtId="0" fontId="18" fillId="0" borderId="46" xfId="1" applyFont="1" applyBorder="1" applyAlignment="1" applyProtection="1"/>
    <xf numFmtId="0" fontId="0" fillId="0" borderId="0" xfId="0" applyAlignment="1">
      <alignment wrapText="1"/>
    </xf>
    <xf numFmtId="0" fontId="13" fillId="0" borderId="0" xfId="4" applyFont="1" applyFill="1" applyBorder="1" applyAlignment="1">
      <alignment horizontal="left" vertical="center" wrapText="1"/>
    </xf>
    <xf numFmtId="0" fontId="9" fillId="0" borderId="0" xfId="4" applyFont="1" applyAlignment="1">
      <alignment horizontal="left" vertical="top" wrapText="1"/>
    </xf>
    <xf numFmtId="0" fontId="99" fillId="0" borderId="0" xfId="19" applyFont="1" applyAlignment="1"/>
    <xf numFmtId="0" fontId="18" fillId="0" borderId="46" xfId="18" applyFont="1" applyBorder="1" applyAlignment="1" applyProtection="1">
      <alignment horizontal="left"/>
    </xf>
    <xf numFmtId="0" fontId="22" fillId="3" borderId="86" xfId="4" applyFont="1" applyFill="1" applyBorder="1" applyAlignment="1">
      <alignment horizontal="center" vertical="center" wrapText="1"/>
    </xf>
    <xf numFmtId="0" fontId="22" fillId="3" borderId="92" xfId="4" applyFont="1" applyFill="1" applyBorder="1" applyAlignment="1">
      <alignment horizontal="center" vertical="center" wrapText="1"/>
    </xf>
    <xf numFmtId="0" fontId="22" fillId="3" borderId="41" xfId="4" applyFont="1" applyFill="1" applyBorder="1" applyAlignment="1">
      <alignment horizontal="center" vertical="center" wrapText="1"/>
    </xf>
    <xf numFmtId="0" fontId="22" fillId="3" borderId="49" xfId="4" applyFont="1" applyFill="1" applyBorder="1" applyAlignment="1">
      <alignment horizontal="center" vertical="center" wrapText="1"/>
    </xf>
    <xf numFmtId="0" fontId="22" fillId="3" borderId="43" xfId="4" applyFont="1" applyFill="1" applyBorder="1" applyAlignment="1">
      <alignment horizontal="center" vertical="center" wrapText="1"/>
    </xf>
    <xf numFmtId="0" fontId="22" fillId="3" borderId="33" xfId="4" applyFont="1" applyFill="1" applyBorder="1" applyAlignment="1">
      <alignment horizontal="center" vertical="center" wrapText="1"/>
    </xf>
    <xf numFmtId="0" fontId="22" fillId="3" borderId="93" xfId="4" applyFont="1" applyFill="1" applyBorder="1" applyAlignment="1">
      <alignment horizontal="center" vertical="center" wrapText="1"/>
    </xf>
    <xf numFmtId="0" fontId="22" fillId="3" borderId="26" xfId="4" applyFont="1" applyFill="1" applyBorder="1" applyAlignment="1">
      <alignment horizontal="center" vertical="center" wrapText="1"/>
    </xf>
    <xf numFmtId="0" fontId="8" fillId="0" borderId="0" xfId="4" applyAlignment="1">
      <alignment vertical="center" wrapText="1"/>
    </xf>
    <xf numFmtId="0" fontId="18" fillId="0" borderId="0" xfId="1" applyFont="1" applyAlignment="1" applyProtection="1">
      <alignment horizontal="right" vertical="center" wrapText="1"/>
    </xf>
    <xf numFmtId="0" fontId="28" fillId="0" borderId="0" xfId="4" applyFont="1" applyAlignment="1">
      <alignment horizontal="left" vertical="center" wrapText="1" indent="3"/>
    </xf>
    <xf numFmtId="0" fontId="18" fillId="0" borderId="0" xfId="1" applyFont="1" applyAlignment="1" applyProtection="1">
      <alignment horizontal="right"/>
    </xf>
    <xf numFmtId="0" fontId="11" fillId="3" borderId="105" xfId="7" applyFont="1" applyFill="1" applyBorder="1" applyAlignment="1">
      <alignment horizontal="center" vertical="center"/>
    </xf>
    <xf numFmtId="0" fontId="11" fillId="3" borderId="106" xfId="7" applyFont="1" applyFill="1" applyBorder="1" applyAlignment="1">
      <alignment horizontal="center" vertical="center"/>
    </xf>
    <xf numFmtId="0" fontId="11" fillId="3" borderId="48" xfId="7" applyFont="1" applyFill="1" applyBorder="1" applyAlignment="1">
      <alignment horizontal="center" vertical="center" wrapText="1"/>
    </xf>
    <xf numFmtId="0" fontId="11" fillId="3" borderId="42" xfId="7" applyFont="1" applyFill="1" applyBorder="1" applyAlignment="1">
      <alignment horizontal="center" vertical="center"/>
    </xf>
    <xf numFmtId="0" fontId="11" fillId="3" borderId="30" xfId="7" applyFont="1" applyFill="1" applyBorder="1" applyAlignment="1">
      <alignment horizontal="center" vertical="center"/>
    </xf>
    <xf numFmtId="0" fontId="12" fillId="0" borderId="30" xfId="7" applyFont="1" applyBorder="1" applyAlignment="1">
      <alignment horizontal="center" vertical="center"/>
    </xf>
    <xf numFmtId="0" fontId="11" fillId="3" borderId="3" xfId="7" applyFont="1" applyFill="1" applyBorder="1" applyAlignment="1">
      <alignment horizontal="center" vertical="center" wrapText="1"/>
    </xf>
    <xf numFmtId="0" fontId="11" fillId="3" borderId="104" xfId="7" applyFont="1" applyFill="1" applyBorder="1" applyAlignment="1">
      <alignment horizontal="center" vertical="center" wrapText="1"/>
    </xf>
    <xf numFmtId="0" fontId="28" fillId="0" borderId="0" xfId="4" applyFont="1" applyAlignment="1">
      <alignment horizontal="left" vertical="center" wrapText="1"/>
    </xf>
    <xf numFmtId="0" fontId="68" fillId="0" borderId="0" xfId="0" applyFont="1" applyAlignment="1">
      <alignment horizontal="left" vertical="top" wrapText="1" readingOrder="1"/>
    </xf>
    <xf numFmtId="0" fontId="68" fillId="0" borderId="0" xfId="0" applyFont="1" applyAlignment="1">
      <alignment horizontal="left" wrapText="1" readingOrder="1"/>
    </xf>
    <xf numFmtId="0" fontId="28" fillId="0" borderId="0" xfId="4" applyFont="1" applyAlignment="1">
      <alignment horizontal="left" vertical="center" indent="3"/>
    </xf>
    <xf numFmtId="0" fontId="0" fillId="0" borderId="114" xfId="0" applyBorder="1"/>
    <xf numFmtId="0" fontId="11" fillId="3" borderId="48" xfId="7" applyFont="1" applyFill="1" applyBorder="1" applyAlignment="1">
      <alignment horizontal="center" vertical="center"/>
    </xf>
    <xf numFmtId="0" fontId="13" fillId="0" borderId="0" xfId="0" applyFont="1" applyFill="1" applyAlignment="1">
      <alignment vertical="center" wrapText="1"/>
    </xf>
    <xf numFmtId="0" fontId="0" fillId="0" borderId="0" xfId="0" applyAlignment="1"/>
    <xf numFmtId="0" fontId="13" fillId="0" borderId="0" xfId="0" applyNumberFormat="1" applyFont="1" applyAlignment="1">
      <alignment horizontal="left" vertical="top" wrapText="1"/>
    </xf>
    <xf numFmtId="0" fontId="18" fillId="0" borderId="0" xfId="1" applyFont="1" applyAlignment="1" applyProtection="1">
      <alignment horizontal="center"/>
    </xf>
    <xf numFmtId="0" fontId="13" fillId="0" borderId="0" xfId="4" applyFont="1" applyAlignment="1">
      <alignment horizontal="left" wrapText="1"/>
    </xf>
    <xf numFmtId="0" fontId="11" fillId="3" borderId="52" xfId="7" applyFont="1" applyFill="1" applyBorder="1" applyAlignment="1">
      <alignment horizontal="center" vertical="center" wrapText="1"/>
    </xf>
    <xf numFmtId="0" fontId="11" fillId="3" borderId="131" xfId="7" applyFont="1" applyFill="1" applyBorder="1" applyAlignment="1">
      <alignment horizontal="center" vertical="center" wrapText="1"/>
    </xf>
    <xf numFmtId="0" fontId="11" fillId="3" borderId="132" xfId="7" applyFont="1" applyFill="1" applyBorder="1" applyAlignment="1">
      <alignment horizontal="center" vertical="center" wrapText="1"/>
    </xf>
    <xf numFmtId="0" fontId="0" fillId="0" borderId="133" xfId="0" applyBorder="1"/>
    <xf numFmtId="0" fontId="13" fillId="0" borderId="0" xfId="4" applyFont="1" applyAlignment="1">
      <alignment wrapText="1"/>
    </xf>
    <xf numFmtId="0" fontId="13" fillId="0" borderId="0" xfId="0" applyFont="1" applyAlignment="1">
      <alignment horizontal="left" vertical="center" wrapText="1"/>
    </xf>
    <xf numFmtId="0" fontId="28" fillId="0" borderId="0" xfId="4" applyFont="1" applyFill="1" applyAlignment="1">
      <alignment horizontal="left" vertical="center" wrapText="1" indent="3"/>
    </xf>
    <xf numFmtId="0" fontId="8" fillId="0" borderId="0" xfId="4" applyFont="1" applyFill="1" applyAlignment="1">
      <alignment horizontal="left" vertical="center" wrapText="1"/>
    </xf>
    <xf numFmtId="0" fontId="22" fillId="3" borderId="86" xfId="4" applyNumberFormat="1" applyFont="1" applyFill="1" applyBorder="1" applyAlignment="1">
      <alignment horizontal="center" vertical="center" wrapText="1"/>
    </xf>
    <xf numFmtId="0" fontId="22" fillId="3" borderId="41" xfId="4" applyNumberFormat="1" applyFont="1" applyFill="1" applyBorder="1" applyAlignment="1">
      <alignment horizontal="center" vertical="center" wrapText="1"/>
    </xf>
    <xf numFmtId="0" fontId="22" fillId="3" borderId="25" xfId="4" applyNumberFormat="1" applyFont="1" applyFill="1" applyBorder="1" applyAlignment="1">
      <alignment horizontal="center" vertical="center" wrapText="1"/>
    </xf>
    <xf numFmtId="0" fontId="22" fillId="3" borderId="26" xfId="4" applyNumberFormat="1" applyFont="1" applyFill="1" applyBorder="1" applyAlignment="1">
      <alignment horizontal="center" vertical="center" wrapText="1"/>
    </xf>
    <xf numFmtId="0" fontId="22" fillId="3" borderId="27" xfId="4" applyNumberFormat="1" applyFont="1" applyFill="1" applyBorder="1" applyAlignment="1">
      <alignment horizontal="center" vertical="center" wrapText="1"/>
    </xf>
    <xf numFmtId="0" fontId="8" fillId="0" borderId="71" xfId="4" applyFill="1" applyBorder="1" applyAlignment="1">
      <alignment horizontal="center" vertical="center"/>
    </xf>
    <xf numFmtId="0" fontId="8" fillId="0" borderId="89" xfId="4" applyFill="1" applyBorder="1" applyAlignment="1">
      <alignment horizontal="center" vertical="center"/>
    </xf>
    <xf numFmtId="0" fontId="8" fillId="0" borderId="67" xfId="4" applyFill="1" applyBorder="1" applyAlignment="1">
      <alignment horizontal="center" vertical="center"/>
    </xf>
    <xf numFmtId="0" fontId="8" fillId="0" borderId="87" xfId="4" applyFill="1" applyBorder="1" applyAlignment="1">
      <alignment horizontal="center" wrapText="1"/>
    </xf>
    <xf numFmtId="0" fontId="8" fillId="0" borderId="0" xfId="4" applyFill="1"/>
    <xf numFmtId="0" fontId="8" fillId="0" borderId="109" xfId="4" applyFill="1" applyBorder="1"/>
    <xf numFmtId="0" fontId="8" fillId="0" borderId="87" xfId="4" applyFill="1" applyBorder="1"/>
    <xf numFmtId="0" fontId="8" fillId="0" borderId="68" xfId="4" applyFill="1" applyBorder="1"/>
    <xf numFmtId="0" fontId="8" fillId="0" borderId="46" xfId="4" applyFill="1" applyBorder="1"/>
    <xf numFmtId="0" fontId="8" fillId="0" borderId="103" xfId="4" applyFill="1" applyBorder="1"/>
    <xf numFmtId="0" fontId="22" fillId="3" borderId="24" xfId="4" applyFont="1" applyFill="1" applyBorder="1" applyAlignment="1">
      <alignment horizontal="left" vertical="center"/>
    </xf>
    <xf numFmtId="0" fontId="22" fillId="3" borderId="26" xfId="4" applyFont="1" applyFill="1" applyBorder="1" applyAlignment="1">
      <alignment horizontal="left" vertical="center"/>
    </xf>
    <xf numFmtId="0" fontId="8" fillId="3" borderId="100" xfId="4" applyFill="1" applyBorder="1" applyAlignment="1">
      <alignment horizontal="center" wrapText="1"/>
    </xf>
    <xf numFmtId="0" fontId="8" fillId="0" borderId="47" xfId="4" applyBorder="1"/>
    <xf numFmtId="0" fontId="8" fillId="0" borderId="108" xfId="4" applyBorder="1"/>
    <xf numFmtId="0" fontId="8" fillId="0" borderId="110" xfId="4" applyBorder="1"/>
    <xf numFmtId="0" fontId="8" fillId="0" borderId="0" xfId="4"/>
    <xf numFmtId="0" fontId="8" fillId="0" borderId="105" xfId="4" applyBorder="1"/>
    <xf numFmtId="0" fontId="22" fillId="3" borderId="107" xfId="4" applyFont="1" applyFill="1" applyBorder="1" applyAlignment="1">
      <alignment horizontal="center" vertical="center"/>
    </xf>
    <xf numFmtId="0" fontId="22" fillId="3" borderId="25" xfId="4" applyFont="1" applyFill="1" applyBorder="1" applyAlignment="1">
      <alignment horizontal="center" vertical="center"/>
    </xf>
    <xf numFmtId="0" fontId="13" fillId="0" borderId="0" xfId="4" applyNumberFormat="1" applyFont="1" applyAlignment="1">
      <alignment wrapText="1"/>
    </xf>
    <xf numFmtId="0" fontId="8" fillId="0" borderId="0" xfId="4" applyFont="1" applyAlignment="1">
      <alignment horizontal="left" vertical="center" wrapText="1"/>
    </xf>
    <xf numFmtId="0" fontId="13" fillId="0" borderId="0" xfId="4" applyNumberFormat="1" applyFont="1" applyAlignment="1">
      <alignment horizontal="left" vertical="center" wrapText="1"/>
    </xf>
    <xf numFmtId="0" fontId="16" fillId="0" borderId="0" xfId="4" applyFont="1" applyAlignment="1">
      <alignment horizontal="left" vertical="center" wrapText="1"/>
    </xf>
    <xf numFmtId="0" fontId="28" fillId="0" borderId="0" xfId="4" applyFont="1" applyFill="1" applyAlignment="1">
      <alignment horizontal="left" vertical="center" wrapText="1" indent="4"/>
    </xf>
    <xf numFmtId="0" fontId="13" fillId="0" borderId="0" xfId="4" applyNumberFormat="1" applyFont="1" applyAlignment="1">
      <alignment horizontal="left" vertical="top" wrapText="1"/>
    </xf>
    <xf numFmtId="0" fontId="22" fillId="3" borderId="26" xfId="4" applyFont="1" applyFill="1" applyBorder="1" applyAlignment="1">
      <alignment horizontal="center" vertical="center"/>
    </xf>
    <xf numFmtId="0" fontId="22" fillId="3" borderId="27" xfId="4" applyFont="1" applyFill="1" applyBorder="1" applyAlignment="1">
      <alignment horizontal="center" vertical="center"/>
    </xf>
    <xf numFmtId="0" fontId="8" fillId="0" borderId="71" xfId="4" applyFill="1" applyBorder="1" applyAlignment="1">
      <alignment horizontal="center"/>
    </xf>
    <xf numFmtId="0" fontId="8" fillId="0" borderId="89" xfId="4" applyFill="1" applyBorder="1" applyAlignment="1">
      <alignment horizontal="center"/>
    </xf>
    <xf numFmtId="0" fontId="8" fillId="0" borderId="67" xfId="4" applyFill="1" applyBorder="1" applyAlignment="1">
      <alignment horizontal="center"/>
    </xf>
    <xf numFmtId="0" fontId="8" fillId="0" borderId="0" xfId="4" applyFill="1" applyBorder="1" applyAlignment="1">
      <alignment horizontal="center" wrapText="1"/>
    </xf>
    <xf numFmtId="0" fontId="8" fillId="0" borderId="109" xfId="4" applyFill="1" applyBorder="1" applyAlignment="1">
      <alignment horizontal="center" wrapText="1"/>
    </xf>
    <xf numFmtId="0" fontId="8" fillId="0" borderId="68" xfId="4" applyFill="1" applyBorder="1" applyAlignment="1">
      <alignment horizontal="center" wrapText="1"/>
    </xf>
    <xf numFmtId="0" fontId="8" fillId="0" borderId="46" xfId="4" applyFill="1" applyBorder="1" applyAlignment="1">
      <alignment horizontal="center" wrapText="1"/>
    </xf>
    <xf numFmtId="0" fontId="8" fillId="0" borderId="103" xfId="4" applyFill="1" applyBorder="1" applyAlignment="1">
      <alignment horizontal="center" wrapText="1"/>
    </xf>
    <xf numFmtId="0" fontId="22" fillId="3" borderId="25" xfId="4" applyFont="1" applyFill="1" applyBorder="1" applyAlignment="1">
      <alignment horizontal="center" vertical="center" wrapText="1"/>
    </xf>
    <xf numFmtId="0" fontId="8" fillId="3" borderId="47" xfId="4" applyFill="1" applyBorder="1" applyAlignment="1">
      <alignment horizontal="center" wrapText="1"/>
    </xf>
    <xf numFmtId="0" fontId="8" fillId="3" borderId="108" xfId="4" applyFill="1" applyBorder="1" applyAlignment="1">
      <alignment horizontal="center" wrapText="1"/>
    </xf>
    <xf numFmtId="0" fontId="8" fillId="3" borderId="110" xfId="4" applyFill="1" applyBorder="1" applyAlignment="1">
      <alignment horizontal="center" wrapText="1"/>
    </xf>
    <xf numFmtId="0" fontId="8" fillId="3" borderId="0" xfId="4" applyFill="1" applyBorder="1" applyAlignment="1">
      <alignment horizontal="center" wrapText="1"/>
    </xf>
    <xf numFmtId="0" fontId="8" fillId="3" borderId="105" xfId="4" applyFill="1" applyBorder="1" applyAlignment="1">
      <alignment horizontal="center" wrapText="1"/>
    </xf>
    <xf numFmtId="0" fontId="22" fillId="3" borderId="100" xfId="4" applyNumberFormat="1" applyFont="1" applyFill="1" applyBorder="1" applyAlignment="1">
      <alignment horizontal="center" vertical="center" wrapText="1"/>
    </xf>
    <xf numFmtId="0" fontId="22" fillId="3" borderId="47" xfId="4" applyNumberFormat="1" applyFont="1" applyFill="1" applyBorder="1" applyAlignment="1">
      <alignment horizontal="center" vertical="center" wrapText="1"/>
    </xf>
    <xf numFmtId="0" fontId="22" fillId="3" borderId="108" xfId="4" applyNumberFormat="1" applyFont="1" applyFill="1" applyBorder="1" applyAlignment="1">
      <alignment horizontal="center" vertical="center" wrapText="1"/>
    </xf>
    <xf numFmtId="0" fontId="13" fillId="0" borderId="0" xfId="4" applyFont="1" applyFill="1" applyAlignment="1">
      <alignment horizontal="left" vertical="center" wrapText="1"/>
    </xf>
    <xf numFmtId="0" fontId="12" fillId="0" borderId="0" xfId="7" applyFont="1" applyAlignment="1">
      <alignment wrapText="1"/>
    </xf>
    <xf numFmtId="0" fontId="19" fillId="0" borderId="0" xfId="4" applyFont="1" applyAlignment="1">
      <alignment horizontal="left" vertical="center" wrapText="1"/>
    </xf>
    <xf numFmtId="0" fontId="111" fillId="0" borderId="0" xfId="15" applyFont="1" applyBorder="1" applyAlignment="1">
      <alignment horizontal="left" vertical="top"/>
    </xf>
    <xf numFmtId="0" fontId="111" fillId="0" borderId="0" xfId="15" applyFont="1" applyBorder="1" applyAlignment="1">
      <alignment horizontal="left" vertical="top" wrapText="1"/>
    </xf>
    <xf numFmtId="0" fontId="109" fillId="0" borderId="0" xfId="15" applyFont="1" applyBorder="1" applyAlignment="1">
      <alignment horizontal="center" vertical="center" wrapText="1"/>
    </xf>
    <xf numFmtId="0" fontId="111" fillId="0" borderId="0" xfId="15" applyFont="1" applyBorder="1" applyAlignment="1">
      <alignment horizontal="left" wrapText="1"/>
    </xf>
    <xf numFmtId="0" fontId="111" fillId="0" borderId="0" xfId="15" applyFont="1" applyBorder="1" applyAlignment="1">
      <alignment horizontal="center" wrapText="1"/>
    </xf>
    <xf numFmtId="0" fontId="11" fillId="3" borderId="30" xfId="6" applyFont="1" applyFill="1" applyBorder="1" applyAlignment="1">
      <alignment horizontal="center" vertical="center"/>
    </xf>
    <xf numFmtId="0" fontId="11" fillId="3" borderId="3" xfId="6" applyFont="1" applyFill="1" applyBorder="1" applyAlignment="1">
      <alignment horizontal="center" vertical="center" wrapText="1"/>
    </xf>
    <xf numFmtId="0" fontId="11" fillId="3" borderId="104" xfId="6" applyFont="1" applyFill="1" applyBorder="1" applyAlignment="1">
      <alignment horizontal="center" vertical="center" wrapText="1"/>
    </xf>
    <xf numFmtId="0" fontId="11" fillId="3" borderId="105" xfId="6" applyFont="1" applyFill="1" applyBorder="1" applyAlignment="1">
      <alignment horizontal="center" vertical="center"/>
    </xf>
    <xf numFmtId="0" fontId="11" fillId="3" borderId="106" xfId="6" applyFont="1" applyFill="1" applyBorder="1" applyAlignment="1">
      <alignment horizontal="center" vertical="center"/>
    </xf>
    <xf numFmtId="0" fontId="11" fillId="3" borderId="48" xfId="6" applyFont="1" applyFill="1" applyBorder="1" applyAlignment="1">
      <alignment horizontal="center" vertical="center"/>
    </xf>
    <xf numFmtId="0" fontId="11" fillId="3" borderId="42" xfId="6" applyFont="1" applyFill="1" applyBorder="1" applyAlignment="1">
      <alignment horizontal="center" vertical="center"/>
    </xf>
    <xf numFmtId="0" fontId="12" fillId="0" borderId="30" xfId="6" applyFont="1" applyBorder="1" applyAlignment="1">
      <alignment horizontal="center" vertical="center"/>
    </xf>
    <xf numFmtId="0" fontId="13" fillId="0" borderId="0" xfId="4" applyNumberFormat="1" applyFont="1" applyFill="1" applyBorder="1" applyAlignment="1">
      <alignment wrapText="1"/>
    </xf>
    <xf numFmtId="0" fontId="22" fillId="3" borderId="92" xfId="4" applyNumberFormat="1" applyFont="1" applyFill="1" applyBorder="1" applyAlignment="1">
      <alignment horizontal="center" vertical="center" wrapText="1"/>
    </xf>
    <xf numFmtId="0" fontId="22" fillId="3" borderId="107" xfId="4" applyFont="1" applyFill="1" applyBorder="1" applyAlignment="1">
      <alignment horizontal="left" vertical="center"/>
    </xf>
    <xf numFmtId="0" fontId="22" fillId="3" borderId="25" xfId="4" applyFont="1" applyFill="1" applyBorder="1" applyAlignment="1">
      <alignment horizontal="left" vertical="center"/>
    </xf>
    <xf numFmtId="0" fontId="22" fillId="3" borderId="27" xfId="4" applyFont="1" applyFill="1" applyBorder="1" applyAlignment="1">
      <alignment horizontal="center" vertical="center" wrapText="1"/>
    </xf>
    <xf numFmtId="0" fontId="24" fillId="0" borderId="87" xfId="4" applyFont="1" applyBorder="1" applyAlignment="1">
      <alignment horizontal="center" vertical="center" wrapText="1"/>
    </xf>
    <xf numFmtId="0" fontId="24" fillId="0" borderId="0" xfId="4" applyFont="1" applyBorder="1" applyAlignment="1">
      <alignment horizontal="center" vertical="center" wrapText="1"/>
    </xf>
    <xf numFmtId="0" fontId="11" fillId="3" borderId="34" xfId="4" applyFont="1" applyFill="1" applyBorder="1" applyAlignment="1">
      <alignment horizontal="center" vertical="center" wrapText="1"/>
    </xf>
    <xf numFmtId="0" fontId="11" fillId="3" borderId="51" xfId="4" applyFont="1" applyFill="1" applyBorder="1" applyAlignment="1">
      <alignment horizontal="center" vertical="center" wrapText="1"/>
    </xf>
    <xf numFmtId="0" fontId="11" fillId="3" borderId="111" xfId="4" applyFont="1" applyFill="1" applyBorder="1" applyAlignment="1">
      <alignment horizontal="center" vertical="center" wrapText="1"/>
    </xf>
    <xf numFmtId="0" fontId="22" fillId="3" borderId="24" xfId="4" applyFont="1" applyFill="1" applyBorder="1" applyAlignment="1">
      <alignment horizontal="center" vertical="center"/>
    </xf>
    <xf numFmtId="167" fontId="8" fillId="0" borderId="55" xfId="4" applyNumberFormat="1" applyFill="1" applyBorder="1" applyAlignment="1">
      <alignment horizontal="center" wrapText="1"/>
    </xf>
    <xf numFmtId="167" fontId="8" fillId="0" borderId="20" xfId="4" applyNumberFormat="1" applyFill="1" applyBorder="1" applyAlignment="1">
      <alignment horizontal="center" wrapText="1"/>
    </xf>
    <xf numFmtId="167" fontId="8" fillId="0" borderId="68" xfId="4" applyNumberFormat="1" applyFill="1" applyBorder="1" applyAlignment="1">
      <alignment horizontal="center" wrapText="1"/>
    </xf>
    <xf numFmtId="167" fontId="8" fillId="0" borderId="46" xfId="4" applyNumberFormat="1" applyFill="1" applyBorder="1" applyAlignment="1">
      <alignment horizontal="center" wrapText="1"/>
    </xf>
    <xf numFmtId="167" fontId="8" fillId="0" borderId="103" xfId="4" applyNumberFormat="1" applyFill="1" applyBorder="1" applyAlignment="1">
      <alignment horizontal="center" wrapText="1"/>
    </xf>
    <xf numFmtId="167" fontId="8" fillId="0" borderId="40" xfId="4" applyNumberFormat="1" applyFill="1" applyBorder="1" applyAlignment="1">
      <alignment horizontal="center" wrapText="1"/>
    </xf>
    <xf numFmtId="0" fontId="13" fillId="0" borderId="0" xfId="5" applyFont="1" applyFill="1" applyAlignment="1">
      <alignment horizontal="left" vertical="center" wrapText="1"/>
    </xf>
    <xf numFmtId="0" fontId="63" fillId="0" borderId="0" xfId="0" applyNumberFormat="1" applyFont="1" applyAlignment="1">
      <alignment vertical="center" wrapText="1"/>
    </xf>
    <xf numFmtId="0" fontId="65" fillId="0" borderId="0" xfId="0" applyFont="1" applyAlignment="1">
      <alignment vertical="center" wrapText="1"/>
    </xf>
    <xf numFmtId="0" fontId="63" fillId="0" borderId="0" xfId="4" applyFont="1" applyAlignment="1">
      <alignment horizontal="left" wrapText="1"/>
    </xf>
    <xf numFmtId="0" fontId="18" fillId="0" borderId="0" xfId="1" applyFont="1" applyAlignment="1" applyProtection="1">
      <alignment horizontal="right" vertical="center"/>
    </xf>
    <xf numFmtId="0" fontId="63" fillId="0" borderId="0" xfId="0" applyNumberFormat="1" applyFont="1" applyAlignment="1">
      <alignment wrapText="1"/>
    </xf>
    <xf numFmtId="0" fontId="65" fillId="0" borderId="0" xfId="0" applyFont="1" applyAlignment="1">
      <alignment wrapText="1"/>
    </xf>
    <xf numFmtId="0" fontId="63" fillId="0" borderId="0" xfId="0" applyFont="1" applyAlignment="1">
      <alignment wrapText="1"/>
    </xf>
    <xf numFmtId="0" fontId="13" fillId="0" borderId="0" xfId="4" applyFont="1" applyFill="1" applyBorder="1" applyAlignment="1">
      <alignment horizontal="left" wrapText="1"/>
    </xf>
    <xf numFmtId="0" fontId="18" fillId="0" borderId="0" xfId="1" applyFont="1" applyAlignment="1" applyProtection="1">
      <alignment horizontal="right" wrapText="1"/>
    </xf>
    <xf numFmtId="0" fontId="13" fillId="0" borderId="0" xfId="4" applyFont="1" applyFill="1" applyBorder="1" applyAlignment="1">
      <alignment wrapText="1"/>
    </xf>
    <xf numFmtId="0" fontId="0" fillId="0" borderId="0" xfId="0" applyFont="1" applyAlignment="1">
      <alignment wrapText="1"/>
    </xf>
    <xf numFmtId="0" fontId="12" fillId="0" borderId="0" xfId="0" applyFont="1" applyAlignment="1">
      <alignment horizontal="left" vertical="center" wrapText="1"/>
    </xf>
    <xf numFmtId="0" fontId="40" fillId="0" borderId="0" xfId="0" applyFont="1" applyAlignment="1">
      <alignment horizontal="left" vertical="center" wrapText="1"/>
    </xf>
    <xf numFmtId="0" fontId="12" fillId="0" borderId="0" xfId="0" applyNumberFormat="1" applyFont="1" applyAlignment="1">
      <alignment horizontal="left" vertical="center" wrapText="1"/>
    </xf>
    <xf numFmtId="0" fontId="115" fillId="0" borderId="0" xfId="16" applyFont="1" applyBorder="1" applyAlignment="1">
      <alignment horizontal="left" vertical="top"/>
    </xf>
    <xf numFmtId="0" fontId="115" fillId="0" borderId="0" xfId="16" applyFont="1" applyBorder="1" applyAlignment="1">
      <alignment horizontal="left" vertical="top" wrapText="1"/>
    </xf>
    <xf numFmtId="0" fontId="114" fillId="0" borderId="0" xfId="16" applyFont="1" applyBorder="1" applyAlignment="1">
      <alignment horizontal="center" vertical="center" wrapText="1"/>
    </xf>
    <xf numFmtId="0" fontId="115" fillId="0" borderId="0" xfId="16" applyFont="1" applyBorder="1" applyAlignment="1">
      <alignment horizontal="left" wrapText="1"/>
    </xf>
    <xf numFmtId="0" fontId="115" fillId="0" borderId="0" xfId="16" applyFont="1" applyBorder="1" applyAlignment="1">
      <alignment horizontal="center" wrapText="1"/>
    </xf>
    <xf numFmtId="0" fontId="56" fillId="0" borderId="0" xfId="4" applyFont="1" applyBorder="1" applyAlignment="1">
      <alignment horizontal="center" vertical="center"/>
    </xf>
    <xf numFmtId="0" fontId="56" fillId="0" borderId="87" xfId="4" applyFont="1" applyBorder="1" applyAlignment="1">
      <alignment horizontal="center" vertical="center"/>
    </xf>
    <xf numFmtId="0" fontId="28" fillId="0" borderId="0" xfId="4" applyFont="1" applyAlignment="1">
      <alignment horizontal="left" vertical="top" wrapText="1" indent="3"/>
    </xf>
    <xf numFmtId="0" fontId="13" fillId="0" borderId="0" xfId="4" applyNumberFormat="1" applyFont="1" applyAlignment="1">
      <alignment horizontal="left" wrapText="1"/>
    </xf>
    <xf numFmtId="0" fontId="22" fillId="3" borderId="41" xfId="4" applyFont="1" applyFill="1" applyBorder="1" applyAlignment="1">
      <alignment horizontal="center" vertical="center"/>
    </xf>
    <xf numFmtId="0" fontId="8" fillId="0" borderId="109" xfId="4" applyFill="1" applyBorder="1" applyAlignment="1">
      <alignment horizontal="center" vertical="center" wrapText="1"/>
    </xf>
    <xf numFmtId="0" fontId="8" fillId="0" borderId="103" xfId="4" applyFill="1" applyBorder="1" applyAlignment="1">
      <alignment horizontal="center" vertical="center" wrapText="1"/>
    </xf>
    <xf numFmtId="0" fontId="13" fillId="0" borderId="46" xfId="4" applyNumberFormat="1" applyFont="1" applyBorder="1" applyAlignment="1">
      <alignment horizontal="left" vertical="top" wrapText="1"/>
    </xf>
    <xf numFmtId="0" fontId="8" fillId="0" borderId="0" xfId="4" applyAlignment="1">
      <alignment horizontal="left"/>
    </xf>
    <xf numFmtId="0" fontId="22" fillId="3" borderId="86" xfId="4" applyNumberFormat="1" applyFont="1" applyFill="1" applyBorder="1" applyAlignment="1">
      <alignment horizontal="center" vertical="center"/>
    </xf>
    <xf numFmtId="0" fontId="22" fillId="3" borderId="41" xfId="4" applyNumberFormat="1" applyFont="1" applyFill="1" applyBorder="1" applyAlignment="1">
      <alignment horizontal="center" vertical="center"/>
    </xf>
    <xf numFmtId="0" fontId="22" fillId="3" borderId="25" xfId="4" applyNumberFormat="1" applyFont="1" applyFill="1" applyBorder="1" applyAlignment="1">
      <alignment horizontal="center" vertical="center"/>
    </xf>
    <xf numFmtId="0" fontId="9" fillId="0" borderId="0" xfId="5" applyFont="1" applyAlignment="1">
      <alignment horizontal="left"/>
    </xf>
    <xf numFmtId="0" fontId="18" fillId="0" borderId="0" xfId="1" applyFont="1" applyAlignment="1" applyProtection="1">
      <alignment horizontal="center" vertical="center" wrapText="1"/>
    </xf>
    <xf numFmtId="0" fontId="45" fillId="3" borderId="26" xfId="5" applyNumberFormat="1" applyFont="1" applyFill="1" applyBorder="1" applyAlignment="1">
      <alignment horizontal="center" vertical="center" wrapText="1"/>
    </xf>
    <xf numFmtId="0" fontId="42" fillId="0" borderId="110" xfId="5" applyFont="1" applyBorder="1" applyAlignment="1">
      <alignment horizontal="center" vertical="center"/>
    </xf>
    <xf numFmtId="0" fontId="42" fillId="0" borderId="0" xfId="5" applyFont="1" applyBorder="1" applyAlignment="1">
      <alignment horizontal="center" vertical="center"/>
    </xf>
    <xf numFmtId="0" fontId="48" fillId="0" borderId="86" xfId="5" applyFont="1" applyFill="1" applyBorder="1" applyAlignment="1">
      <alignment horizontal="center" wrapText="1"/>
    </xf>
    <xf numFmtId="0" fontId="48" fillId="0" borderId="92" xfId="5" applyFont="1" applyFill="1" applyBorder="1" applyAlignment="1">
      <alignment horizontal="center" wrapText="1"/>
    </xf>
    <xf numFmtId="0" fontId="48" fillId="0" borderId="49" xfId="5" applyFont="1" applyFill="1" applyBorder="1" applyAlignment="1">
      <alignment horizontal="center" wrapText="1"/>
    </xf>
    <xf numFmtId="0" fontId="48" fillId="0" borderId="93" xfId="5" applyFont="1" applyFill="1" applyBorder="1" applyAlignment="1">
      <alignment horizontal="center" wrapText="1"/>
    </xf>
    <xf numFmtId="0" fontId="45" fillId="3" borderId="24" xfId="5" applyFont="1" applyFill="1" applyBorder="1" applyAlignment="1">
      <alignment horizontal="center" vertical="center"/>
    </xf>
    <xf numFmtId="0" fontId="45" fillId="3" borderId="26" xfId="5" applyFont="1" applyFill="1" applyBorder="1" applyAlignment="1">
      <alignment horizontal="center" vertical="center"/>
    </xf>
    <xf numFmtId="0" fontId="46" fillId="3" borderId="71" xfId="5" applyFont="1" applyFill="1" applyBorder="1" applyAlignment="1">
      <alignment horizontal="center" vertical="center" wrapText="1"/>
    </xf>
    <xf numFmtId="0" fontId="46" fillId="3" borderId="112" xfId="5" applyFont="1" applyFill="1" applyBorder="1" applyAlignment="1">
      <alignment horizontal="center" vertical="center" wrapText="1"/>
    </xf>
    <xf numFmtId="0" fontId="46" fillId="3" borderId="67" xfId="5" applyFont="1" applyFill="1" applyBorder="1" applyAlignment="1">
      <alignment horizontal="center" vertical="center" wrapText="1"/>
    </xf>
    <xf numFmtId="0" fontId="46" fillId="3" borderId="21" xfId="5" applyFont="1" applyFill="1" applyBorder="1" applyAlignment="1">
      <alignment horizontal="center" vertical="center" wrapText="1"/>
    </xf>
    <xf numFmtId="0" fontId="45" fillId="3" borderId="86" xfId="5" applyNumberFormat="1" applyFont="1" applyFill="1" applyBorder="1" applyAlignment="1">
      <alignment horizontal="center" vertical="center" wrapText="1"/>
    </xf>
    <xf numFmtId="0" fontId="45" fillId="3" borderId="25" xfId="5" applyNumberFormat="1" applyFont="1" applyFill="1" applyBorder="1" applyAlignment="1">
      <alignment horizontal="center" vertical="center" wrapText="1"/>
    </xf>
    <xf numFmtId="0" fontId="48" fillId="0" borderId="39" xfId="5" applyFont="1" applyFill="1" applyBorder="1" applyAlignment="1">
      <alignment horizontal="center" wrapText="1"/>
    </xf>
    <xf numFmtId="0" fontId="48" fillId="0" borderId="113" xfId="5" applyFont="1" applyFill="1" applyBorder="1" applyAlignment="1">
      <alignment horizontal="center" wrapText="1"/>
    </xf>
    <xf numFmtId="0" fontId="42" fillId="0" borderId="87" xfId="5" applyFont="1" applyBorder="1" applyAlignment="1">
      <alignment horizontal="center" vertical="center"/>
    </xf>
    <xf numFmtId="0" fontId="42" fillId="0" borderId="71" xfId="5" applyFill="1" applyBorder="1" applyAlignment="1">
      <alignment horizontal="center"/>
    </xf>
    <xf numFmtId="0" fontId="42" fillId="0" borderId="89" xfId="5" applyFill="1" applyBorder="1" applyAlignment="1">
      <alignment horizontal="center"/>
    </xf>
    <xf numFmtId="0" fontId="42" fillId="0" borderId="67" xfId="5" applyFill="1" applyBorder="1" applyAlignment="1">
      <alignment horizontal="center"/>
    </xf>
    <xf numFmtId="0" fontId="42" fillId="0" borderId="87" xfId="5" applyFill="1" applyBorder="1" applyAlignment="1">
      <alignment horizontal="center" wrapText="1"/>
    </xf>
    <xf numFmtId="0" fontId="42" fillId="0" borderId="0" xfId="5" applyFill="1" applyBorder="1" applyAlignment="1">
      <alignment horizontal="center" wrapText="1"/>
    </xf>
    <xf numFmtId="0" fontId="42" fillId="0" borderId="109" xfId="5" applyFill="1" applyBorder="1" applyAlignment="1">
      <alignment horizontal="center" wrapText="1"/>
    </xf>
    <xf numFmtId="0" fontId="42" fillId="0" borderId="68" xfId="5" applyFill="1" applyBorder="1" applyAlignment="1">
      <alignment horizontal="center" wrapText="1"/>
    </xf>
    <xf numFmtId="0" fontId="42" fillId="0" borderId="46" xfId="5" applyFill="1" applyBorder="1" applyAlignment="1">
      <alignment horizontal="center" wrapText="1"/>
    </xf>
    <xf numFmtId="0" fontId="42" fillId="0" borderId="103" xfId="5" applyFill="1" applyBorder="1" applyAlignment="1">
      <alignment horizontal="center" wrapText="1"/>
    </xf>
    <xf numFmtId="0" fontId="22" fillId="3" borderId="107" xfId="5" applyFont="1" applyFill="1" applyBorder="1" applyAlignment="1">
      <alignment horizontal="left" vertical="center"/>
    </xf>
    <xf numFmtId="0" fontId="22" fillId="3" borderId="25" xfId="5" applyFont="1" applyFill="1" applyBorder="1" applyAlignment="1">
      <alignment horizontal="left" vertical="center"/>
    </xf>
    <xf numFmtId="0" fontId="22" fillId="3" borderId="86" xfId="5" applyFont="1" applyFill="1" applyBorder="1" applyAlignment="1">
      <alignment horizontal="center" vertical="center" wrapText="1"/>
    </xf>
    <xf numFmtId="0" fontId="22" fillId="3" borderId="25" xfId="5" applyFont="1" applyFill="1" applyBorder="1" applyAlignment="1">
      <alignment horizontal="center" vertical="center" wrapText="1"/>
    </xf>
    <xf numFmtId="0" fontId="22" fillId="3" borderId="41" xfId="5" applyFont="1" applyFill="1" applyBorder="1" applyAlignment="1">
      <alignment horizontal="center" vertical="center" wrapText="1"/>
    </xf>
    <xf numFmtId="0" fontId="42" fillId="3" borderId="100" xfId="5" applyFill="1" applyBorder="1" applyAlignment="1">
      <alignment horizontal="center" wrapText="1"/>
    </xf>
    <xf numFmtId="0" fontId="42" fillId="3" borderId="47" xfId="5" applyFill="1" applyBorder="1" applyAlignment="1">
      <alignment horizontal="center" wrapText="1"/>
    </xf>
    <xf numFmtId="0" fontId="42" fillId="3" borderId="108" xfId="5" applyFill="1" applyBorder="1" applyAlignment="1">
      <alignment horizontal="center" wrapText="1"/>
    </xf>
    <xf numFmtId="0" fontId="42" fillId="3" borderId="110" xfId="5" applyFill="1" applyBorder="1" applyAlignment="1">
      <alignment horizontal="center" wrapText="1"/>
    </xf>
    <xf numFmtId="0" fontId="42" fillId="3" borderId="0" xfId="5" applyFill="1" applyBorder="1" applyAlignment="1">
      <alignment horizontal="center" wrapText="1"/>
    </xf>
    <xf numFmtId="0" fontId="42" fillId="3" borderId="105" xfId="5" applyFill="1" applyBorder="1" applyAlignment="1">
      <alignment horizontal="center" wrapText="1"/>
    </xf>
    <xf numFmtId="0" fontId="72" fillId="8" borderId="116" xfId="0" applyFont="1" applyFill="1" applyBorder="1" applyAlignment="1">
      <alignment horizontal="center" vertical="center" wrapText="1"/>
    </xf>
    <xf numFmtId="0" fontId="72" fillId="8" borderId="117" xfId="0" applyFont="1" applyFill="1" applyBorder="1" applyAlignment="1">
      <alignment horizontal="center" vertical="center" wrapText="1"/>
    </xf>
    <xf numFmtId="0" fontId="80" fillId="0" borderId="0" xfId="0" applyNumberFormat="1" applyFont="1" applyAlignment="1">
      <alignment horizontal="left" wrapText="1"/>
    </xf>
    <xf numFmtId="0" fontId="80" fillId="0" borderId="0" xfId="0" applyFont="1" applyAlignment="1">
      <alignment horizontal="left" vertical="top" wrapText="1"/>
    </xf>
    <xf numFmtId="0" fontId="80" fillId="0" borderId="0" xfId="0" applyFont="1" applyAlignment="1">
      <alignment horizontal="left" wrapText="1"/>
    </xf>
    <xf numFmtId="0" fontId="82" fillId="8" borderId="134" xfId="0" applyFont="1" applyFill="1" applyBorder="1" applyAlignment="1">
      <alignment horizontal="center" vertical="center"/>
    </xf>
    <xf numFmtId="0" fontId="82" fillId="8" borderId="135" xfId="0" applyFont="1" applyFill="1" applyBorder="1" applyAlignment="1">
      <alignment horizontal="center" vertical="center"/>
    </xf>
    <xf numFmtId="0" fontId="82" fillId="8" borderId="116" xfId="0" applyFont="1" applyFill="1" applyBorder="1" applyAlignment="1">
      <alignment horizontal="center" vertical="center"/>
    </xf>
    <xf numFmtId="0" fontId="82" fillId="8" borderId="122" xfId="0" applyFont="1" applyFill="1" applyBorder="1" applyAlignment="1">
      <alignment horizontal="center" vertical="center"/>
    </xf>
    <xf numFmtId="0" fontId="82" fillId="8" borderId="117" xfId="0" applyFont="1" applyFill="1" applyBorder="1" applyAlignment="1">
      <alignment horizontal="center" vertical="center"/>
    </xf>
  </cellXfs>
  <cellStyles count="23">
    <cellStyle name="Excel Built-in Normal" xfId="20"/>
    <cellStyle name="Hyperlink" xfId="1" builtinId="8"/>
    <cellStyle name="Hyperlink 2" xfId="2"/>
    <cellStyle name="Hyperlink 3" xfId="3"/>
    <cellStyle name="Hyperlink 3 2" xfId="18"/>
    <cellStyle name="Normal" xfId="0" builtinId="0"/>
    <cellStyle name="Normal 2" xfId="4"/>
    <cellStyle name="Normal 3" xfId="5"/>
    <cellStyle name="Normal 3 2" xfId="9"/>
    <cellStyle name="Normal 4" xfId="8"/>
    <cellStyle name="Normal 5" xfId="19"/>
    <cellStyle name="Normal 6" xfId="21"/>
    <cellStyle name="Normal 7" xfId="22"/>
    <cellStyle name="Normal_Chart 12" xfId="16"/>
    <cellStyle name="Normal_Chart 1c DATA" xfId="17"/>
    <cellStyle name="Normal_Chart 1c DATA (final diag)" xfId="14"/>
    <cellStyle name="Normal_Chart 2a DATA" xfId="10"/>
    <cellStyle name="Normal_Chart 2b DATA" xfId="11"/>
    <cellStyle name="Normal_Chart 2c DATA" xfId="12"/>
    <cellStyle name="Normal_Chart 2d DATA" xfId="13"/>
    <cellStyle name="Normal_Chart 6 DATA" xfId="15"/>
    <cellStyle name="Normal_chart3" xfId="6"/>
    <cellStyle name="Normal_chart3 2" xfId="7"/>
  </cellStyles>
  <dxfs count="36">
    <dxf>
      <font>
        <color auto="1"/>
      </font>
      <numFmt numFmtId="1" formatCode="0"/>
      <fill>
        <patternFill patternType="none">
          <bgColor auto="1"/>
        </patternFill>
      </fill>
    </dxf>
    <dxf>
      <numFmt numFmtId="166" formatCode="0.0"/>
    </dxf>
    <dxf>
      <numFmt numFmtId="166" formatCode="0.0"/>
    </dxf>
    <dxf>
      <numFmt numFmtId="166" formatCode="0.0"/>
    </dxf>
    <dxf>
      <font>
        <color theme="0" tint="-0.24994659260841701"/>
      </font>
    </dxf>
    <dxf>
      <font>
        <color auto="1"/>
      </font>
      <numFmt numFmtId="1" formatCode="0"/>
      <fill>
        <patternFill patternType="none">
          <bgColor auto="1"/>
        </patternFill>
      </fill>
    </dxf>
    <dxf>
      <numFmt numFmtId="166" formatCode="0.0"/>
    </dxf>
    <dxf>
      <numFmt numFmtId="166" formatCode="0.0"/>
    </dxf>
    <dxf>
      <numFmt numFmtId="166" formatCode="0.0"/>
    </dxf>
    <dxf>
      <font>
        <color theme="0" tint="-0.24994659260841701"/>
      </font>
    </dxf>
    <dxf>
      <font>
        <color auto="1"/>
      </font>
      <numFmt numFmtId="1" formatCode="0"/>
      <fill>
        <patternFill patternType="none">
          <bgColor auto="1"/>
        </patternFill>
      </fill>
    </dxf>
    <dxf>
      <numFmt numFmtId="166" formatCode="0.0"/>
    </dxf>
    <dxf>
      <numFmt numFmtId="166" formatCode="0.0"/>
    </dxf>
    <dxf>
      <numFmt numFmtId="166" formatCode="0.0"/>
    </dxf>
    <dxf>
      <font>
        <color theme="0" tint="-0.24994659260841701"/>
      </font>
    </dxf>
    <dxf>
      <fill>
        <patternFill>
          <bgColor rgb="FF92D050"/>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s>
  <tableStyles count="0" defaultTableStyle="TableStyleMedium9" defaultPivotStyle="PivotStyleLight16"/>
  <colors>
    <mruColors>
      <color rgb="FF333399"/>
      <color rgb="FF9999FF"/>
      <color rgb="FF99CC00"/>
      <color rgb="FF008000"/>
      <color rgb="FFFFC000"/>
      <color rgb="FFFF0000"/>
      <color rgb="FF0070C0"/>
      <color rgb="FF993366"/>
      <color rgb="FF7F7F7F"/>
      <color rgb="FFD9D9D9"/>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8.418000263933488E-2"/>
          <c:y val="3.4668289414642839E-2"/>
          <c:w val="0.80370081672754035"/>
          <c:h val="0.75436635994268741"/>
        </c:manualLayout>
      </c:layout>
      <c:barChart>
        <c:barDir val="col"/>
        <c:grouping val="clustered"/>
        <c:ser>
          <c:idx val="1"/>
          <c:order val="0"/>
          <c:tx>
            <c:strRef>
              <c:f>'Chart 1b DATA'!$C$2</c:f>
              <c:strCache>
                <c:ptCount val="1"/>
                <c:pt idx="0">
                  <c:v>2016 (%)</c:v>
                </c:pt>
              </c:strCache>
            </c:strRef>
          </c:tx>
          <c:spPr>
            <a:solidFill>
              <a:srgbClr val="993366"/>
            </a:solidFill>
            <a:ln>
              <a:solidFill>
                <a:prstClr val="black"/>
              </a:solidFill>
            </a:ln>
          </c:spPr>
          <c:dPt>
            <c:idx val="0"/>
            <c:spPr>
              <a:solidFill>
                <a:srgbClr val="008000"/>
              </a:solidFill>
              <a:ln>
                <a:solidFill>
                  <a:prstClr val="black"/>
                </a:solidFill>
              </a:ln>
            </c:spPr>
          </c:dPt>
          <c:cat>
            <c:strRef>
              <c:f>'Chart 1b DATA'!$A$3:$A$17</c:f>
              <c:strCache>
                <c:ptCount val="15"/>
                <c:pt idx="0">
                  <c:v>Scotland</c:v>
                </c:pt>
                <c:pt idx="1">
                  <c:v> Borders</c:v>
                </c:pt>
                <c:pt idx="2">
                  <c:v> Fife</c:v>
                </c:pt>
                <c:pt idx="3">
                  <c:v> Ayrshire &amp; Arran</c:v>
                </c:pt>
                <c:pt idx="4">
                  <c:v> Forth Valley</c:v>
                </c:pt>
                <c:pt idx="5">
                  <c:v> Grampian</c:v>
                </c:pt>
                <c:pt idx="6">
                  <c:v> Lanarkshire</c:v>
                </c:pt>
                <c:pt idx="7">
                  <c:v> Lothian</c:v>
                </c:pt>
                <c:pt idx="8">
                  <c:v> Dumfries &amp; Galloway*</c:v>
                </c:pt>
                <c:pt idx="9">
                  <c:v> Tayside</c:v>
                </c:pt>
                <c:pt idx="10">
                  <c:v> Greater Glasgow &amp; Clyde</c:v>
                </c:pt>
                <c:pt idx="11">
                  <c:v> Highland*</c:v>
                </c:pt>
                <c:pt idx="12">
                  <c:v> Shetland*</c:v>
                </c:pt>
                <c:pt idx="13">
                  <c:v> Orkney*</c:v>
                </c:pt>
                <c:pt idx="14">
                  <c:v> Western Isles*</c:v>
                </c:pt>
              </c:strCache>
            </c:strRef>
          </c:cat>
          <c:val>
            <c:numRef>
              <c:f>'Chart 1b DATA'!$C$3:$C$17</c:f>
              <c:numCache>
                <c:formatCode>0</c:formatCode>
                <c:ptCount val="15"/>
                <c:pt idx="0">
                  <c:v>66.620803522289478</c:v>
                </c:pt>
                <c:pt idx="1">
                  <c:v>79.166666666666657</c:v>
                </c:pt>
                <c:pt idx="2">
                  <c:v>77.358490566037744</c:v>
                </c:pt>
                <c:pt idx="3">
                  <c:v>76.874205844980935</c:v>
                </c:pt>
                <c:pt idx="4">
                  <c:v>74.168797953964187</c:v>
                </c:pt>
                <c:pt idx="5">
                  <c:v>69.059829059829056</c:v>
                </c:pt>
                <c:pt idx="6">
                  <c:v>66.2020905923345</c:v>
                </c:pt>
                <c:pt idx="7">
                  <c:v>65.931156222418366</c:v>
                </c:pt>
                <c:pt idx="8">
                  <c:v>64.071856287425149</c:v>
                </c:pt>
                <c:pt idx="9">
                  <c:v>62.5</c:v>
                </c:pt>
                <c:pt idx="10">
                  <c:v>60.185662712738534</c:v>
                </c:pt>
                <c:pt idx="11">
                  <c:v>59.012345679012348</c:v>
                </c:pt>
                <c:pt idx="12">
                  <c:v>58.064516129032263</c:v>
                </c:pt>
                <c:pt idx="13">
                  <c:v>52</c:v>
                </c:pt>
                <c:pt idx="14">
                  <c:v>42.857142857142854</c:v>
                </c:pt>
              </c:numCache>
            </c:numRef>
          </c:val>
        </c:ser>
        <c:axId val="198255360"/>
        <c:axId val="198256896"/>
      </c:barChart>
      <c:catAx>
        <c:axId val="198255360"/>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98256896"/>
        <c:crosses val="autoZero"/>
        <c:auto val="1"/>
        <c:lblAlgn val="ctr"/>
        <c:lblOffset val="100"/>
      </c:catAx>
      <c:valAx>
        <c:axId val="198256896"/>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8255360"/>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304E-2"/>
          <c:y val="8.0232093304875005E-2"/>
          <c:w val="0.81007028782419765"/>
          <c:h val="0.72370482152729065"/>
        </c:manualLayout>
      </c:layout>
      <c:barChart>
        <c:barDir val="col"/>
        <c:grouping val="stacked"/>
        <c:ser>
          <c:idx val="0"/>
          <c:order val="1"/>
          <c:tx>
            <c:strRef>
              <c:f>'Chart 4 (2016) DATA'!$D$2</c:f>
              <c:strCache>
                <c:ptCount val="1"/>
                <c:pt idx="0">
                  <c:v>Within 4 hours</c:v>
                </c:pt>
              </c:strCache>
            </c:strRef>
          </c:tx>
          <c:spPr>
            <a:solidFill>
              <a:srgbClr val="9999FF"/>
            </a:solidFill>
            <a:ln>
              <a:solidFill>
                <a:schemeClr val="tx1"/>
              </a:solidFill>
            </a:ln>
          </c:spPr>
          <c:dPt>
            <c:idx val="0"/>
            <c:spPr>
              <a:solidFill>
                <a:srgbClr val="008000"/>
              </a:solidFill>
              <a:ln>
                <a:solidFill>
                  <a:schemeClr val="tx1"/>
                </a:solidFill>
              </a:ln>
            </c:spPr>
          </c:dPt>
          <c:val>
            <c:numRef>
              <c:f>'Chart 4 (2016) DATA'!$D$3:$D$30</c:f>
              <c:numCache>
                <c:formatCode>0</c:formatCode>
                <c:ptCount val="28"/>
                <c:pt idx="0">
                  <c:v>59.672060872360944</c:v>
                </c:pt>
                <c:pt idx="1">
                  <c:v>72.41379310344827</c:v>
                </c:pt>
                <c:pt idx="2">
                  <c:v>69.444444444444443</c:v>
                </c:pt>
                <c:pt idx="3">
                  <c:v>53.314121037463977</c:v>
                </c:pt>
                <c:pt idx="4">
                  <c:v>79.553903345724905</c:v>
                </c:pt>
                <c:pt idx="5">
                  <c:v>74.849785407725321</c:v>
                </c:pt>
                <c:pt idx="6">
                  <c:v>68.120300751879697</c:v>
                </c:pt>
                <c:pt idx="7">
                  <c:v>47.02495201535509</c:v>
                </c:pt>
                <c:pt idx="8">
                  <c:v>76.470588235294116</c:v>
                </c:pt>
                <c:pt idx="9">
                  <c:v>60.29173419773096</c:v>
                </c:pt>
                <c:pt idx="10">
                  <c:v>59.375</c:v>
                </c:pt>
                <c:pt idx="11">
                  <c:v>62.539682539682538</c:v>
                </c:pt>
                <c:pt idx="12">
                  <c:v>40.931989924433246</c:v>
                </c:pt>
                <c:pt idx="13">
                  <c:v>74.311926605504581</c:v>
                </c:pt>
                <c:pt idx="14">
                  <c:v>58.080808080808076</c:v>
                </c:pt>
                <c:pt idx="15">
                  <c:v>60.975609756097562</c:v>
                </c:pt>
                <c:pt idx="16">
                  <c:v>58.928571428571431</c:v>
                </c:pt>
                <c:pt idx="17">
                  <c:v>76.642335766423358</c:v>
                </c:pt>
                <c:pt idx="18">
                  <c:v>57.268722466960355</c:v>
                </c:pt>
                <c:pt idx="19">
                  <c:v>70.0836820083682</c:v>
                </c:pt>
                <c:pt idx="20">
                  <c:v>78.787878787878782</c:v>
                </c:pt>
                <c:pt idx="21">
                  <c:v>44.174757281553397</c:v>
                </c:pt>
                <c:pt idx="22">
                  <c:v>56.451612903225815</c:v>
                </c:pt>
                <c:pt idx="23">
                  <c:v>48.947368421052637</c:v>
                </c:pt>
                <c:pt idx="24">
                  <c:v>72.222222222222214</c:v>
                </c:pt>
                <c:pt idx="25">
                  <c:v>39</c:v>
                </c:pt>
                <c:pt idx="26">
                  <c:v>56.140350877192979</c:v>
                </c:pt>
                <c:pt idx="27">
                  <c:v>27.74327122153209</c:v>
                </c:pt>
              </c:numCache>
            </c:numRef>
          </c:val>
        </c:ser>
        <c:ser>
          <c:idx val="1"/>
          <c:order val="2"/>
          <c:tx>
            <c:strRef>
              <c:f>'Chart 4 (2016) DATA'!$M$2</c:f>
              <c:strCache>
                <c:ptCount val="1"/>
                <c:pt idx="0">
                  <c:v>Within 24 hours</c:v>
                </c:pt>
              </c:strCache>
            </c:strRef>
          </c:tx>
          <c:spPr>
            <a:solidFill>
              <a:srgbClr val="993366"/>
            </a:solidFill>
            <a:ln>
              <a:solidFill>
                <a:prstClr val="black"/>
              </a:solidFill>
            </a:ln>
          </c:spPr>
          <c:dPt>
            <c:idx val="0"/>
            <c:spPr>
              <a:solidFill>
                <a:srgbClr val="99CC00"/>
              </a:solidFill>
              <a:ln>
                <a:solidFill>
                  <a:prstClr val="black"/>
                </a:solidFill>
              </a:ln>
            </c:spPr>
          </c:dPt>
          <c:cat>
            <c:strRef>
              <c:f>'Chart 4 (2016) DATA'!$A$3:$A$30</c:f>
              <c:strCache>
                <c:ptCount val="28"/>
                <c:pt idx="0">
                  <c:v>Scotland</c:v>
                </c:pt>
                <c:pt idx="1">
                  <c:v>Western Isles</c:v>
                </c:pt>
                <c:pt idx="2">
                  <c:v>Borders</c:v>
                </c:pt>
                <c:pt idx="3">
                  <c:v>Wishaw</c:v>
                </c:pt>
                <c:pt idx="4">
                  <c:v>SJH</c:v>
                </c:pt>
                <c:pt idx="5">
                  <c:v>QEUH</c:v>
                </c:pt>
                <c:pt idx="6">
                  <c:v>VHK</c:v>
                </c:pt>
                <c:pt idx="7">
                  <c:v>FVRH</c:v>
                </c:pt>
                <c:pt idx="8">
                  <c:v>Caithness</c:v>
                </c:pt>
                <c:pt idx="9">
                  <c:v>GRI</c:v>
                </c:pt>
                <c:pt idx="10">
                  <c:v>Belford</c:v>
                </c:pt>
                <c:pt idx="11">
                  <c:v>Hairmyres</c:v>
                </c:pt>
                <c:pt idx="12">
                  <c:v>Crosshouse</c:v>
                </c:pt>
                <c:pt idx="13">
                  <c:v>ARI</c:v>
                </c:pt>
                <c:pt idx="14">
                  <c:v>IRH</c:v>
                </c:pt>
                <c:pt idx="15">
                  <c:v>Gilbert Bain</c:v>
                </c:pt>
                <c:pt idx="16">
                  <c:v>WGH</c:v>
                </c:pt>
                <c:pt idx="17">
                  <c:v>Dr Grays</c:v>
                </c:pt>
                <c:pt idx="18">
                  <c:v>PRI</c:v>
                </c:pt>
                <c:pt idx="19">
                  <c:v>RIE</c:v>
                </c:pt>
                <c:pt idx="20">
                  <c:v>GCH</c:v>
                </c:pt>
                <c:pt idx="21">
                  <c:v>DGRI</c:v>
                </c:pt>
                <c:pt idx="22">
                  <c:v>Raigmore</c:v>
                </c:pt>
                <c:pt idx="23">
                  <c:v>RAH</c:v>
                </c:pt>
                <c:pt idx="24">
                  <c:v>Balfour</c:v>
                </c:pt>
                <c:pt idx="25">
                  <c:v>Monklands</c:v>
                </c:pt>
                <c:pt idx="26">
                  <c:v>L&amp;I</c:v>
                </c:pt>
                <c:pt idx="27">
                  <c:v>Ninewells</c:v>
                </c:pt>
              </c:strCache>
            </c:strRef>
          </c:cat>
          <c:val>
            <c:numRef>
              <c:f>'Chart 4 (2016) DATA'!$M$3:$M$30</c:f>
              <c:numCache>
                <c:formatCode>0</c:formatCode>
                <c:ptCount val="28"/>
                <c:pt idx="0">
                  <c:v>33.169006537348622</c:v>
                </c:pt>
                <c:pt idx="1">
                  <c:v>27.58620689655173</c:v>
                </c:pt>
                <c:pt idx="2">
                  <c:v>29.166666666666671</c:v>
                </c:pt>
                <c:pt idx="3">
                  <c:v>42.651296829971173</c:v>
                </c:pt>
                <c:pt idx="4">
                  <c:v>16.356877323420079</c:v>
                </c:pt>
                <c:pt idx="5">
                  <c:v>20.858369098712444</c:v>
                </c:pt>
                <c:pt idx="6">
                  <c:v>27.067669172932341</c:v>
                </c:pt>
                <c:pt idx="7">
                  <c:v>47.984644913627626</c:v>
                </c:pt>
                <c:pt idx="8">
                  <c:v>17.647058823529406</c:v>
                </c:pt>
                <c:pt idx="9">
                  <c:v>33.549432739059966</c:v>
                </c:pt>
                <c:pt idx="10">
                  <c:v>34.375</c:v>
                </c:pt>
                <c:pt idx="11">
                  <c:v>30.793650793650791</c:v>
                </c:pt>
                <c:pt idx="12">
                  <c:v>52.267002518891694</c:v>
                </c:pt>
                <c:pt idx="13">
                  <c:v>18.807339449541288</c:v>
                </c:pt>
                <c:pt idx="14">
                  <c:v>34.848484848484851</c:v>
                </c:pt>
                <c:pt idx="15">
                  <c:v>31.707317073170735</c:v>
                </c:pt>
                <c:pt idx="16">
                  <c:v>33.482142857142861</c:v>
                </c:pt>
                <c:pt idx="17">
                  <c:v>15.328467153284677</c:v>
                </c:pt>
                <c:pt idx="18">
                  <c:v>34.36123348017621</c:v>
                </c:pt>
                <c:pt idx="19">
                  <c:v>21.443514644351467</c:v>
                </c:pt>
                <c:pt idx="20">
                  <c:v>12.121212121212125</c:v>
                </c:pt>
                <c:pt idx="21">
                  <c:v>46.601941747572823</c:v>
                </c:pt>
                <c:pt idx="22">
                  <c:v>34.193548387096776</c:v>
                </c:pt>
                <c:pt idx="23">
                  <c:v>40.526315789473678</c:v>
                </c:pt>
                <c:pt idx="24">
                  <c:v>16.666666666666671</c:v>
                </c:pt>
                <c:pt idx="25">
                  <c:v>49</c:v>
                </c:pt>
                <c:pt idx="26">
                  <c:v>29.824561403508774</c:v>
                </c:pt>
                <c:pt idx="27">
                  <c:v>58.178053830227746</c:v>
                </c:pt>
              </c:numCache>
            </c:numRef>
          </c:val>
        </c:ser>
        <c:overlap val="100"/>
        <c:axId val="81260544"/>
        <c:axId val="81262080"/>
      </c:barChart>
      <c:lineChart>
        <c:grouping val="standard"/>
        <c:ser>
          <c:idx val="3"/>
          <c:order val="0"/>
          <c:tx>
            <c:strRef>
              <c:f>'Chart 4 (2016) DATA'!$N$2</c:f>
              <c:strCache>
                <c:ptCount val="1"/>
                <c:pt idx="0">
                  <c:v>Stroke Standard (2016)</c:v>
                </c:pt>
              </c:strCache>
            </c:strRef>
          </c:tx>
          <c:spPr>
            <a:ln>
              <a:solidFill>
                <a:srgbClr val="0070C0"/>
              </a:solidFill>
            </a:ln>
          </c:spPr>
          <c:marker>
            <c:symbol val="none"/>
          </c:marker>
          <c:cat>
            <c:strRef>
              <c:f>'Chart 4 (2016) DATA'!$A$3:$A$30</c:f>
              <c:strCache>
                <c:ptCount val="28"/>
                <c:pt idx="0">
                  <c:v>Scotland</c:v>
                </c:pt>
                <c:pt idx="1">
                  <c:v>Western Isles</c:v>
                </c:pt>
                <c:pt idx="2">
                  <c:v>Borders</c:v>
                </c:pt>
                <c:pt idx="3">
                  <c:v>Wishaw</c:v>
                </c:pt>
                <c:pt idx="4">
                  <c:v>SJH</c:v>
                </c:pt>
                <c:pt idx="5">
                  <c:v>QEUH</c:v>
                </c:pt>
                <c:pt idx="6">
                  <c:v>VHK</c:v>
                </c:pt>
                <c:pt idx="7">
                  <c:v>FVRH</c:v>
                </c:pt>
                <c:pt idx="8">
                  <c:v>Caithness</c:v>
                </c:pt>
                <c:pt idx="9">
                  <c:v>GRI</c:v>
                </c:pt>
                <c:pt idx="10">
                  <c:v>Belford</c:v>
                </c:pt>
                <c:pt idx="11">
                  <c:v>Hairmyres</c:v>
                </c:pt>
                <c:pt idx="12">
                  <c:v>Crosshouse</c:v>
                </c:pt>
                <c:pt idx="13">
                  <c:v>ARI</c:v>
                </c:pt>
                <c:pt idx="14">
                  <c:v>IRH</c:v>
                </c:pt>
                <c:pt idx="15">
                  <c:v>Gilbert Bain</c:v>
                </c:pt>
                <c:pt idx="16">
                  <c:v>WGH</c:v>
                </c:pt>
                <c:pt idx="17">
                  <c:v>Dr Grays</c:v>
                </c:pt>
                <c:pt idx="18">
                  <c:v>PRI</c:v>
                </c:pt>
                <c:pt idx="19">
                  <c:v>RIE</c:v>
                </c:pt>
                <c:pt idx="20">
                  <c:v>GCH</c:v>
                </c:pt>
                <c:pt idx="21">
                  <c:v>DGRI</c:v>
                </c:pt>
                <c:pt idx="22">
                  <c:v>Raigmore</c:v>
                </c:pt>
                <c:pt idx="23">
                  <c:v>RAH</c:v>
                </c:pt>
                <c:pt idx="24">
                  <c:v>Balfour</c:v>
                </c:pt>
                <c:pt idx="25">
                  <c:v>Monklands</c:v>
                </c:pt>
                <c:pt idx="26">
                  <c:v>L&amp;I</c:v>
                </c:pt>
                <c:pt idx="27">
                  <c:v>Ninewells</c:v>
                </c:pt>
              </c:strCache>
            </c:strRef>
          </c:cat>
          <c:val>
            <c:numRef>
              <c:f>'Chart 4 (2016) DATA'!$N$3:$N$30</c:f>
              <c:numCache>
                <c:formatCode>General</c:formatCode>
                <c:ptCount val="28"/>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pt idx="16">
                  <c:v>95</c:v>
                </c:pt>
                <c:pt idx="17">
                  <c:v>95</c:v>
                </c:pt>
                <c:pt idx="18">
                  <c:v>95</c:v>
                </c:pt>
                <c:pt idx="19">
                  <c:v>95</c:v>
                </c:pt>
                <c:pt idx="20">
                  <c:v>95</c:v>
                </c:pt>
                <c:pt idx="21">
                  <c:v>95</c:v>
                </c:pt>
                <c:pt idx="22">
                  <c:v>95</c:v>
                </c:pt>
                <c:pt idx="23">
                  <c:v>95</c:v>
                </c:pt>
                <c:pt idx="24">
                  <c:v>95</c:v>
                </c:pt>
                <c:pt idx="25">
                  <c:v>95</c:v>
                </c:pt>
                <c:pt idx="26">
                  <c:v>95</c:v>
                </c:pt>
                <c:pt idx="27">
                  <c:v>95</c:v>
                </c:pt>
              </c:numCache>
            </c:numRef>
          </c:val>
        </c:ser>
        <c:marker val="1"/>
        <c:axId val="81260544"/>
        <c:axId val="81262080"/>
      </c:lineChart>
      <c:catAx>
        <c:axId val="81260544"/>
        <c:scaling>
          <c:orientation val="minMax"/>
        </c:scaling>
        <c:axPos val="b"/>
        <c:tickLblPos val="nextTo"/>
        <c:txPr>
          <a:bodyPr rot="-5400000" vert="horz"/>
          <a:lstStyle/>
          <a:p>
            <a:pPr>
              <a:defRPr sz="800"/>
            </a:pPr>
            <a:endParaRPr lang="en-US"/>
          </a:p>
        </c:txPr>
        <c:crossAx val="81262080"/>
        <c:crosses val="autoZero"/>
        <c:auto val="1"/>
        <c:lblAlgn val="ctr"/>
        <c:lblOffset val="100"/>
      </c:catAx>
      <c:valAx>
        <c:axId val="81262080"/>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81260544"/>
        <c:crosses val="autoZero"/>
        <c:crossBetween val="between"/>
      </c:valAx>
      <c:spPr>
        <a:ln>
          <a:solidFill>
            <a:schemeClr val="tx1"/>
          </a:solidFill>
        </a:ln>
      </c:spPr>
    </c:plotArea>
    <c:legend>
      <c:legendPos val="r"/>
      <c:layout>
        <c:manualLayout>
          <c:xMode val="edge"/>
          <c:yMode val="edge"/>
          <c:x val="0.88435876953507897"/>
          <c:y val="0.32533538570836973"/>
          <c:w val="0.10077686777447142"/>
          <c:h val="0.21610384228287274"/>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855" l="0.70000000000000062" r="0.70000000000000062" t="0.750000000000008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346E-2"/>
          <c:y val="8.0232093304875005E-2"/>
          <c:w val="0.81007028782419765"/>
          <c:h val="0.72370482152729065"/>
        </c:manualLayout>
      </c:layout>
      <c:barChart>
        <c:barDir val="col"/>
        <c:grouping val="stacked"/>
        <c:ser>
          <c:idx val="0"/>
          <c:order val="1"/>
          <c:tx>
            <c:strRef>
              <c:f>'Chart 4 (2015) DATA'!$D$2</c:f>
              <c:strCache>
                <c:ptCount val="1"/>
                <c:pt idx="0">
                  <c:v>Within 4 hours</c:v>
                </c:pt>
              </c:strCache>
            </c:strRef>
          </c:tx>
          <c:spPr>
            <a:solidFill>
              <a:srgbClr val="9999FF"/>
            </a:solidFill>
            <a:ln>
              <a:solidFill>
                <a:schemeClr val="tx1"/>
              </a:solidFill>
            </a:ln>
          </c:spPr>
          <c:dPt>
            <c:idx val="0"/>
            <c:spPr>
              <a:solidFill>
                <a:srgbClr val="008000"/>
              </a:solidFill>
              <a:ln>
                <a:solidFill>
                  <a:schemeClr val="tx1"/>
                </a:solidFill>
              </a:ln>
            </c:spPr>
          </c:dPt>
          <c:cat>
            <c:strRef>
              <c:f>'Chart 4 (2015) DATA'!$A$3:$A$32</c:f>
              <c:strCache>
                <c:ptCount val="30"/>
                <c:pt idx="0">
                  <c:v>Scotland</c:v>
                </c:pt>
                <c:pt idx="1">
                  <c:v>Borders</c:v>
                </c:pt>
                <c:pt idx="2">
                  <c:v>Caithness</c:v>
                </c:pt>
                <c:pt idx="3">
                  <c:v>Western Isles</c:v>
                </c:pt>
                <c:pt idx="4">
                  <c:v>SJH</c:v>
                </c:pt>
                <c:pt idx="5">
                  <c:v>Wishaw</c:v>
                </c:pt>
                <c:pt idx="6">
                  <c:v>FVRH</c:v>
                </c:pt>
                <c:pt idx="7">
                  <c:v>VHK</c:v>
                </c:pt>
                <c:pt idx="8">
                  <c:v>Hairmyres</c:v>
                </c:pt>
                <c:pt idx="9">
                  <c:v>PRI</c:v>
                </c:pt>
                <c:pt idx="10">
                  <c:v>QEUH</c:v>
                </c:pt>
                <c:pt idx="11">
                  <c:v>ARI</c:v>
                </c:pt>
                <c:pt idx="12">
                  <c:v>Dr Grays</c:v>
                </c:pt>
                <c:pt idx="13">
                  <c:v>DGRI</c:v>
                </c:pt>
                <c:pt idx="14">
                  <c:v>IRH</c:v>
                </c:pt>
                <c:pt idx="15">
                  <c:v>RIE</c:v>
                </c:pt>
                <c:pt idx="16">
                  <c:v>GCH</c:v>
                </c:pt>
                <c:pt idx="17">
                  <c:v>WGH</c:v>
                </c:pt>
                <c:pt idx="18">
                  <c:v>RAH</c:v>
                </c:pt>
                <c:pt idx="19">
                  <c:v>GRI</c:v>
                </c:pt>
                <c:pt idx="20">
                  <c:v>Monklands</c:v>
                </c:pt>
                <c:pt idx="21">
                  <c:v>L&amp;I</c:v>
                </c:pt>
                <c:pt idx="22">
                  <c:v>Crosshouse</c:v>
                </c:pt>
                <c:pt idx="23">
                  <c:v>Raigmore</c:v>
                </c:pt>
                <c:pt idx="24">
                  <c:v>Gilbert Bain</c:v>
                </c:pt>
                <c:pt idx="25">
                  <c:v>Belford</c:v>
                </c:pt>
                <c:pt idx="26">
                  <c:v>Ninewells</c:v>
                </c:pt>
                <c:pt idx="27">
                  <c:v>Ayr</c:v>
                </c:pt>
                <c:pt idx="28">
                  <c:v>Balfour</c:v>
                </c:pt>
                <c:pt idx="29">
                  <c:v>Uist &amp; Barra</c:v>
                </c:pt>
              </c:strCache>
            </c:strRef>
          </c:cat>
          <c:val>
            <c:numRef>
              <c:f>'Chart 4 (2015) DATA'!$D$3:$D$32</c:f>
              <c:numCache>
                <c:formatCode>0</c:formatCode>
                <c:ptCount val="30"/>
                <c:pt idx="0">
                  <c:v>57.128491620111731</c:v>
                </c:pt>
                <c:pt idx="1">
                  <c:v>68.609865470852014</c:v>
                </c:pt>
                <c:pt idx="2">
                  <c:v>62.5</c:v>
                </c:pt>
                <c:pt idx="3">
                  <c:v>91.17647058823529</c:v>
                </c:pt>
                <c:pt idx="4">
                  <c:v>77.732793522267201</c:v>
                </c:pt>
                <c:pt idx="5">
                  <c:v>56.534954407294833</c:v>
                </c:pt>
                <c:pt idx="6">
                  <c:v>44.280442804428041</c:v>
                </c:pt>
                <c:pt idx="7">
                  <c:v>65.293185419968296</c:v>
                </c:pt>
                <c:pt idx="8">
                  <c:v>60.666666666666671</c:v>
                </c:pt>
                <c:pt idx="9">
                  <c:v>56.149732620320862</c:v>
                </c:pt>
                <c:pt idx="10">
                  <c:v>70.079435127978812</c:v>
                </c:pt>
                <c:pt idx="11">
                  <c:v>72.035139092240115</c:v>
                </c:pt>
                <c:pt idx="12">
                  <c:v>63.28125</c:v>
                </c:pt>
                <c:pt idx="13">
                  <c:v>50.409836065573764</c:v>
                </c:pt>
                <c:pt idx="14">
                  <c:v>44.761904761904766</c:v>
                </c:pt>
                <c:pt idx="15">
                  <c:v>70.08639308855291</c:v>
                </c:pt>
                <c:pt idx="16">
                  <c:v>80</c:v>
                </c:pt>
                <c:pt idx="17">
                  <c:v>55.021834061135365</c:v>
                </c:pt>
                <c:pt idx="18">
                  <c:v>43.103448275862064</c:v>
                </c:pt>
                <c:pt idx="19">
                  <c:v>52.207293666026864</c:v>
                </c:pt>
                <c:pt idx="20">
                  <c:v>39.047619047619051</c:v>
                </c:pt>
                <c:pt idx="21">
                  <c:v>58.695652173913047</c:v>
                </c:pt>
                <c:pt idx="22">
                  <c:v>42.159383033419026</c:v>
                </c:pt>
                <c:pt idx="23">
                  <c:v>44.759206798866856</c:v>
                </c:pt>
                <c:pt idx="24">
                  <c:v>60</c:v>
                </c:pt>
                <c:pt idx="25">
                  <c:v>60.714285714285708</c:v>
                </c:pt>
                <c:pt idx="26">
                  <c:v>30</c:v>
                </c:pt>
                <c:pt idx="27">
                  <c:v>32.830188679245282</c:v>
                </c:pt>
                <c:pt idx="28">
                  <c:v>53.658536585365859</c:v>
                </c:pt>
                <c:pt idx="29">
                  <c:v>0</c:v>
                </c:pt>
              </c:numCache>
            </c:numRef>
          </c:val>
        </c:ser>
        <c:ser>
          <c:idx val="1"/>
          <c:order val="2"/>
          <c:tx>
            <c:strRef>
              <c:f>'Chart 4 (2015) DATA'!$M$2</c:f>
              <c:strCache>
                <c:ptCount val="1"/>
                <c:pt idx="0">
                  <c:v>Within 24 hours</c:v>
                </c:pt>
              </c:strCache>
            </c:strRef>
          </c:tx>
          <c:spPr>
            <a:solidFill>
              <a:srgbClr val="993366"/>
            </a:solidFill>
            <a:ln>
              <a:solidFill>
                <a:prstClr val="black"/>
              </a:solidFill>
            </a:ln>
          </c:spPr>
          <c:dPt>
            <c:idx val="0"/>
            <c:spPr>
              <a:solidFill>
                <a:srgbClr val="99CC00"/>
              </a:solidFill>
              <a:ln>
                <a:solidFill>
                  <a:prstClr val="black"/>
                </a:solidFill>
              </a:ln>
            </c:spPr>
          </c:dPt>
          <c:cat>
            <c:strRef>
              <c:f>'Chart 4 (2015) DATA'!$A$3:$A$32</c:f>
              <c:strCache>
                <c:ptCount val="30"/>
                <c:pt idx="0">
                  <c:v>Scotland</c:v>
                </c:pt>
                <c:pt idx="1">
                  <c:v>Borders</c:v>
                </c:pt>
                <c:pt idx="2">
                  <c:v>Caithness</c:v>
                </c:pt>
                <c:pt idx="3">
                  <c:v>Western Isles</c:v>
                </c:pt>
                <c:pt idx="4">
                  <c:v>SJH</c:v>
                </c:pt>
                <c:pt idx="5">
                  <c:v>Wishaw</c:v>
                </c:pt>
                <c:pt idx="6">
                  <c:v>FVRH</c:v>
                </c:pt>
                <c:pt idx="7">
                  <c:v>VHK</c:v>
                </c:pt>
                <c:pt idx="8">
                  <c:v>Hairmyres</c:v>
                </c:pt>
                <c:pt idx="9">
                  <c:v>PRI</c:v>
                </c:pt>
                <c:pt idx="10">
                  <c:v>QEUH</c:v>
                </c:pt>
                <c:pt idx="11">
                  <c:v>ARI</c:v>
                </c:pt>
                <c:pt idx="12">
                  <c:v>Dr Grays</c:v>
                </c:pt>
                <c:pt idx="13">
                  <c:v>DGRI</c:v>
                </c:pt>
                <c:pt idx="14">
                  <c:v>IRH</c:v>
                </c:pt>
                <c:pt idx="15">
                  <c:v>RIE</c:v>
                </c:pt>
                <c:pt idx="16">
                  <c:v>GCH</c:v>
                </c:pt>
                <c:pt idx="17">
                  <c:v>WGH</c:v>
                </c:pt>
                <c:pt idx="18">
                  <c:v>RAH</c:v>
                </c:pt>
                <c:pt idx="19">
                  <c:v>GRI</c:v>
                </c:pt>
                <c:pt idx="20">
                  <c:v>Monklands</c:v>
                </c:pt>
                <c:pt idx="21">
                  <c:v>L&amp;I</c:v>
                </c:pt>
                <c:pt idx="22">
                  <c:v>Crosshouse</c:v>
                </c:pt>
                <c:pt idx="23">
                  <c:v>Raigmore</c:v>
                </c:pt>
                <c:pt idx="24">
                  <c:v>Gilbert Bain</c:v>
                </c:pt>
                <c:pt idx="25">
                  <c:v>Belford</c:v>
                </c:pt>
                <c:pt idx="26">
                  <c:v>Ninewells</c:v>
                </c:pt>
                <c:pt idx="27">
                  <c:v>Ayr</c:v>
                </c:pt>
                <c:pt idx="28">
                  <c:v>Balfour</c:v>
                </c:pt>
                <c:pt idx="29">
                  <c:v>Uist &amp; Barra</c:v>
                </c:pt>
              </c:strCache>
            </c:strRef>
          </c:cat>
          <c:val>
            <c:numRef>
              <c:f>'Chart 4 (2015) DATA'!$M$3:$M$32</c:f>
              <c:numCache>
                <c:formatCode>0</c:formatCode>
                <c:ptCount val="30"/>
                <c:pt idx="0">
                  <c:v>34.391061452513966</c:v>
                </c:pt>
                <c:pt idx="1">
                  <c:v>30.493273542600903</c:v>
                </c:pt>
                <c:pt idx="2">
                  <c:v>34.722222222222214</c:v>
                </c:pt>
                <c:pt idx="3">
                  <c:v>5.8823529411764781</c:v>
                </c:pt>
                <c:pt idx="4">
                  <c:v>19.028340080971674</c:v>
                </c:pt>
                <c:pt idx="5">
                  <c:v>39.817629179331306</c:v>
                </c:pt>
                <c:pt idx="6">
                  <c:v>52.02952029520295</c:v>
                </c:pt>
                <c:pt idx="7">
                  <c:v>30.427892234548338</c:v>
                </c:pt>
                <c:pt idx="8">
                  <c:v>34.333333333333329</c:v>
                </c:pt>
                <c:pt idx="9">
                  <c:v>38.502673796791441</c:v>
                </c:pt>
                <c:pt idx="10">
                  <c:v>24.536628420123563</c:v>
                </c:pt>
                <c:pt idx="11">
                  <c:v>21.815519765739396</c:v>
                </c:pt>
                <c:pt idx="12">
                  <c:v>30.46875</c:v>
                </c:pt>
                <c:pt idx="13">
                  <c:v>41.393442622950822</c:v>
                </c:pt>
                <c:pt idx="14">
                  <c:v>46.190476190476183</c:v>
                </c:pt>
                <c:pt idx="15">
                  <c:v>20.842332613390937</c:v>
                </c:pt>
                <c:pt idx="16">
                  <c:v>10</c:v>
                </c:pt>
                <c:pt idx="17">
                  <c:v>34.497816593886469</c:v>
                </c:pt>
                <c:pt idx="18">
                  <c:v>45.977011494252878</c:v>
                </c:pt>
                <c:pt idx="19">
                  <c:v>35.700575815738965</c:v>
                </c:pt>
                <c:pt idx="20">
                  <c:v>48.253968253968253</c:v>
                </c:pt>
                <c:pt idx="21">
                  <c:v>28.260869565217391</c:v>
                </c:pt>
                <c:pt idx="22">
                  <c:v>44.730077120822621</c:v>
                </c:pt>
                <c:pt idx="23">
                  <c:v>41.926345609065152</c:v>
                </c:pt>
                <c:pt idx="24">
                  <c:v>25.714285714285708</c:v>
                </c:pt>
                <c:pt idx="25">
                  <c:v>21.428571428571431</c:v>
                </c:pt>
                <c:pt idx="26">
                  <c:v>52</c:v>
                </c:pt>
                <c:pt idx="27">
                  <c:v>47.547169811320757</c:v>
                </c:pt>
                <c:pt idx="28">
                  <c:v>19.512195121951216</c:v>
                </c:pt>
                <c:pt idx="29">
                  <c:v>0</c:v>
                </c:pt>
              </c:numCache>
            </c:numRef>
          </c:val>
        </c:ser>
        <c:overlap val="100"/>
        <c:axId val="82553472"/>
        <c:axId val="82567552"/>
      </c:barChart>
      <c:lineChart>
        <c:grouping val="standard"/>
        <c:ser>
          <c:idx val="3"/>
          <c:order val="0"/>
          <c:tx>
            <c:strRef>
              <c:f>'Chart 4 (2015) DATA'!$N$2</c:f>
              <c:strCache>
                <c:ptCount val="1"/>
                <c:pt idx="0">
                  <c:v>Stroke Standard (2013)</c:v>
                </c:pt>
              </c:strCache>
            </c:strRef>
          </c:tx>
          <c:spPr>
            <a:ln>
              <a:solidFill>
                <a:srgbClr val="0070C0"/>
              </a:solidFill>
            </a:ln>
          </c:spPr>
          <c:marker>
            <c:symbol val="none"/>
          </c:marker>
          <c:cat>
            <c:strRef>
              <c:f>'Chart 4 (2015) DATA'!$A$3:$A$32</c:f>
              <c:strCache>
                <c:ptCount val="30"/>
                <c:pt idx="0">
                  <c:v>Scotland</c:v>
                </c:pt>
                <c:pt idx="1">
                  <c:v>Borders</c:v>
                </c:pt>
                <c:pt idx="2">
                  <c:v>Caithness</c:v>
                </c:pt>
                <c:pt idx="3">
                  <c:v>Western Isles</c:v>
                </c:pt>
                <c:pt idx="4">
                  <c:v>SJH</c:v>
                </c:pt>
                <c:pt idx="5">
                  <c:v>Wishaw</c:v>
                </c:pt>
                <c:pt idx="6">
                  <c:v>FVRH</c:v>
                </c:pt>
                <c:pt idx="7">
                  <c:v>VHK</c:v>
                </c:pt>
                <c:pt idx="8">
                  <c:v>Hairmyres</c:v>
                </c:pt>
                <c:pt idx="9">
                  <c:v>PRI</c:v>
                </c:pt>
                <c:pt idx="10">
                  <c:v>QEUH</c:v>
                </c:pt>
                <c:pt idx="11">
                  <c:v>ARI</c:v>
                </c:pt>
                <c:pt idx="12">
                  <c:v>Dr Grays</c:v>
                </c:pt>
                <c:pt idx="13">
                  <c:v>DGRI</c:v>
                </c:pt>
                <c:pt idx="14">
                  <c:v>IRH</c:v>
                </c:pt>
                <c:pt idx="15">
                  <c:v>RIE</c:v>
                </c:pt>
                <c:pt idx="16">
                  <c:v>GCH</c:v>
                </c:pt>
                <c:pt idx="17">
                  <c:v>WGH</c:v>
                </c:pt>
                <c:pt idx="18">
                  <c:v>RAH</c:v>
                </c:pt>
                <c:pt idx="19">
                  <c:v>GRI</c:v>
                </c:pt>
                <c:pt idx="20">
                  <c:v>Monklands</c:v>
                </c:pt>
                <c:pt idx="21">
                  <c:v>L&amp;I</c:v>
                </c:pt>
                <c:pt idx="22">
                  <c:v>Crosshouse</c:v>
                </c:pt>
                <c:pt idx="23">
                  <c:v>Raigmore</c:v>
                </c:pt>
                <c:pt idx="24">
                  <c:v>Gilbert Bain</c:v>
                </c:pt>
                <c:pt idx="25">
                  <c:v>Belford</c:v>
                </c:pt>
                <c:pt idx="26">
                  <c:v>Ninewells</c:v>
                </c:pt>
                <c:pt idx="27">
                  <c:v>Ayr</c:v>
                </c:pt>
                <c:pt idx="28">
                  <c:v>Balfour</c:v>
                </c:pt>
                <c:pt idx="29">
                  <c:v>Uist &amp; Barra</c:v>
                </c:pt>
              </c:strCache>
            </c:strRef>
          </c:cat>
          <c:val>
            <c:numRef>
              <c:f>'Chart 4 (2015) DATA'!$N$3:$N$32</c:f>
              <c:numCache>
                <c:formatCode>General</c:formatCode>
                <c:ptCount val="30"/>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numCache>
            </c:numRef>
          </c:val>
        </c:ser>
        <c:ser>
          <c:idx val="2"/>
          <c:order val="3"/>
          <c:tx>
            <c:strRef>
              <c:f>'Chart 4 (2015) DATA'!$AA$2</c:f>
              <c:strCache>
                <c:ptCount val="1"/>
                <c:pt idx="0">
                  <c:v>Stroke Standard (2016)</c:v>
                </c:pt>
              </c:strCache>
            </c:strRef>
          </c:tx>
          <c:spPr>
            <a:ln>
              <a:solidFill>
                <a:srgbClr val="0070C0"/>
              </a:solidFill>
              <a:prstDash val="sysDash"/>
            </a:ln>
          </c:spPr>
          <c:marker>
            <c:symbol val="none"/>
          </c:marker>
          <c:cat>
            <c:strRef>
              <c:f>'Chart 4 (2015) DATA'!$A$3:$A$32</c:f>
              <c:strCache>
                <c:ptCount val="30"/>
                <c:pt idx="0">
                  <c:v>Scotland</c:v>
                </c:pt>
                <c:pt idx="1">
                  <c:v>Borders</c:v>
                </c:pt>
                <c:pt idx="2">
                  <c:v>Caithness</c:v>
                </c:pt>
                <c:pt idx="3">
                  <c:v>Western Isles</c:v>
                </c:pt>
                <c:pt idx="4">
                  <c:v>SJH</c:v>
                </c:pt>
                <c:pt idx="5">
                  <c:v>Wishaw</c:v>
                </c:pt>
                <c:pt idx="6">
                  <c:v>FVRH</c:v>
                </c:pt>
                <c:pt idx="7">
                  <c:v>VHK</c:v>
                </c:pt>
                <c:pt idx="8">
                  <c:v>Hairmyres</c:v>
                </c:pt>
                <c:pt idx="9">
                  <c:v>PRI</c:v>
                </c:pt>
                <c:pt idx="10">
                  <c:v>QEUH</c:v>
                </c:pt>
                <c:pt idx="11">
                  <c:v>ARI</c:v>
                </c:pt>
                <c:pt idx="12">
                  <c:v>Dr Grays</c:v>
                </c:pt>
                <c:pt idx="13">
                  <c:v>DGRI</c:v>
                </c:pt>
                <c:pt idx="14">
                  <c:v>IRH</c:v>
                </c:pt>
                <c:pt idx="15">
                  <c:v>RIE</c:v>
                </c:pt>
                <c:pt idx="16">
                  <c:v>GCH</c:v>
                </c:pt>
                <c:pt idx="17">
                  <c:v>WGH</c:v>
                </c:pt>
                <c:pt idx="18">
                  <c:v>RAH</c:v>
                </c:pt>
                <c:pt idx="19">
                  <c:v>GRI</c:v>
                </c:pt>
                <c:pt idx="20">
                  <c:v>Monklands</c:v>
                </c:pt>
                <c:pt idx="21">
                  <c:v>L&amp;I</c:v>
                </c:pt>
                <c:pt idx="22">
                  <c:v>Crosshouse</c:v>
                </c:pt>
                <c:pt idx="23">
                  <c:v>Raigmore</c:v>
                </c:pt>
                <c:pt idx="24">
                  <c:v>Gilbert Bain</c:v>
                </c:pt>
                <c:pt idx="25">
                  <c:v>Belford</c:v>
                </c:pt>
                <c:pt idx="26">
                  <c:v>Ninewells</c:v>
                </c:pt>
                <c:pt idx="27">
                  <c:v>Ayr</c:v>
                </c:pt>
                <c:pt idx="28">
                  <c:v>Balfour</c:v>
                </c:pt>
                <c:pt idx="29">
                  <c:v>Uist &amp; Barra</c:v>
                </c:pt>
              </c:strCache>
            </c:strRef>
          </c:cat>
          <c:val>
            <c:numRef>
              <c:f>'Chart 4 (2015) DATA'!$AA$3:$AA$32</c:f>
              <c:numCache>
                <c:formatCode>General</c:formatCode>
                <c:ptCount val="30"/>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pt idx="16">
                  <c:v>95</c:v>
                </c:pt>
                <c:pt idx="17">
                  <c:v>95</c:v>
                </c:pt>
                <c:pt idx="18">
                  <c:v>95</c:v>
                </c:pt>
                <c:pt idx="19">
                  <c:v>95</c:v>
                </c:pt>
                <c:pt idx="20">
                  <c:v>95</c:v>
                </c:pt>
                <c:pt idx="21">
                  <c:v>95</c:v>
                </c:pt>
                <c:pt idx="22">
                  <c:v>95</c:v>
                </c:pt>
                <c:pt idx="23">
                  <c:v>95</c:v>
                </c:pt>
                <c:pt idx="24">
                  <c:v>95</c:v>
                </c:pt>
                <c:pt idx="25">
                  <c:v>95</c:v>
                </c:pt>
                <c:pt idx="26">
                  <c:v>95</c:v>
                </c:pt>
                <c:pt idx="27">
                  <c:v>95</c:v>
                </c:pt>
                <c:pt idx="28">
                  <c:v>95</c:v>
                </c:pt>
                <c:pt idx="29">
                  <c:v>95</c:v>
                </c:pt>
              </c:numCache>
            </c:numRef>
          </c:val>
        </c:ser>
        <c:marker val="1"/>
        <c:axId val="82553472"/>
        <c:axId val="82567552"/>
      </c:lineChart>
      <c:catAx>
        <c:axId val="82553472"/>
        <c:scaling>
          <c:orientation val="minMax"/>
        </c:scaling>
        <c:axPos val="b"/>
        <c:tickLblPos val="nextTo"/>
        <c:txPr>
          <a:bodyPr rot="-5400000" vert="horz"/>
          <a:lstStyle/>
          <a:p>
            <a:pPr>
              <a:defRPr sz="800"/>
            </a:pPr>
            <a:endParaRPr lang="en-US"/>
          </a:p>
        </c:txPr>
        <c:crossAx val="82567552"/>
        <c:crosses val="autoZero"/>
        <c:auto val="1"/>
        <c:lblAlgn val="ctr"/>
        <c:lblOffset val="100"/>
      </c:catAx>
      <c:valAx>
        <c:axId val="82567552"/>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82553472"/>
        <c:crosses val="autoZero"/>
        <c:crossBetween val="between"/>
      </c:valAx>
      <c:spPr>
        <a:ln>
          <a:solidFill>
            <a:schemeClr val="tx1"/>
          </a:solidFill>
        </a:ln>
      </c:spPr>
    </c:plotArea>
    <c:legend>
      <c:legendPos val="r"/>
      <c:layout>
        <c:manualLayout>
          <c:xMode val="edge"/>
          <c:yMode val="edge"/>
          <c:x val="0.88435876953507897"/>
          <c:y val="0.3253353857083699"/>
          <c:w val="0.10523617658160715"/>
          <c:h val="0.26808833106388197"/>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877" l="0.70000000000000062" r="0.70000000000000062" t="0.750000000000008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283E-2"/>
          <c:y val="8.0232093304875005E-2"/>
          <c:w val="0.81007028782419765"/>
          <c:h val="0.72370482152729065"/>
        </c:manualLayout>
      </c:layout>
      <c:barChart>
        <c:barDir val="col"/>
        <c:grouping val="stacked"/>
        <c:ser>
          <c:idx val="3"/>
          <c:order val="0"/>
          <c:tx>
            <c:strRef>
              <c:f>'Chart 5 (2016) DATA'!$C$2</c:f>
              <c:strCache>
                <c:ptCount val="1"/>
                <c:pt idx="0">
                  <c:v>Same Day</c:v>
                </c:pt>
              </c:strCache>
            </c:strRef>
          </c:tx>
          <c:spPr>
            <a:solidFill>
              <a:srgbClr val="9999FF"/>
            </a:solidFill>
            <a:ln>
              <a:solidFill>
                <a:schemeClr val="tx1"/>
              </a:solidFill>
            </a:ln>
          </c:spPr>
          <c:dPt>
            <c:idx val="0"/>
            <c:spPr>
              <a:solidFill>
                <a:srgbClr val="008000"/>
              </a:solidFill>
              <a:ln>
                <a:solidFill>
                  <a:schemeClr val="tx1"/>
                </a:solidFill>
              </a:ln>
            </c:spPr>
          </c:dPt>
          <c:cat>
            <c:strRef>
              <c:f>'Chart 5 (2016) DATA'!$A$3:$A$31</c:f>
              <c:strCache>
                <c:ptCount val="29"/>
                <c:pt idx="0">
                  <c:v>Scotland</c:v>
                </c:pt>
                <c:pt idx="1">
                  <c:v>Borders</c:v>
                </c:pt>
                <c:pt idx="2">
                  <c:v>IRH</c:v>
                </c:pt>
                <c:pt idx="3">
                  <c:v>Wishaw</c:v>
                </c:pt>
                <c:pt idx="4">
                  <c:v>L&amp;I</c:v>
                </c:pt>
                <c:pt idx="5">
                  <c:v>GRI</c:v>
                </c:pt>
                <c:pt idx="6">
                  <c:v>QEUH</c:v>
                </c:pt>
                <c:pt idx="7">
                  <c:v>Raigmore</c:v>
                </c:pt>
                <c:pt idx="8">
                  <c:v>DGRI</c:v>
                </c:pt>
                <c:pt idx="9">
                  <c:v>Hairmyres</c:v>
                </c:pt>
                <c:pt idx="10">
                  <c:v>Crosshouse</c:v>
                </c:pt>
                <c:pt idx="11">
                  <c:v>Dr Grays</c:v>
                </c:pt>
                <c:pt idx="12">
                  <c:v>FVRH</c:v>
                </c:pt>
                <c:pt idx="13">
                  <c:v>PRI</c:v>
                </c:pt>
                <c:pt idx="14">
                  <c:v>Monklands</c:v>
                </c:pt>
                <c:pt idx="15">
                  <c:v>RAH</c:v>
                </c:pt>
                <c:pt idx="16">
                  <c:v>Belford</c:v>
                </c:pt>
                <c:pt idx="17">
                  <c:v>VHK</c:v>
                </c:pt>
                <c:pt idx="18">
                  <c:v>SJH</c:v>
                </c:pt>
                <c:pt idx="19">
                  <c:v>Gilbert Bain</c:v>
                </c:pt>
                <c:pt idx="20">
                  <c:v>ARI</c:v>
                </c:pt>
                <c:pt idx="21">
                  <c:v>Caithness</c:v>
                </c:pt>
                <c:pt idx="22">
                  <c:v>Ninewells</c:v>
                </c:pt>
                <c:pt idx="23">
                  <c:v>WGH</c:v>
                </c:pt>
                <c:pt idx="24">
                  <c:v>Western Isles</c:v>
                </c:pt>
                <c:pt idx="25">
                  <c:v>GCH</c:v>
                </c:pt>
                <c:pt idx="26">
                  <c:v>RIE</c:v>
                </c:pt>
                <c:pt idx="27">
                  <c:v>Balfour</c:v>
                </c:pt>
                <c:pt idx="28">
                  <c:v>Ayr</c:v>
                </c:pt>
              </c:strCache>
            </c:strRef>
          </c:cat>
          <c:val>
            <c:numRef>
              <c:f>'Chart 5 (2016) DATA'!$C$3:$C$31</c:f>
              <c:numCache>
                <c:formatCode>0</c:formatCode>
                <c:ptCount val="29"/>
                <c:pt idx="0">
                  <c:v>54.532419945834</c:v>
                </c:pt>
                <c:pt idx="1">
                  <c:v>67.333333333333329</c:v>
                </c:pt>
                <c:pt idx="2">
                  <c:v>56.80473372781065</c:v>
                </c:pt>
                <c:pt idx="3">
                  <c:v>50.751879699248128</c:v>
                </c:pt>
                <c:pt idx="4">
                  <c:v>46.875</c:v>
                </c:pt>
                <c:pt idx="5">
                  <c:v>61.111111111111114</c:v>
                </c:pt>
                <c:pt idx="6">
                  <c:v>61.561561561561561</c:v>
                </c:pt>
                <c:pt idx="7">
                  <c:v>63.101604278074866</c:v>
                </c:pt>
                <c:pt idx="8">
                  <c:v>44.827586206896555</c:v>
                </c:pt>
                <c:pt idx="9">
                  <c:v>53.36322869955157</c:v>
                </c:pt>
                <c:pt idx="10">
                  <c:v>34.188034188034187</c:v>
                </c:pt>
                <c:pt idx="11">
                  <c:v>73.417721518987349</c:v>
                </c:pt>
                <c:pt idx="12">
                  <c:v>46.954314720812185</c:v>
                </c:pt>
                <c:pt idx="13">
                  <c:v>52.631578947368418</c:v>
                </c:pt>
                <c:pt idx="14">
                  <c:v>36.036036036036037</c:v>
                </c:pt>
                <c:pt idx="15">
                  <c:v>51.702786377708975</c:v>
                </c:pt>
                <c:pt idx="16">
                  <c:v>52.941176470588239</c:v>
                </c:pt>
                <c:pt idx="17">
                  <c:v>60.300429184549351</c:v>
                </c:pt>
                <c:pt idx="18">
                  <c:v>63.687150837988824</c:v>
                </c:pt>
                <c:pt idx="19">
                  <c:v>68.75</c:v>
                </c:pt>
                <c:pt idx="20">
                  <c:v>74.809160305343511</c:v>
                </c:pt>
                <c:pt idx="21">
                  <c:v>75</c:v>
                </c:pt>
                <c:pt idx="22">
                  <c:v>39.755351681957187</c:v>
                </c:pt>
                <c:pt idx="23">
                  <c:v>48</c:v>
                </c:pt>
                <c:pt idx="24">
                  <c:v>61.904761904761905</c:v>
                </c:pt>
                <c:pt idx="25">
                  <c:v>55.000000000000007</c:v>
                </c:pt>
                <c:pt idx="26">
                  <c:v>59.818181818181813</c:v>
                </c:pt>
                <c:pt idx="27">
                  <c:v>61.111111111111114</c:v>
                </c:pt>
                <c:pt idx="28">
                  <c:v>8.5714285714285712</c:v>
                </c:pt>
              </c:numCache>
            </c:numRef>
          </c:val>
        </c:ser>
        <c:ser>
          <c:idx val="1"/>
          <c:order val="2"/>
          <c:tx>
            <c:strRef>
              <c:f>'Chart 5 (2016) DATA'!$I$2</c:f>
              <c:strCache>
                <c:ptCount val="1"/>
                <c:pt idx="0">
                  <c:v>1 Day</c:v>
                </c:pt>
              </c:strCache>
            </c:strRef>
          </c:tx>
          <c:spPr>
            <a:solidFill>
              <a:srgbClr val="993366"/>
            </a:solidFill>
            <a:ln>
              <a:solidFill>
                <a:schemeClr val="tx1"/>
              </a:solidFill>
            </a:ln>
          </c:spPr>
          <c:dPt>
            <c:idx val="0"/>
            <c:spPr>
              <a:solidFill>
                <a:srgbClr val="FF0000"/>
              </a:solidFill>
              <a:ln>
                <a:solidFill>
                  <a:schemeClr val="tx1"/>
                </a:solidFill>
              </a:ln>
            </c:spPr>
          </c:dPt>
          <c:val>
            <c:numRef>
              <c:f>'Chart 5 (2016) DATA'!$I$3:$I$31</c:f>
              <c:numCache>
                <c:formatCode>0</c:formatCode>
                <c:ptCount val="29"/>
                <c:pt idx="0">
                  <c:v>35.924804843077901</c:v>
                </c:pt>
                <c:pt idx="1">
                  <c:v>32.666666666666671</c:v>
                </c:pt>
                <c:pt idx="2">
                  <c:v>37.278106508875744</c:v>
                </c:pt>
                <c:pt idx="3">
                  <c:v>43.609022556390975</c:v>
                </c:pt>
                <c:pt idx="4">
                  <c:v>40.625</c:v>
                </c:pt>
                <c:pt idx="5">
                  <c:v>32.304526748971185</c:v>
                </c:pt>
                <c:pt idx="6">
                  <c:v>29.87987987987988</c:v>
                </c:pt>
                <c:pt idx="7">
                  <c:v>30.481283422459889</c:v>
                </c:pt>
                <c:pt idx="8">
                  <c:v>46.551724137931032</c:v>
                </c:pt>
                <c:pt idx="9">
                  <c:v>39.461883408071756</c:v>
                </c:pt>
                <c:pt idx="10">
                  <c:v>56.410256410256416</c:v>
                </c:pt>
                <c:pt idx="11">
                  <c:v>16.455696202531641</c:v>
                </c:pt>
                <c:pt idx="12">
                  <c:v>43.908629441624363</c:v>
                </c:pt>
                <c:pt idx="13">
                  <c:v>37.500000000000007</c:v>
                </c:pt>
                <c:pt idx="14">
                  <c:v>53.153153153153156</c:v>
                </c:pt>
                <c:pt idx="15">
                  <c:v>35.603715170278633</c:v>
                </c:pt>
                <c:pt idx="16">
                  <c:v>41.176470588235283</c:v>
                </c:pt>
                <c:pt idx="17">
                  <c:v>31.115879828326193</c:v>
                </c:pt>
                <c:pt idx="18">
                  <c:v>27.374301675977648</c:v>
                </c:pt>
                <c:pt idx="19">
                  <c:v>25</c:v>
                </c:pt>
                <c:pt idx="20">
                  <c:v>16.793893129770993</c:v>
                </c:pt>
                <c:pt idx="21">
                  <c:v>18.181818181818173</c:v>
                </c:pt>
                <c:pt idx="22">
                  <c:v>49.541284403669728</c:v>
                </c:pt>
                <c:pt idx="23">
                  <c:v>35.200000000000003</c:v>
                </c:pt>
                <c:pt idx="24">
                  <c:v>19.047619047619044</c:v>
                </c:pt>
                <c:pt idx="25">
                  <c:v>24.999999999999993</c:v>
                </c:pt>
                <c:pt idx="26">
                  <c:v>25.27272727272728</c:v>
                </c:pt>
                <c:pt idx="27">
                  <c:v>16.666666666666671</c:v>
                </c:pt>
                <c:pt idx="28">
                  <c:v>37.142857142857146</c:v>
                </c:pt>
              </c:numCache>
            </c:numRef>
          </c:val>
        </c:ser>
        <c:ser>
          <c:idx val="2"/>
          <c:order val="3"/>
          <c:tx>
            <c:strRef>
              <c:f>'Chart 5 (2016) DATA'!$J$2</c:f>
              <c:strCache>
                <c:ptCount val="1"/>
                <c:pt idx="0">
                  <c:v>2 Days</c:v>
                </c:pt>
              </c:strCache>
            </c:strRef>
          </c:tx>
          <c:spPr>
            <a:solidFill>
              <a:srgbClr val="FFFFCC"/>
            </a:solidFill>
            <a:ln>
              <a:solidFill>
                <a:schemeClr val="tx1"/>
              </a:solidFill>
            </a:ln>
          </c:spPr>
          <c:dPt>
            <c:idx val="0"/>
            <c:spPr>
              <a:solidFill>
                <a:srgbClr val="99CC00"/>
              </a:solidFill>
              <a:ln>
                <a:solidFill>
                  <a:schemeClr val="tx1"/>
                </a:solidFill>
              </a:ln>
            </c:spPr>
          </c:dPt>
          <c:val>
            <c:numRef>
              <c:f>'Chart 5 (2016) DATA'!$J$3:$J$31</c:f>
              <c:numCache>
                <c:formatCode>0</c:formatCode>
                <c:ptCount val="29"/>
                <c:pt idx="0">
                  <c:v>3.9031384419308637</c:v>
                </c:pt>
                <c:pt idx="1">
                  <c:v>0</c:v>
                </c:pt>
                <c:pt idx="2">
                  <c:v>3.5502958579881607</c:v>
                </c:pt>
                <c:pt idx="3">
                  <c:v>3.0075187969924713</c:v>
                </c:pt>
                <c:pt idx="4">
                  <c:v>9.375</c:v>
                </c:pt>
                <c:pt idx="5">
                  <c:v>3.2921810699588576</c:v>
                </c:pt>
                <c:pt idx="6">
                  <c:v>4.5045045045044958</c:v>
                </c:pt>
                <c:pt idx="7">
                  <c:v>2.1390374331550959</c:v>
                </c:pt>
                <c:pt idx="8">
                  <c:v>4.3103448275862064</c:v>
                </c:pt>
                <c:pt idx="9">
                  <c:v>2.6905829596412474</c:v>
                </c:pt>
                <c:pt idx="10">
                  <c:v>4.615384615384599</c:v>
                </c:pt>
                <c:pt idx="11">
                  <c:v>5.0632911392405049</c:v>
                </c:pt>
                <c:pt idx="12">
                  <c:v>4.0609137055837579</c:v>
                </c:pt>
                <c:pt idx="13">
                  <c:v>4.6052631578947256</c:v>
                </c:pt>
                <c:pt idx="14">
                  <c:v>5.4054054054054035</c:v>
                </c:pt>
                <c:pt idx="15">
                  <c:v>6.8111455108359138</c:v>
                </c:pt>
                <c:pt idx="16">
                  <c:v>0</c:v>
                </c:pt>
                <c:pt idx="17">
                  <c:v>2.5751072961373325</c:v>
                </c:pt>
                <c:pt idx="18">
                  <c:v>2.7932960893854784</c:v>
                </c:pt>
                <c:pt idx="19">
                  <c:v>0</c:v>
                </c:pt>
                <c:pt idx="20">
                  <c:v>2.0356234096692134</c:v>
                </c:pt>
                <c:pt idx="21">
                  <c:v>0</c:v>
                </c:pt>
                <c:pt idx="22">
                  <c:v>3.6697247706422047</c:v>
                </c:pt>
                <c:pt idx="23">
                  <c:v>8.7999999999999972</c:v>
                </c:pt>
                <c:pt idx="24">
                  <c:v>9.5238095238095326</c:v>
                </c:pt>
                <c:pt idx="25">
                  <c:v>10</c:v>
                </c:pt>
                <c:pt idx="26">
                  <c:v>3.6363636363636402</c:v>
                </c:pt>
                <c:pt idx="27">
                  <c:v>5.5555555555555571</c:v>
                </c:pt>
                <c:pt idx="28">
                  <c:v>17.142857142857139</c:v>
                </c:pt>
              </c:numCache>
            </c:numRef>
          </c:val>
        </c:ser>
        <c:overlap val="100"/>
        <c:axId val="92364800"/>
        <c:axId val="92366336"/>
      </c:barChart>
      <c:lineChart>
        <c:grouping val="standard"/>
        <c:ser>
          <c:idx val="0"/>
          <c:order val="1"/>
          <c:tx>
            <c:strRef>
              <c:f>'Chart 5 (2016) DATA'!$L$2</c:f>
              <c:strCache>
                <c:ptCount val="1"/>
                <c:pt idx="0">
                  <c:v>Stroke Standard (2013)</c:v>
                </c:pt>
              </c:strCache>
            </c:strRef>
          </c:tx>
          <c:marker>
            <c:symbol val="none"/>
          </c:marker>
          <c:val>
            <c:numRef>
              <c:f>'Chart 5 (2016) DATA'!$L$3:$L$31</c:f>
              <c:numCache>
                <c:formatCode>General</c:formatCode>
                <c:ptCount val="29"/>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pt idx="16">
                  <c:v>95</c:v>
                </c:pt>
                <c:pt idx="17">
                  <c:v>95</c:v>
                </c:pt>
                <c:pt idx="18">
                  <c:v>95</c:v>
                </c:pt>
                <c:pt idx="19">
                  <c:v>95</c:v>
                </c:pt>
                <c:pt idx="20">
                  <c:v>95</c:v>
                </c:pt>
                <c:pt idx="21">
                  <c:v>95</c:v>
                </c:pt>
                <c:pt idx="22">
                  <c:v>95</c:v>
                </c:pt>
                <c:pt idx="23">
                  <c:v>95</c:v>
                </c:pt>
                <c:pt idx="24">
                  <c:v>95</c:v>
                </c:pt>
                <c:pt idx="25">
                  <c:v>95</c:v>
                </c:pt>
                <c:pt idx="26">
                  <c:v>95</c:v>
                </c:pt>
                <c:pt idx="27">
                  <c:v>95</c:v>
                </c:pt>
                <c:pt idx="28">
                  <c:v>95</c:v>
                </c:pt>
              </c:numCache>
            </c:numRef>
          </c:val>
        </c:ser>
        <c:marker val="1"/>
        <c:axId val="92364800"/>
        <c:axId val="92366336"/>
      </c:lineChart>
      <c:catAx>
        <c:axId val="92364800"/>
        <c:scaling>
          <c:orientation val="minMax"/>
        </c:scaling>
        <c:axPos val="b"/>
        <c:tickLblPos val="nextTo"/>
        <c:txPr>
          <a:bodyPr rot="-5400000" vert="horz"/>
          <a:lstStyle/>
          <a:p>
            <a:pPr>
              <a:defRPr sz="800"/>
            </a:pPr>
            <a:endParaRPr lang="en-US"/>
          </a:p>
        </c:txPr>
        <c:crossAx val="92366336"/>
        <c:crosses val="autoZero"/>
        <c:auto val="1"/>
        <c:lblAlgn val="ctr"/>
        <c:lblOffset val="100"/>
      </c:catAx>
      <c:valAx>
        <c:axId val="92366336"/>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92364800"/>
        <c:crosses val="autoZero"/>
        <c:crossBetween val="between"/>
      </c:valAx>
      <c:spPr>
        <a:ln>
          <a:solidFill>
            <a:schemeClr val="tx1"/>
          </a:solidFill>
        </a:ln>
      </c:spPr>
    </c:plotArea>
    <c:legend>
      <c:legendPos val="r"/>
      <c:layout>
        <c:manualLayout>
          <c:xMode val="edge"/>
          <c:yMode val="edge"/>
          <c:x val="0.88287233326603409"/>
          <c:y val="0.32533538570836962"/>
          <c:w val="0.10820904911969616"/>
          <c:h val="0.30568231602628632"/>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844" l="0.70000000000000062" r="0.70000000000000062" t="0.750000000000008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325E-2"/>
          <c:y val="8.0232093304875005E-2"/>
          <c:w val="0.81007028782419765"/>
          <c:h val="0.72370482152729065"/>
        </c:manualLayout>
      </c:layout>
      <c:barChart>
        <c:barDir val="col"/>
        <c:grouping val="stacked"/>
        <c:ser>
          <c:idx val="3"/>
          <c:order val="0"/>
          <c:tx>
            <c:strRef>
              <c:f>'Chart 5 (2015) DATA'!$C$2</c:f>
              <c:strCache>
                <c:ptCount val="1"/>
                <c:pt idx="0">
                  <c:v>Same Day</c:v>
                </c:pt>
              </c:strCache>
            </c:strRef>
          </c:tx>
          <c:spPr>
            <a:solidFill>
              <a:srgbClr val="9999FF"/>
            </a:solidFill>
            <a:ln>
              <a:solidFill>
                <a:schemeClr val="tx1"/>
              </a:solidFill>
            </a:ln>
          </c:spPr>
          <c:dPt>
            <c:idx val="0"/>
            <c:spPr>
              <a:solidFill>
                <a:srgbClr val="008000"/>
              </a:solidFill>
              <a:ln>
                <a:solidFill>
                  <a:schemeClr val="tx1"/>
                </a:solidFill>
              </a:ln>
            </c:spPr>
          </c:dPt>
          <c:cat>
            <c:strRef>
              <c:f>'Chart 5 (2015) DATA'!$A$3:$A$31</c:f>
              <c:strCache>
                <c:ptCount val="29"/>
                <c:pt idx="0">
                  <c:v>Scotland</c:v>
                </c:pt>
                <c:pt idx="1">
                  <c:v>GCH</c:v>
                </c:pt>
                <c:pt idx="2">
                  <c:v>Caithness</c:v>
                </c:pt>
                <c:pt idx="3">
                  <c:v>Gilbert Bain</c:v>
                </c:pt>
                <c:pt idx="4">
                  <c:v>Borders</c:v>
                </c:pt>
                <c:pt idx="5">
                  <c:v>DGRI</c:v>
                </c:pt>
                <c:pt idx="6">
                  <c:v>IRH</c:v>
                </c:pt>
                <c:pt idx="7">
                  <c:v>FVRH</c:v>
                </c:pt>
                <c:pt idx="8">
                  <c:v>SJH</c:v>
                </c:pt>
                <c:pt idx="9">
                  <c:v>Dr Grays</c:v>
                </c:pt>
                <c:pt idx="10">
                  <c:v>Monklands</c:v>
                </c:pt>
                <c:pt idx="11">
                  <c:v>Wishaw</c:v>
                </c:pt>
                <c:pt idx="12">
                  <c:v>VHK</c:v>
                </c:pt>
                <c:pt idx="13">
                  <c:v>Raigmore</c:v>
                </c:pt>
                <c:pt idx="14">
                  <c:v>Ninewells</c:v>
                </c:pt>
                <c:pt idx="15">
                  <c:v>GRI</c:v>
                </c:pt>
                <c:pt idx="16">
                  <c:v>Western Isles</c:v>
                </c:pt>
                <c:pt idx="17">
                  <c:v>Crosshouse</c:v>
                </c:pt>
                <c:pt idx="18">
                  <c:v>PRI</c:v>
                </c:pt>
                <c:pt idx="19">
                  <c:v>Hairmyres</c:v>
                </c:pt>
                <c:pt idx="20">
                  <c:v>Belford</c:v>
                </c:pt>
                <c:pt idx="21">
                  <c:v>ARI</c:v>
                </c:pt>
                <c:pt idx="22">
                  <c:v>RAH</c:v>
                </c:pt>
                <c:pt idx="23">
                  <c:v>QEUH</c:v>
                </c:pt>
                <c:pt idx="24">
                  <c:v>RIE</c:v>
                </c:pt>
                <c:pt idx="25">
                  <c:v>Ayr</c:v>
                </c:pt>
                <c:pt idx="26">
                  <c:v>L&amp;I</c:v>
                </c:pt>
                <c:pt idx="27">
                  <c:v>WGH</c:v>
                </c:pt>
                <c:pt idx="28">
                  <c:v>Balfour</c:v>
                </c:pt>
              </c:strCache>
            </c:strRef>
          </c:cat>
          <c:val>
            <c:numRef>
              <c:f>'Chart 5 (2015) DATA'!$C$3:$C$31</c:f>
              <c:numCache>
                <c:formatCode>0</c:formatCode>
                <c:ptCount val="29"/>
                <c:pt idx="0">
                  <c:v>54.862508383635145</c:v>
                </c:pt>
                <c:pt idx="1">
                  <c:v>69.230769230769226</c:v>
                </c:pt>
                <c:pt idx="2">
                  <c:v>75.555555555555557</c:v>
                </c:pt>
                <c:pt idx="3">
                  <c:v>59.259259259259252</c:v>
                </c:pt>
                <c:pt idx="4">
                  <c:v>73.103448275862064</c:v>
                </c:pt>
                <c:pt idx="5">
                  <c:v>53.424657534246577</c:v>
                </c:pt>
                <c:pt idx="6">
                  <c:v>49.068322981366457</c:v>
                </c:pt>
                <c:pt idx="7">
                  <c:v>51.351351351351347</c:v>
                </c:pt>
                <c:pt idx="8">
                  <c:v>70.391061452513966</c:v>
                </c:pt>
                <c:pt idx="9">
                  <c:v>69.662921348314612</c:v>
                </c:pt>
                <c:pt idx="10">
                  <c:v>29.004329004329005</c:v>
                </c:pt>
                <c:pt idx="11">
                  <c:v>53.070175438596493</c:v>
                </c:pt>
                <c:pt idx="12">
                  <c:v>58.612975391498878</c:v>
                </c:pt>
                <c:pt idx="13">
                  <c:v>61.946902654867252</c:v>
                </c:pt>
                <c:pt idx="14">
                  <c:v>45.878136200716845</c:v>
                </c:pt>
                <c:pt idx="15">
                  <c:v>61.707317073170728</c:v>
                </c:pt>
                <c:pt idx="16">
                  <c:v>70</c:v>
                </c:pt>
                <c:pt idx="17">
                  <c:v>27.611940298507463</c:v>
                </c:pt>
                <c:pt idx="18">
                  <c:v>66.379310344827587</c:v>
                </c:pt>
                <c:pt idx="19">
                  <c:v>56.000000000000007</c:v>
                </c:pt>
                <c:pt idx="20">
                  <c:v>60</c:v>
                </c:pt>
                <c:pt idx="21">
                  <c:v>69.146005509641867</c:v>
                </c:pt>
                <c:pt idx="22">
                  <c:v>44.688644688644693</c:v>
                </c:pt>
                <c:pt idx="23">
                  <c:v>59.264931087289426</c:v>
                </c:pt>
                <c:pt idx="24">
                  <c:v>61.252115059221659</c:v>
                </c:pt>
                <c:pt idx="25">
                  <c:v>29.411764705882355</c:v>
                </c:pt>
                <c:pt idx="26">
                  <c:v>57.894736842105267</c:v>
                </c:pt>
                <c:pt idx="27">
                  <c:v>41.975308641975303</c:v>
                </c:pt>
                <c:pt idx="28">
                  <c:v>65.384615384615387</c:v>
                </c:pt>
              </c:numCache>
            </c:numRef>
          </c:val>
        </c:ser>
        <c:ser>
          <c:idx val="1"/>
          <c:order val="2"/>
          <c:tx>
            <c:strRef>
              <c:f>'Chart 5 (2015) DATA'!$I$2</c:f>
              <c:strCache>
                <c:ptCount val="1"/>
                <c:pt idx="0">
                  <c:v>1 Day</c:v>
                </c:pt>
              </c:strCache>
            </c:strRef>
          </c:tx>
          <c:spPr>
            <a:solidFill>
              <a:srgbClr val="993366"/>
            </a:solidFill>
            <a:ln>
              <a:solidFill>
                <a:schemeClr val="tx1"/>
              </a:solidFill>
            </a:ln>
          </c:spPr>
          <c:dPt>
            <c:idx val="0"/>
            <c:spPr>
              <a:solidFill>
                <a:srgbClr val="FF0000"/>
              </a:solidFill>
              <a:ln>
                <a:solidFill>
                  <a:schemeClr val="tx1"/>
                </a:solidFill>
              </a:ln>
            </c:spPr>
          </c:dPt>
          <c:val>
            <c:numRef>
              <c:f>'Chart 5 (2015) DATA'!$I$3:$I$31</c:f>
              <c:numCache>
                <c:formatCode>0</c:formatCode>
                <c:ptCount val="29"/>
                <c:pt idx="0">
                  <c:v>35.194500335345396</c:v>
                </c:pt>
                <c:pt idx="1">
                  <c:v>23.07692307692308</c:v>
                </c:pt>
                <c:pt idx="2">
                  <c:v>20</c:v>
                </c:pt>
                <c:pt idx="3">
                  <c:v>33.333333333333343</c:v>
                </c:pt>
                <c:pt idx="4">
                  <c:v>24.827586206896555</c:v>
                </c:pt>
                <c:pt idx="5">
                  <c:v>39.726027397260268</c:v>
                </c:pt>
                <c:pt idx="6">
                  <c:v>45.341614906832298</c:v>
                </c:pt>
                <c:pt idx="7">
                  <c:v>41.76904176904177</c:v>
                </c:pt>
                <c:pt idx="8">
                  <c:v>25.139664804469277</c:v>
                </c:pt>
                <c:pt idx="9">
                  <c:v>24.719101123595493</c:v>
                </c:pt>
                <c:pt idx="10">
                  <c:v>59.740259740259745</c:v>
                </c:pt>
                <c:pt idx="11">
                  <c:v>41.666666666666657</c:v>
                </c:pt>
                <c:pt idx="12">
                  <c:v>35.794183445190157</c:v>
                </c:pt>
                <c:pt idx="13">
                  <c:v>30.973451327433629</c:v>
                </c:pt>
                <c:pt idx="14">
                  <c:v>44.444444444444436</c:v>
                </c:pt>
                <c:pt idx="15">
                  <c:v>29.268292682926841</c:v>
                </c:pt>
                <c:pt idx="16">
                  <c:v>25</c:v>
                </c:pt>
                <c:pt idx="17">
                  <c:v>60.447761194029852</c:v>
                </c:pt>
                <c:pt idx="18">
                  <c:v>25</c:v>
                </c:pt>
                <c:pt idx="19">
                  <c:v>33.333333333333321</c:v>
                </c:pt>
                <c:pt idx="20">
                  <c:v>26.666666666666671</c:v>
                </c:pt>
                <c:pt idx="21">
                  <c:v>19.834710743801665</c:v>
                </c:pt>
                <c:pt idx="22">
                  <c:v>41.391941391941394</c:v>
                </c:pt>
                <c:pt idx="23">
                  <c:v>28.024502297090365</c:v>
                </c:pt>
                <c:pt idx="24">
                  <c:v>25.888324873096444</c:v>
                </c:pt>
                <c:pt idx="25">
                  <c:v>49.732620320855624</c:v>
                </c:pt>
                <c:pt idx="26">
                  <c:v>31.578947368421048</c:v>
                </c:pt>
                <c:pt idx="27">
                  <c:v>40.123456790123456</c:v>
                </c:pt>
                <c:pt idx="28">
                  <c:v>15.384615384615387</c:v>
                </c:pt>
              </c:numCache>
            </c:numRef>
          </c:val>
        </c:ser>
        <c:ser>
          <c:idx val="2"/>
          <c:order val="3"/>
          <c:tx>
            <c:strRef>
              <c:f>'Chart 5 (2015) DATA'!$J$2</c:f>
              <c:strCache>
                <c:ptCount val="1"/>
                <c:pt idx="0">
                  <c:v>2 Days</c:v>
                </c:pt>
              </c:strCache>
            </c:strRef>
          </c:tx>
          <c:spPr>
            <a:solidFill>
              <a:srgbClr val="FFFFCC"/>
            </a:solidFill>
            <a:ln>
              <a:solidFill>
                <a:schemeClr val="tx1"/>
              </a:solidFill>
            </a:ln>
          </c:spPr>
          <c:dPt>
            <c:idx val="0"/>
            <c:spPr>
              <a:solidFill>
                <a:srgbClr val="99CC00"/>
              </a:solidFill>
              <a:ln>
                <a:solidFill>
                  <a:schemeClr val="tx1"/>
                </a:solidFill>
              </a:ln>
            </c:spPr>
          </c:dPt>
          <c:val>
            <c:numRef>
              <c:f>'Chart 5 (2015) DATA'!$J$3:$J$31</c:f>
              <c:numCache>
                <c:formatCode>0</c:formatCode>
                <c:ptCount val="29"/>
                <c:pt idx="0">
                  <c:v>4.0241448692153057</c:v>
                </c:pt>
                <c:pt idx="1">
                  <c:v>7.6923076923076934</c:v>
                </c:pt>
                <c:pt idx="2">
                  <c:v>4.4444444444444429</c:v>
                </c:pt>
                <c:pt idx="3">
                  <c:v>7.4074074074074048</c:v>
                </c:pt>
                <c:pt idx="4">
                  <c:v>1.3793103448275872</c:v>
                </c:pt>
                <c:pt idx="5">
                  <c:v>4.1095890410959015</c:v>
                </c:pt>
                <c:pt idx="6">
                  <c:v>2.4844720496894439</c:v>
                </c:pt>
                <c:pt idx="7">
                  <c:v>3.68550368550369</c:v>
                </c:pt>
                <c:pt idx="8">
                  <c:v>1.1173184357541857</c:v>
                </c:pt>
                <c:pt idx="9">
                  <c:v>2.2471910112359694</c:v>
                </c:pt>
                <c:pt idx="10">
                  <c:v>7.3593073593073512</c:v>
                </c:pt>
                <c:pt idx="11">
                  <c:v>1.3157894736842195</c:v>
                </c:pt>
                <c:pt idx="12">
                  <c:v>1.565995525727061</c:v>
                </c:pt>
                <c:pt idx="13">
                  <c:v>2.6548672566371749</c:v>
                </c:pt>
                <c:pt idx="14">
                  <c:v>5.0179211469534124</c:v>
                </c:pt>
                <c:pt idx="15">
                  <c:v>4.1463414634146289</c:v>
                </c:pt>
                <c:pt idx="16">
                  <c:v>0</c:v>
                </c:pt>
                <c:pt idx="17">
                  <c:v>5.9701492537313499</c:v>
                </c:pt>
                <c:pt idx="18">
                  <c:v>2.5862068965517295</c:v>
                </c:pt>
                <c:pt idx="19">
                  <c:v>4.4444444444444571</c:v>
                </c:pt>
                <c:pt idx="20">
                  <c:v>6.6666666666666572</c:v>
                </c:pt>
                <c:pt idx="21">
                  <c:v>4.1322314049586737</c:v>
                </c:pt>
                <c:pt idx="22">
                  <c:v>5.4945054945054892</c:v>
                </c:pt>
                <c:pt idx="23">
                  <c:v>3.6753445635528266</c:v>
                </c:pt>
                <c:pt idx="24">
                  <c:v>3.7225042301184459</c:v>
                </c:pt>
                <c:pt idx="25">
                  <c:v>11.229946524064161</c:v>
                </c:pt>
                <c:pt idx="26">
                  <c:v>0</c:v>
                </c:pt>
                <c:pt idx="27">
                  <c:v>6.790123456790127</c:v>
                </c:pt>
                <c:pt idx="28">
                  <c:v>3.8461538461538396</c:v>
                </c:pt>
              </c:numCache>
            </c:numRef>
          </c:val>
        </c:ser>
        <c:overlap val="100"/>
        <c:axId val="92723072"/>
        <c:axId val="92724608"/>
      </c:barChart>
      <c:lineChart>
        <c:grouping val="standard"/>
        <c:ser>
          <c:idx val="0"/>
          <c:order val="1"/>
          <c:tx>
            <c:strRef>
              <c:f>'Chart 5 (2015) DATA'!$L$2</c:f>
              <c:strCache>
                <c:ptCount val="1"/>
                <c:pt idx="0">
                  <c:v>Stroke Standard (2013)</c:v>
                </c:pt>
              </c:strCache>
            </c:strRef>
          </c:tx>
          <c:marker>
            <c:symbol val="none"/>
          </c:marker>
          <c:val>
            <c:numRef>
              <c:f>'Chart 5 (2015) DATA'!$L$3:$L$31</c:f>
              <c:numCache>
                <c:formatCode>General</c:formatCode>
                <c:ptCount val="29"/>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pt idx="16">
                  <c:v>95</c:v>
                </c:pt>
                <c:pt idx="17">
                  <c:v>95</c:v>
                </c:pt>
                <c:pt idx="18">
                  <c:v>95</c:v>
                </c:pt>
                <c:pt idx="19">
                  <c:v>95</c:v>
                </c:pt>
                <c:pt idx="20">
                  <c:v>95</c:v>
                </c:pt>
                <c:pt idx="21">
                  <c:v>95</c:v>
                </c:pt>
                <c:pt idx="22">
                  <c:v>95</c:v>
                </c:pt>
                <c:pt idx="23">
                  <c:v>95</c:v>
                </c:pt>
                <c:pt idx="24">
                  <c:v>95</c:v>
                </c:pt>
                <c:pt idx="25">
                  <c:v>95</c:v>
                </c:pt>
                <c:pt idx="26">
                  <c:v>95</c:v>
                </c:pt>
                <c:pt idx="27">
                  <c:v>95</c:v>
                </c:pt>
                <c:pt idx="28">
                  <c:v>95</c:v>
                </c:pt>
              </c:numCache>
            </c:numRef>
          </c:val>
        </c:ser>
        <c:marker val="1"/>
        <c:axId val="92723072"/>
        <c:axId val="92724608"/>
      </c:lineChart>
      <c:catAx>
        <c:axId val="92723072"/>
        <c:scaling>
          <c:orientation val="minMax"/>
        </c:scaling>
        <c:axPos val="b"/>
        <c:tickLblPos val="nextTo"/>
        <c:txPr>
          <a:bodyPr rot="-5400000" vert="horz"/>
          <a:lstStyle/>
          <a:p>
            <a:pPr>
              <a:defRPr sz="800"/>
            </a:pPr>
            <a:endParaRPr lang="en-US"/>
          </a:p>
        </c:txPr>
        <c:crossAx val="92724608"/>
        <c:crosses val="autoZero"/>
        <c:auto val="1"/>
        <c:lblAlgn val="ctr"/>
        <c:lblOffset val="100"/>
      </c:catAx>
      <c:valAx>
        <c:axId val="92724608"/>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92723072"/>
        <c:crosses val="autoZero"/>
        <c:crossBetween val="between"/>
      </c:valAx>
      <c:spPr>
        <a:ln>
          <a:solidFill>
            <a:schemeClr val="tx1"/>
          </a:solidFill>
        </a:ln>
      </c:spPr>
    </c:plotArea>
    <c:legend>
      <c:legendPos val="r"/>
      <c:layout>
        <c:manualLayout>
          <c:xMode val="edge"/>
          <c:yMode val="edge"/>
          <c:x val="0.88287233326603409"/>
          <c:y val="0.32533538570836973"/>
          <c:w val="0.10820904911969616"/>
          <c:h val="0.30568231602628632"/>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866" l="0.70000000000000062" r="0.70000000000000062" t="0.7500000000000086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78582372175545057"/>
          <c:h val="0.75436635994268797"/>
        </c:manualLayout>
      </c:layout>
      <c:barChart>
        <c:barDir val="col"/>
        <c:grouping val="clustered"/>
        <c:ser>
          <c:idx val="0"/>
          <c:order val="0"/>
          <c:tx>
            <c:strRef>
              <c:f>'Chart 6 DATA'!$B$2</c:f>
              <c:strCache>
                <c:ptCount val="1"/>
                <c:pt idx="0">
                  <c:v>2015 (%)</c:v>
                </c:pt>
              </c:strCache>
            </c:strRef>
          </c:tx>
          <c:spPr>
            <a:solidFill>
              <a:schemeClr val="bg1">
                <a:lumMod val="65000"/>
              </a:schemeClr>
            </a:solidFill>
          </c:spPr>
          <c:cat>
            <c:strRef>
              <c:f>'Chart 6 DATA'!$A$3:$A$23</c:f>
              <c:strCache>
                <c:ptCount val="21"/>
                <c:pt idx="0">
                  <c:v>Scotland</c:v>
                </c:pt>
                <c:pt idx="1">
                  <c:v>WGH</c:v>
                </c:pt>
                <c:pt idx="2">
                  <c:v>Monklands</c:v>
                </c:pt>
                <c:pt idx="3">
                  <c:v>Ayr</c:v>
                </c:pt>
                <c:pt idx="4">
                  <c:v>RIE</c:v>
                </c:pt>
                <c:pt idx="5">
                  <c:v>Crosshouse</c:v>
                </c:pt>
                <c:pt idx="6">
                  <c:v>VHK</c:v>
                </c:pt>
                <c:pt idx="7">
                  <c:v>L&amp;I</c:v>
                </c:pt>
                <c:pt idx="8">
                  <c:v>Balfour</c:v>
                </c:pt>
                <c:pt idx="9">
                  <c:v>PRI</c:v>
                </c:pt>
                <c:pt idx="10">
                  <c:v>Wishaw</c:v>
                </c:pt>
                <c:pt idx="11">
                  <c:v>DGRI</c:v>
                </c:pt>
                <c:pt idx="12">
                  <c:v>Hairmyres</c:v>
                </c:pt>
                <c:pt idx="13">
                  <c:v>Borders</c:v>
                </c:pt>
                <c:pt idx="14">
                  <c:v>SJH</c:v>
                </c:pt>
                <c:pt idx="15">
                  <c:v>Dr Grays</c:v>
                </c:pt>
                <c:pt idx="16">
                  <c:v>Raigmore</c:v>
                </c:pt>
                <c:pt idx="17">
                  <c:v>ARI</c:v>
                </c:pt>
                <c:pt idx="18">
                  <c:v>QMH</c:v>
                </c:pt>
                <c:pt idx="19">
                  <c:v>Ninewells</c:v>
                </c:pt>
                <c:pt idx="20">
                  <c:v>FVRH</c:v>
                </c:pt>
              </c:strCache>
            </c:strRef>
          </c:cat>
          <c:val>
            <c:numRef>
              <c:f>'Chart 6 DATA'!$B$3:$B$23</c:f>
              <c:numCache>
                <c:formatCode>0</c:formatCode>
                <c:ptCount val="21"/>
                <c:pt idx="0">
                  <c:v>83.149242229642951</c:v>
                </c:pt>
                <c:pt idx="1">
                  <c:v>94.677419354838705</c:v>
                </c:pt>
                <c:pt idx="2">
                  <c:v>84.615384615384613</c:v>
                </c:pt>
                <c:pt idx="3">
                  <c:v>96.610169491525426</c:v>
                </c:pt>
                <c:pt idx="4">
                  <c:v>0</c:v>
                </c:pt>
                <c:pt idx="5">
                  <c:v>87.428571428571431</c:v>
                </c:pt>
                <c:pt idx="6">
                  <c:v>85</c:v>
                </c:pt>
                <c:pt idx="7">
                  <c:v>78.378378378378372</c:v>
                </c:pt>
                <c:pt idx="8">
                  <c:v>0</c:v>
                </c:pt>
                <c:pt idx="9">
                  <c:v>68.807339449541288</c:v>
                </c:pt>
                <c:pt idx="10">
                  <c:v>86.470588235294116</c:v>
                </c:pt>
                <c:pt idx="11">
                  <c:v>84.974093264248708</c:v>
                </c:pt>
                <c:pt idx="12">
                  <c:v>85.520361990950221</c:v>
                </c:pt>
                <c:pt idx="13">
                  <c:v>86.956521739130437</c:v>
                </c:pt>
                <c:pt idx="14">
                  <c:v>80.924855491329481</c:v>
                </c:pt>
                <c:pt idx="15">
                  <c:v>66.037735849056602</c:v>
                </c:pt>
                <c:pt idx="16">
                  <c:v>75.925925925925924</c:v>
                </c:pt>
                <c:pt idx="17">
                  <c:v>69.742489270386272</c:v>
                </c:pt>
                <c:pt idx="18">
                  <c:v>56.111111111111114</c:v>
                </c:pt>
                <c:pt idx="19">
                  <c:v>92.178770949720672</c:v>
                </c:pt>
                <c:pt idx="20">
                  <c:v>93.288590604026851</c:v>
                </c:pt>
              </c:numCache>
            </c:numRef>
          </c:val>
        </c:ser>
        <c:ser>
          <c:idx val="1"/>
          <c:order val="1"/>
          <c:tx>
            <c:strRef>
              <c:f>'Chart 6 DATA'!$C$2</c:f>
              <c:strCache>
                <c:ptCount val="1"/>
                <c:pt idx="0">
                  <c:v>2016 (%)</c:v>
                </c:pt>
              </c:strCache>
            </c:strRef>
          </c:tx>
          <c:dPt>
            <c:idx val="0"/>
            <c:spPr>
              <a:solidFill>
                <a:srgbClr val="00B050"/>
              </a:solidFill>
            </c:spPr>
          </c:dPt>
          <c:dPt>
            <c:idx val="1"/>
            <c:spPr>
              <a:solidFill>
                <a:srgbClr val="FFC000"/>
              </a:solidFill>
            </c:spPr>
          </c:dPt>
          <c:dPt>
            <c:idx val="2"/>
            <c:spPr>
              <a:solidFill>
                <a:srgbClr val="FFC000"/>
              </a:solidFill>
            </c:spPr>
          </c:dPt>
          <c:dPt>
            <c:idx val="3"/>
            <c:spPr>
              <a:solidFill>
                <a:srgbClr val="FFC000"/>
              </a:solidFill>
            </c:spPr>
          </c:dPt>
          <c:dPt>
            <c:idx val="4"/>
            <c:spPr>
              <a:solidFill>
                <a:srgbClr val="FFC000"/>
              </a:solidFill>
            </c:spPr>
          </c:dPt>
          <c:dPt>
            <c:idx val="5"/>
            <c:spPr>
              <a:solidFill>
                <a:srgbClr val="00B050"/>
              </a:solidFill>
            </c:spPr>
          </c:dPt>
          <c:dPt>
            <c:idx val="6"/>
            <c:spPr>
              <a:solidFill>
                <a:srgbClr val="FFC000"/>
              </a:solidFill>
            </c:spPr>
          </c:dPt>
          <c:dPt>
            <c:idx val="7"/>
            <c:spPr>
              <a:solidFill>
                <a:srgbClr val="FFC000"/>
              </a:solidFill>
            </c:spPr>
          </c:dPt>
          <c:dPt>
            <c:idx val="8"/>
            <c:spPr>
              <a:solidFill>
                <a:srgbClr val="00B050"/>
              </a:solidFill>
            </c:spPr>
          </c:dPt>
          <c:dPt>
            <c:idx val="9"/>
            <c:spPr>
              <a:solidFill>
                <a:srgbClr val="FFC000"/>
              </a:solidFill>
            </c:spPr>
          </c:dPt>
          <c:dPt>
            <c:idx val="10"/>
            <c:spPr>
              <a:solidFill>
                <a:srgbClr val="FFC000"/>
              </a:solidFill>
            </c:spPr>
          </c:dPt>
          <c:dPt>
            <c:idx val="11"/>
            <c:spPr>
              <a:solidFill>
                <a:srgbClr val="00B050"/>
              </a:solidFill>
            </c:spPr>
          </c:dPt>
          <c:dPt>
            <c:idx val="12"/>
            <c:spPr>
              <a:solidFill>
                <a:srgbClr val="FFC000"/>
              </a:solidFill>
            </c:spPr>
          </c:dPt>
          <c:dPt>
            <c:idx val="13"/>
            <c:spPr>
              <a:solidFill>
                <a:srgbClr val="FFC000"/>
              </a:solidFill>
            </c:spPr>
          </c:dPt>
          <c:dPt>
            <c:idx val="14"/>
            <c:spPr>
              <a:solidFill>
                <a:srgbClr val="00B050"/>
              </a:solidFill>
            </c:spPr>
          </c:dPt>
          <c:dPt>
            <c:idx val="15"/>
            <c:spPr>
              <a:solidFill>
                <a:srgbClr val="FFC000"/>
              </a:solidFill>
            </c:spPr>
          </c:dPt>
          <c:dPt>
            <c:idx val="16"/>
            <c:spPr>
              <a:solidFill>
                <a:srgbClr val="FFC000"/>
              </a:solidFill>
            </c:spPr>
          </c:dPt>
          <c:dPt>
            <c:idx val="17"/>
            <c:spPr>
              <a:solidFill>
                <a:srgbClr val="00B050"/>
              </a:solidFill>
            </c:spPr>
          </c:dPt>
          <c:dPt>
            <c:idx val="18"/>
            <c:spPr>
              <a:solidFill>
                <a:srgbClr val="FFC000"/>
              </a:solidFill>
            </c:spPr>
          </c:dPt>
          <c:dPt>
            <c:idx val="19"/>
            <c:spPr>
              <a:solidFill>
                <a:srgbClr val="FFC000"/>
              </a:solidFill>
            </c:spPr>
          </c:dPt>
          <c:dPt>
            <c:idx val="20"/>
            <c:spPr>
              <a:solidFill>
                <a:srgbClr val="FFC000"/>
              </a:solidFill>
            </c:spPr>
          </c:dPt>
          <c:dPt>
            <c:idx val="21"/>
            <c:spPr>
              <a:solidFill>
                <a:srgbClr val="FFC000"/>
              </a:solidFill>
            </c:spPr>
          </c:dPt>
          <c:dPt>
            <c:idx val="22"/>
            <c:spPr>
              <a:solidFill>
                <a:srgbClr val="FFC000"/>
              </a:solidFill>
            </c:spPr>
          </c:dPt>
          <c:dPt>
            <c:idx val="23"/>
            <c:spPr>
              <a:solidFill>
                <a:srgbClr val="FF0000"/>
              </a:solidFill>
            </c:spPr>
          </c:dPt>
          <c:dPt>
            <c:idx val="24"/>
            <c:spPr>
              <a:solidFill>
                <a:srgbClr val="FFC000"/>
              </a:solidFill>
            </c:spPr>
          </c:dPt>
          <c:dPt>
            <c:idx val="25"/>
            <c:spPr>
              <a:solidFill>
                <a:srgbClr val="FFC000"/>
              </a:solidFill>
            </c:spPr>
          </c:dPt>
          <c:dPt>
            <c:idx val="26"/>
            <c:spPr>
              <a:solidFill>
                <a:srgbClr val="FFC000"/>
              </a:solidFill>
            </c:spPr>
          </c:dPt>
          <c:dPt>
            <c:idx val="27"/>
            <c:spPr>
              <a:solidFill>
                <a:srgbClr val="FFC000"/>
              </a:solidFill>
            </c:spPr>
          </c:dPt>
          <c:dPt>
            <c:idx val="28"/>
            <c:spPr>
              <a:solidFill>
                <a:srgbClr val="FFC000"/>
              </a:solidFill>
            </c:spPr>
          </c:dPt>
          <c:dPt>
            <c:idx val="29"/>
            <c:spPr>
              <a:solidFill>
                <a:srgbClr val="FFC000"/>
              </a:solidFill>
            </c:spPr>
          </c:dPt>
          <c:dPt>
            <c:idx val="30"/>
            <c:spPr>
              <a:solidFill>
                <a:srgbClr val="FFC000"/>
              </a:solidFill>
            </c:spPr>
          </c:dPt>
          <c:dPt>
            <c:idx val="31"/>
            <c:spPr>
              <a:solidFill>
                <a:srgbClr val="FFC000"/>
              </a:solidFill>
            </c:spPr>
          </c:dPt>
          <c:cat>
            <c:strRef>
              <c:f>'Chart 6 DATA'!$A$3:$A$23</c:f>
              <c:strCache>
                <c:ptCount val="21"/>
                <c:pt idx="0">
                  <c:v>Scotland</c:v>
                </c:pt>
                <c:pt idx="1">
                  <c:v>WGH</c:v>
                </c:pt>
                <c:pt idx="2">
                  <c:v>Monklands</c:v>
                </c:pt>
                <c:pt idx="3">
                  <c:v>Ayr</c:v>
                </c:pt>
                <c:pt idx="4">
                  <c:v>RIE</c:v>
                </c:pt>
                <c:pt idx="5">
                  <c:v>Crosshouse</c:v>
                </c:pt>
                <c:pt idx="6">
                  <c:v>VHK</c:v>
                </c:pt>
                <c:pt idx="7">
                  <c:v>L&amp;I</c:v>
                </c:pt>
                <c:pt idx="8">
                  <c:v>Balfour</c:v>
                </c:pt>
                <c:pt idx="9">
                  <c:v>PRI</c:v>
                </c:pt>
                <c:pt idx="10">
                  <c:v>Wishaw</c:v>
                </c:pt>
                <c:pt idx="11">
                  <c:v>DGRI</c:v>
                </c:pt>
                <c:pt idx="12">
                  <c:v>Hairmyres</c:v>
                </c:pt>
                <c:pt idx="13">
                  <c:v>Borders</c:v>
                </c:pt>
                <c:pt idx="14">
                  <c:v>SJH</c:v>
                </c:pt>
                <c:pt idx="15">
                  <c:v>Dr Grays</c:v>
                </c:pt>
                <c:pt idx="16">
                  <c:v>Raigmore</c:v>
                </c:pt>
                <c:pt idx="17">
                  <c:v>ARI</c:v>
                </c:pt>
                <c:pt idx="18">
                  <c:v>QMH</c:v>
                </c:pt>
                <c:pt idx="19">
                  <c:v>Ninewells</c:v>
                </c:pt>
                <c:pt idx="20">
                  <c:v>FVRH</c:v>
                </c:pt>
              </c:strCache>
            </c:strRef>
          </c:cat>
          <c:val>
            <c:numRef>
              <c:f>'Chart 6 DATA'!$C$3:$C$23</c:f>
              <c:numCache>
                <c:formatCode>0</c:formatCode>
                <c:ptCount val="21"/>
                <c:pt idx="0">
                  <c:v>82.098445595854912</c:v>
                </c:pt>
                <c:pt idx="1">
                  <c:v>96.491228070175438</c:v>
                </c:pt>
                <c:pt idx="2">
                  <c:v>94.520547945205479</c:v>
                </c:pt>
                <c:pt idx="3">
                  <c:v>90.990990990990994</c:v>
                </c:pt>
                <c:pt idx="4">
                  <c:v>90.677966101694921</c:v>
                </c:pt>
                <c:pt idx="5">
                  <c:v>89.81481481481481</c:v>
                </c:pt>
                <c:pt idx="6">
                  <c:v>89.583333333333343</c:v>
                </c:pt>
                <c:pt idx="7">
                  <c:v>88.888888888888886</c:v>
                </c:pt>
                <c:pt idx="8">
                  <c:v>88.888888888888886</c:v>
                </c:pt>
                <c:pt idx="9">
                  <c:v>85.611510791366911</c:v>
                </c:pt>
                <c:pt idx="10">
                  <c:v>85.555555555555557</c:v>
                </c:pt>
                <c:pt idx="11">
                  <c:v>84.302325581395351</c:v>
                </c:pt>
                <c:pt idx="12">
                  <c:v>83.88429752066115</c:v>
                </c:pt>
                <c:pt idx="13">
                  <c:v>83.766233766233768</c:v>
                </c:pt>
                <c:pt idx="14">
                  <c:v>78.260869565217391</c:v>
                </c:pt>
                <c:pt idx="15">
                  <c:v>76.470588235294116</c:v>
                </c:pt>
                <c:pt idx="16">
                  <c:v>75.80071174377224</c:v>
                </c:pt>
                <c:pt idx="17">
                  <c:v>72.504378283712782</c:v>
                </c:pt>
                <c:pt idx="18">
                  <c:v>71.022727272727266</c:v>
                </c:pt>
                <c:pt idx="19">
                  <c:v>67.368421052631575</c:v>
                </c:pt>
                <c:pt idx="20">
                  <c:v>67.073170731707322</c:v>
                </c:pt>
              </c:numCache>
            </c:numRef>
          </c:val>
        </c:ser>
        <c:axId val="92963584"/>
        <c:axId val="92965120"/>
      </c:barChart>
      <c:scatterChart>
        <c:scatterStyle val="lineMarker"/>
        <c:ser>
          <c:idx val="2"/>
          <c:order val="2"/>
          <c:tx>
            <c:strRef>
              <c:f>'Chart 6 DATA'!$D$2</c:f>
              <c:strCache>
                <c:ptCount val="1"/>
                <c:pt idx="0">
                  <c:v>Stroke Standard</c:v>
                </c:pt>
              </c:strCache>
            </c:strRef>
          </c:tx>
          <c:spPr>
            <a:ln>
              <a:solidFill>
                <a:schemeClr val="tx2"/>
              </a:solidFill>
            </a:ln>
          </c:spPr>
          <c:marker>
            <c:symbol val="none"/>
          </c:marker>
          <c:yVal>
            <c:numRef>
              <c:f>'Chart 6 DATA'!$D$3:$D$23</c:f>
              <c:numCache>
                <c:formatCode>General</c:formatCode>
                <c:ptCount val="21"/>
                <c:pt idx="0" formatCode="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numCache>
            </c:numRef>
          </c:yVal>
        </c:ser>
        <c:axId val="92967296"/>
        <c:axId val="92968832"/>
      </c:scatterChart>
      <c:catAx>
        <c:axId val="9296358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2965120"/>
        <c:crosses val="autoZero"/>
        <c:auto val="1"/>
        <c:lblAlgn val="ctr"/>
        <c:lblOffset val="100"/>
      </c:catAx>
      <c:valAx>
        <c:axId val="92965120"/>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963584"/>
        <c:crosses val="autoZero"/>
        <c:crossBetween val="between"/>
      </c:valAx>
      <c:valAx>
        <c:axId val="92967296"/>
        <c:scaling>
          <c:orientation val="minMax"/>
          <c:max val="32"/>
          <c:min val="1"/>
        </c:scaling>
        <c:delete val="1"/>
        <c:axPos val="t"/>
        <c:tickLblPos val="none"/>
        <c:crossAx val="92968832"/>
        <c:crosses val="max"/>
        <c:crossBetween val="midCat"/>
      </c:valAx>
      <c:valAx>
        <c:axId val="92968832"/>
        <c:scaling>
          <c:orientation val="minMax"/>
          <c:max val="100"/>
          <c:min val="0"/>
        </c:scaling>
        <c:delete val="1"/>
        <c:axPos val="r"/>
        <c:numFmt formatCode="0" sourceLinked="1"/>
        <c:tickLblPos val="none"/>
        <c:crossAx val="92967296"/>
        <c:crosses val="max"/>
        <c:crossBetween val="midCat"/>
      </c:valAx>
      <c:spPr>
        <a:ln>
          <a:solidFill>
            <a:schemeClr val="accent1"/>
          </a:solidFill>
        </a:ln>
      </c:spPr>
    </c:plotArea>
    <c:legend>
      <c:legendPos val="r"/>
      <c:layout>
        <c:manualLayout>
          <c:xMode val="edge"/>
          <c:yMode val="edge"/>
          <c:x val="0.8774525131154256"/>
          <c:y val="0.41530243108752823"/>
          <c:w val="0.10913963445016772"/>
          <c:h val="0.22560112112682745"/>
        </c:manualLayout>
      </c:layout>
      <c:txPr>
        <a:bodyPr/>
        <a:lstStyle/>
        <a:p>
          <a:pPr>
            <a:defRPr sz="775"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7843852452575166"/>
          <c:h val="0.75436635994268786"/>
        </c:manualLayout>
      </c:layout>
      <c:barChart>
        <c:barDir val="col"/>
        <c:grouping val="clustered"/>
        <c:ser>
          <c:idx val="0"/>
          <c:order val="0"/>
          <c:tx>
            <c:strRef>
              <c:f>'Chart 6 DATA'!$B$2</c:f>
              <c:strCache>
                <c:ptCount val="1"/>
                <c:pt idx="0">
                  <c:v>2015 (%)</c:v>
                </c:pt>
              </c:strCache>
            </c:strRef>
          </c:tx>
          <c:spPr>
            <a:solidFill>
              <a:schemeClr val="bg1">
                <a:lumMod val="65000"/>
              </a:schemeClr>
            </a:solidFill>
          </c:spPr>
          <c:cat>
            <c:strRef>
              <c:f>'Chart 6 DATA'!$A$3:$A$25</c:f>
              <c:strCache>
                <c:ptCount val="23"/>
                <c:pt idx="0">
                  <c:v>Scotland</c:v>
                </c:pt>
                <c:pt idx="1">
                  <c:v>WGH</c:v>
                </c:pt>
                <c:pt idx="2">
                  <c:v>Monklands</c:v>
                </c:pt>
                <c:pt idx="3">
                  <c:v>Ayr</c:v>
                </c:pt>
                <c:pt idx="4">
                  <c:v>RIE</c:v>
                </c:pt>
                <c:pt idx="5">
                  <c:v>Crosshouse</c:v>
                </c:pt>
                <c:pt idx="6">
                  <c:v>VHK</c:v>
                </c:pt>
                <c:pt idx="7">
                  <c:v>L&amp;I</c:v>
                </c:pt>
                <c:pt idx="8">
                  <c:v>Balfour</c:v>
                </c:pt>
                <c:pt idx="9">
                  <c:v>PRI</c:v>
                </c:pt>
                <c:pt idx="10">
                  <c:v>Wishaw</c:v>
                </c:pt>
                <c:pt idx="11">
                  <c:v>DGRI</c:v>
                </c:pt>
                <c:pt idx="12">
                  <c:v>Hairmyres</c:v>
                </c:pt>
                <c:pt idx="13">
                  <c:v>Borders</c:v>
                </c:pt>
                <c:pt idx="14">
                  <c:v>SJH</c:v>
                </c:pt>
                <c:pt idx="15">
                  <c:v>Dr Grays</c:v>
                </c:pt>
                <c:pt idx="16">
                  <c:v>Raigmore</c:v>
                </c:pt>
                <c:pt idx="17">
                  <c:v>ARI</c:v>
                </c:pt>
                <c:pt idx="18">
                  <c:v>QMH</c:v>
                </c:pt>
                <c:pt idx="19">
                  <c:v>Ninewells</c:v>
                </c:pt>
                <c:pt idx="20">
                  <c:v>FVRH</c:v>
                </c:pt>
                <c:pt idx="21">
                  <c:v>Western Isles</c:v>
                </c:pt>
                <c:pt idx="22">
                  <c:v>Stracathro</c:v>
                </c:pt>
              </c:strCache>
            </c:strRef>
          </c:cat>
          <c:val>
            <c:numRef>
              <c:f>'Chart 6 DATA'!$B$3:$B$24</c:f>
              <c:numCache>
                <c:formatCode>0</c:formatCode>
                <c:ptCount val="22"/>
                <c:pt idx="0">
                  <c:v>83.149242229642951</c:v>
                </c:pt>
                <c:pt idx="1">
                  <c:v>94.677419354838705</c:v>
                </c:pt>
                <c:pt idx="2">
                  <c:v>84.615384615384613</c:v>
                </c:pt>
                <c:pt idx="3">
                  <c:v>96.610169491525426</c:v>
                </c:pt>
                <c:pt idx="4">
                  <c:v>0</c:v>
                </c:pt>
                <c:pt idx="5">
                  <c:v>87.428571428571431</c:v>
                </c:pt>
                <c:pt idx="6">
                  <c:v>85</c:v>
                </c:pt>
                <c:pt idx="7">
                  <c:v>78.378378378378372</c:v>
                </c:pt>
                <c:pt idx="8">
                  <c:v>0</c:v>
                </c:pt>
                <c:pt idx="9">
                  <c:v>68.807339449541288</c:v>
                </c:pt>
                <c:pt idx="10">
                  <c:v>86.470588235294116</c:v>
                </c:pt>
                <c:pt idx="11">
                  <c:v>84.974093264248708</c:v>
                </c:pt>
                <c:pt idx="12">
                  <c:v>85.520361990950221</c:v>
                </c:pt>
                <c:pt idx="13">
                  <c:v>86.956521739130437</c:v>
                </c:pt>
                <c:pt idx="14">
                  <c:v>80.924855491329481</c:v>
                </c:pt>
                <c:pt idx="15">
                  <c:v>66.037735849056602</c:v>
                </c:pt>
                <c:pt idx="16">
                  <c:v>75.925925925925924</c:v>
                </c:pt>
                <c:pt idx="17">
                  <c:v>69.742489270386272</c:v>
                </c:pt>
                <c:pt idx="18">
                  <c:v>56.111111111111114</c:v>
                </c:pt>
                <c:pt idx="19">
                  <c:v>92.178770949720672</c:v>
                </c:pt>
                <c:pt idx="20">
                  <c:v>93.288590604026851</c:v>
                </c:pt>
                <c:pt idx="21">
                  <c:v>66.666666666666657</c:v>
                </c:pt>
              </c:numCache>
            </c:numRef>
          </c:val>
        </c:ser>
        <c:ser>
          <c:idx val="1"/>
          <c:order val="1"/>
          <c:tx>
            <c:strRef>
              <c:f>'Chart 6 DATA'!$C$2</c:f>
              <c:strCache>
                <c:ptCount val="1"/>
                <c:pt idx="0">
                  <c:v>2016 (%)</c:v>
                </c:pt>
              </c:strCache>
            </c:strRef>
          </c:tx>
          <c:spPr>
            <a:solidFill>
              <a:srgbClr val="756BB1"/>
            </a:solidFill>
          </c:spPr>
          <c:dPt>
            <c:idx val="0"/>
            <c:spPr>
              <a:solidFill>
                <a:srgbClr val="FFC000"/>
              </a:solidFill>
            </c:spPr>
          </c:dPt>
          <c:dPt>
            <c:idx val="1"/>
            <c:spPr>
              <a:solidFill>
                <a:srgbClr val="FFC000"/>
              </a:solidFill>
            </c:spPr>
          </c:dPt>
          <c:dPt>
            <c:idx val="2"/>
            <c:spPr>
              <a:solidFill>
                <a:srgbClr val="FFC000"/>
              </a:solidFill>
            </c:spPr>
          </c:dPt>
          <c:dPt>
            <c:idx val="3"/>
            <c:spPr>
              <a:solidFill>
                <a:srgbClr val="FFC000"/>
              </a:solidFill>
            </c:spPr>
          </c:dPt>
          <c:dPt>
            <c:idx val="4"/>
            <c:spPr>
              <a:solidFill>
                <a:srgbClr val="FFC000"/>
              </a:solidFill>
            </c:spPr>
          </c:dPt>
          <c:dPt>
            <c:idx val="5"/>
            <c:spPr>
              <a:solidFill>
                <a:srgbClr val="FFC000"/>
              </a:solidFill>
            </c:spPr>
          </c:dPt>
          <c:dPt>
            <c:idx val="6"/>
            <c:spPr>
              <a:solidFill>
                <a:srgbClr val="FFC000"/>
              </a:solidFill>
            </c:spPr>
          </c:dPt>
          <c:dPt>
            <c:idx val="7"/>
            <c:spPr>
              <a:solidFill>
                <a:srgbClr val="FFC000"/>
              </a:solidFill>
            </c:spPr>
          </c:dPt>
          <c:dPt>
            <c:idx val="8"/>
            <c:spPr>
              <a:solidFill>
                <a:srgbClr val="008000"/>
              </a:solidFill>
            </c:spPr>
          </c:dPt>
          <c:dPt>
            <c:idx val="9"/>
            <c:spPr>
              <a:solidFill>
                <a:srgbClr val="008000"/>
              </a:solidFill>
            </c:spPr>
          </c:dPt>
          <c:dPt>
            <c:idx val="10"/>
            <c:spPr>
              <a:solidFill>
                <a:srgbClr val="FFC000"/>
              </a:solidFill>
            </c:spPr>
          </c:dPt>
          <c:dPt>
            <c:idx val="11"/>
            <c:spPr>
              <a:solidFill>
                <a:srgbClr val="FFC000"/>
              </a:solidFill>
            </c:spPr>
          </c:dPt>
          <c:dPt>
            <c:idx val="12"/>
            <c:spPr>
              <a:solidFill>
                <a:srgbClr val="FFC000"/>
              </a:solidFill>
            </c:spPr>
          </c:dPt>
          <c:dPt>
            <c:idx val="13"/>
            <c:spPr>
              <a:solidFill>
                <a:srgbClr val="FFC000"/>
              </a:solidFill>
            </c:spPr>
          </c:dPt>
          <c:dPt>
            <c:idx val="14"/>
            <c:spPr>
              <a:solidFill>
                <a:srgbClr val="FFC000"/>
              </a:solidFill>
            </c:spPr>
          </c:dPt>
          <c:dPt>
            <c:idx val="15"/>
            <c:spPr>
              <a:solidFill>
                <a:srgbClr val="FFC000"/>
              </a:solidFill>
            </c:spPr>
          </c:dPt>
          <c:dPt>
            <c:idx val="16"/>
            <c:spPr>
              <a:solidFill>
                <a:srgbClr val="FFC000"/>
              </a:solidFill>
            </c:spPr>
          </c:dPt>
          <c:dPt>
            <c:idx val="17"/>
            <c:spPr>
              <a:solidFill>
                <a:srgbClr val="FFC000"/>
              </a:solidFill>
            </c:spPr>
          </c:dPt>
          <c:dPt>
            <c:idx val="18"/>
            <c:spPr>
              <a:solidFill>
                <a:srgbClr val="008000"/>
              </a:solidFill>
            </c:spPr>
          </c:dPt>
          <c:dPt>
            <c:idx val="19"/>
            <c:spPr>
              <a:solidFill>
                <a:srgbClr val="FF0000"/>
              </a:solidFill>
            </c:spPr>
          </c:dPt>
          <c:dPt>
            <c:idx val="20"/>
            <c:spPr>
              <a:solidFill>
                <a:srgbClr val="FF0000"/>
              </a:solidFill>
              <a:ln w="25400">
                <a:noFill/>
              </a:ln>
            </c:spPr>
          </c:dPt>
          <c:dPt>
            <c:idx val="21"/>
            <c:spPr>
              <a:solidFill>
                <a:srgbClr val="FFC000"/>
              </a:solidFill>
            </c:spPr>
          </c:dPt>
          <c:dPt>
            <c:idx val="22"/>
            <c:spPr>
              <a:solidFill>
                <a:srgbClr val="FFC000"/>
              </a:solidFill>
            </c:spPr>
          </c:dPt>
          <c:cat>
            <c:strRef>
              <c:f>'Chart 6 DATA'!$A$3:$A$25</c:f>
              <c:strCache>
                <c:ptCount val="23"/>
                <c:pt idx="0">
                  <c:v>Scotland</c:v>
                </c:pt>
                <c:pt idx="1">
                  <c:v>WGH</c:v>
                </c:pt>
                <c:pt idx="2">
                  <c:v>Monklands</c:v>
                </c:pt>
                <c:pt idx="3">
                  <c:v>Ayr</c:v>
                </c:pt>
                <c:pt idx="4">
                  <c:v>RIE</c:v>
                </c:pt>
                <c:pt idx="5">
                  <c:v>Crosshouse</c:v>
                </c:pt>
                <c:pt idx="6">
                  <c:v>VHK</c:v>
                </c:pt>
                <c:pt idx="7">
                  <c:v>L&amp;I</c:v>
                </c:pt>
                <c:pt idx="8">
                  <c:v>Balfour</c:v>
                </c:pt>
                <c:pt idx="9">
                  <c:v>PRI</c:v>
                </c:pt>
                <c:pt idx="10">
                  <c:v>Wishaw</c:v>
                </c:pt>
                <c:pt idx="11">
                  <c:v>DGRI</c:v>
                </c:pt>
                <c:pt idx="12">
                  <c:v>Hairmyres</c:v>
                </c:pt>
                <c:pt idx="13">
                  <c:v>Borders</c:v>
                </c:pt>
                <c:pt idx="14">
                  <c:v>SJH</c:v>
                </c:pt>
                <c:pt idx="15">
                  <c:v>Dr Grays</c:v>
                </c:pt>
                <c:pt idx="16">
                  <c:v>Raigmore</c:v>
                </c:pt>
                <c:pt idx="17">
                  <c:v>ARI</c:v>
                </c:pt>
                <c:pt idx="18">
                  <c:v>QMH</c:v>
                </c:pt>
                <c:pt idx="19">
                  <c:v>Ninewells</c:v>
                </c:pt>
                <c:pt idx="20">
                  <c:v>FVRH</c:v>
                </c:pt>
                <c:pt idx="21">
                  <c:v>Western Isles</c:v>
                </c:pt>
                <c:pt idx="22">
                  <c:v>Stracathro</c:v>
                </c:pt>
              </c:strCache>
            </c:strRef>
          </c:cat>
          <c:val>
            <c:numRef>
              <c:f>'Chart 6 DATA'!$C$3:$C$24</c:f>
              <c:numCache>
                <c:formatCode>0</c:formatCode>
                <c:ptCount val="22"/>
                <c:pt idx="0">
                  <c:v>82.098445595854912</c:v>
                </c:pt>
                <c:pt idx="1">
                  <c:v>96.491228070175438</c:v>
                </c:pt>
                <c:pt idx="2">
                  <c:v>94.520547945205479</c:v>
                </c:pt>
                <c:pt idx="3">
                  <c:v>90.990990990990994</c:v>
                </c:pt>
                <c:pt idx="4">
                  <c:v>90.677966101694921</c:v>
                </c:pt>
                <c:pt idx="5">
                  <c:v>89.81481481481481</c:v>
                </c:pt>
                <c:pt idx="6">
                  <c:v>89.583333333333343</c:v>
                </c:pt>
                <c:pt idx="7">
                  <c:v>88.888888888888886</c:v>
                </c:pt>
                <c:pt idx="8">
                  <c:v>88.888888888888886</c:v>
                </c:pt>
                <c:pt idx="9">
                  <c:v>85.611510791366911</c:v>
                </c:pt>
                <c:pt idx="10">
                  <c:v>85.555555555555557</c:v>
                </c:pt>
                <c:pt idx="11">
                  <c:v>84.302325581395351</c:v>
                </c:pt>
                <c:pt idx="12">
                  <c:v>83.88429752066115</c:v>
                </c:pt>
                <c:pt idx="13">
                  <c:v>83.766233766233768</c:v>
                </c:pt>
                <c:pt idx="14">
                  <c:v>78.260869565217391</c:v>
                </c:pt>
                <c:pt idx="15">
                  <c:v>76.470588235294116</c:v>
                </c:pt>
                <c:pt idx="16">
                  <c:v>75.80071174377224</c:v>
                </c:pt>
                <c:pt idx="17">
                  <c:v>72.504378283712782</c:v>
                </c:pt>
                <c:pt idx="18">
                  <c:v>71.022727272727266</c:v>
                </c:pt>
                <c:pt idx="19">
                  <c:v>67.368421052631575</c:v>
                </c:pt>
                <c:pt idx="20">
                  <c:v>67.073170731707322</c:v>
                </c:pt>
                <c:pt idx="21">
                  <c:v>57.142857142857139</c:v>
                </c:pt>
              </c:numCache>
            </c:numRef>
          </c:val>
        </c:ser>
        <c:axId val="94147712"/>
        <c:axId val="94149248"/>
      </c:barChart>
      <c:scatterChart>
        <c:scatterStyle val="lineMarker"/>
        <c:ser>
          <c:idx val="2"/>
          <c:order val="2"/>
          <c:tx>
            <c:v>Stroke Standard (2013)</c:v>
          </c:tx>
          <c:spPr>
            <a:ln w="31750">
              <a:solidFill>
                <a:srgbClr val="0070C0"/>
              </a:solidFill>
            </a:ln>
          </c:spPr>
          <c:marker>
            <c:symbol val="none"/>
          </c:marker>
          <c:xVal>
            <c:strRef>
              <c:f>'Chart 6 DATA'!$A$3:$A$24</c:f>
              <c:strCache>
                <c:ptCount val="22"/>
                <c:pt idx="0">
                  <c:v>Scotland</c:v>
                </c:pt>
                <c:pt idx="1">
                  <c:v>WGH</c:v>
                </c:pt>
                <c:pt idx="2">
                  <c:v>Monklands</c:v>
                </c:pt>
                <c:pt idx="3">
                  <c:v>Ayr</c:v>
                </c:pt>
                <c:pt idx="4">
                  <c:v>RIE</c:v>
                </c:pt>
                <c:pt idx="5">
                  <c:v>Crosshouse</c:v>
                </c:pt>
                <c:pt idx="6">
                  <c:v>VHK</c:v>
                </c:pt>
                <c:pt idx="7">
                  <c:v>L&amp;I</c:v>
                </c:pt>
                <c:pt idx="8">
                  <c:v>Balfour</c:v>
                </c:pt>
                <c:pt idx="9">
                  <c:v>PRI</c:v>
                </c:pt>
                <c:pt idx="10">
                  <c:v>Wishaw</c:v>
                </c:pt>
                <c:pt idx="11">
                  <c:v>DGRI</c:v>
                </c:pt>
                <c:pt idx="12">
                  <c:v>Hairmyres</c:v>
                </c:pt>
                <c:pt idx="13">
                  <c:v>Borders</c:v>
                </c:pt>
                <c:pt idx="14">
                  <c:v>SJH</c:v>
                </c:pt>
                <c:pt idx="15">
                  <c:v>Dr Grays</c:v>
                </c:pt>
                <c:pt idx="16">
                  <c:v>Raigmore</c:v>
                </c:pt>
                <c:pt idx="17">
                  <c:v>ARI</c:v>
                </c:pt>
                <c:pt idx="18">
                  <c:v>QMH</c:v>
                </c:pt>
                <c:pt idx="19">
                  <c:v>Ninewells</c:v>
                </c:pt>
                <c:pt idx="20">
                  <c:v>FVRH</c:v>
                </c:pt>
                <c:pt idx="21">
                  <c:v>Western Isles</c:v>
                </c:pt>
              </c:strCache>
            </c:strRef>
          </c:xVal>
          <c:yVal>
            <c:numRef>
              <c:f>'Chart 6 DATA'!$D$3:$D$24</c:f>
              <c:numCache>
                <c:formatCode>General</c:formatCode>
                <c:ptCount val="22"/>
                <c:pt idx="0" formatCode="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numCache>
            </c:numRef>
          </c:yVal>
        </c:ser>
        <c:axId val="94155520"/>
        <c:axId val="94157056"/>
      </c:scatterChart>
      <c:catAx>
        <c:axId val="94147712"/>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94149248"/>
        <c:crosses val="autoZero"/>
        <c:auto val="1"/>
        <c:lblAlgn val="ctr"/>
        <c:lblOffset val="100"/>
      </c:catAx>
      <c:valAx>
        <c:axId val="94149248"/>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147712"/>
        <c:crosses val="autoZero"/>
        <c:crossBetween val="between"/>
      </c:valAx>
      <c:valAx>
        <c:axId val="94155520"/>
        <c:scaling>
          <c:orientation val="minMax"/>
          <c:max val="21"/>
          <c:min val="1"/>
        </c:scaling>
        <c:delete val="1"/>
        <c:axPos val="t"/>
        <c:tickLblPos val="none"/>
        <c:crossAx val="94157056"/>
        <c:crosses val="max"/>
        <c:crossBetween val="midCat"/>
      </c:valAx>
      <c:valAx>
        <c:axId val="94157056"/>
        <c:scaling>
          <c:orientation val="minMax"/>
        </c:scaling>
        <c:delete val="1"/>
        <c:axPos val="r"/>
        <c:numFmt formatCode="0" sourceLinked="1"/>
        <c:tickLblPos val="none"/>
        <c:crossAx val="94155520"/>
        <c:crosses val="max"/>
        <c:crossBetween val="midCat"/>
      </c:valAx>
      <c:spPr>
        <a:ln>
          <a:solidFill>
            <a:schemeClr val="bg1">
              <a:lumMod val="6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394E-2"/>
          <c:y val="8.0232093304875005E-2"/>
          <c:w val="0.81007028782419765"/>
          <c:h val="0.72370482152729065"/>
        </c:manualLayout>
      </c:layout>
      <c:barChart>
        <c:barDir val="col"/>
        <c:grouping val="stacked"/>
        <c:ser>
          <c:idx val="3"/>
          <c:order val="0"/>
          <c:tx>
            <c:strRef>
              <c:f>'Chart 7 (2016) DATA'!$C$2</c:f>
              <c:strCache>
                <c:ptCount val="1"/>
                <c:pt idx="0">
                  <c:v>Same Day</c:v>
                </c:pt>
              </c:strCache>
            </c:strRef>
          </c:tx>
          <c:spPr>
            <a:solidFill>
              <a:srgbClr val="003366"/>
            </a:solidFill>
            <a:ln>
              <a:solidFill>
                <a:schemeClr val="tx1"/>
              </a:solidFill>
            </a:ln>
          </c:spPr>
          <c:dPt>
            <c:idx val="0"/>
            <c:spPr>
              <a:solidFill>
                <a:srgbClr val="008000"/>
              </a:solidFill>
              <a:ln>
                <a:solidFill>
                  <a:schemeClr val="tx1"/>
                </a:solidFill>
              </a:ln>
            </c:spPr>
          </c:dPt>
          <c:cat>
            <c:strRef>
              <c:f>'Chart 7 (2016) DATA'!$A$3:$A$24</c:f>
              <c:strCache>
                <c:ptCount val="22"/>
                <c:pt idx="0">
                  <c:v>Scotland</c:v>
                </c:pt>
                <c:pt idx="1">
                  <c:v>WGH</c:v>
                </c:pt>
                <c:pt idx="2">
                  <c:v>Monklands</c:v>
                </c:pt>
                <c:pt idx="3">
                  <c:v>RIE</c:v>
                </c:pt>
                <c:pt idx="4">
                  <c:v>Hairmyres</c:v>
                </c:pt>
                <c:pt idx="5">
                  <c:v>Borders</c:v>
                </c:pt>
                <c:pt idx="6">
                  <c:v>Ayr</c:v>
                </c:pt>
                <c:pt idx="7">
                  <c:v>DGRI</c:v>
                </c:pt>
                <c:pt idx="8">
                  <c:v>Crosshouse</c:v>
                </c:pt>
                <c:pt idx="9">
                  <c:v>Wishaw</c:v>
                </c:pt>
                <c:pt idx="10">
                  <c:v>VHK</c:v>
                </c:pt>
                <c:pt idx="11">
                  <c:v>QMH</c:v>
                </c:pt>
                <c:pt idx="12">
                  <c:v>PRI</c:v>
                </c:pt>
                <c:pt idx="13">
                  <c:v>ARI</c:v>
                </c:pt>
                <c:pt idx="14">
                  <c:v>Balfour</c:v>
                </c:pt>
                <c:pt idx="15">
                  <c:v>L&amp;I</c:v>
                </c:pt>
                <c:pt idx="16">
                  <c:v>SJH</c:v>
                </c:pt>
                <c:pt idx="17">
                  <c:v>Ninewells</c:v>
                </c:pt>
                <c:pt idx="18">
                  <c:v>Raigmore</c:v>
                </c:pt>
                <c:pt idx="19">
                  <c:v>FVRH</c:v>
                </c:pt>
                <c:pt idx="20">
                  <c:v>Western Isles</c:v>
                </c:pt>
                <c:pt idx="21">
                  <c:v>Dr Grays</c:v>
                </c:pt>
              </c:strCache>
            </c:strRef>
          </c:cat>
          <c:val>
            <c:numRef>
              <c:f>'Chart 7 (2016) DATA'!$C$3:$C$24</c:f>
              <c:numCache>
                <c:formatCode>0</c:formatCode>
                <c:ptCount val="22"/>
                <c:pt idx="0">
                  <c:v>12.276612276612276</c:v>
                </c:pt>
                <c:pt idx="1">
                  <c:v>23.684210526315788</c:v>
                </c:pt>
                <c:pt idx="2">
                  <c:v>10.95890410958904</c:v>
                </c:pt>
                <c:pt idx="3">
                  <c:v>3.3898305084745761</c:v>
                </c:pt>
                <c:pt idx="4">
                  <c:v>0.41322314049586778</c:v>
                </c:pt>
                <c:pt idx="5">
                  <c:v>1.2987012987012987</c:v>
                </c:pt>
                <c:pt idx="6">
                  <c:v>2.7027027027027026</c:v>
                </c:pt>
                <c:pt idx="7">
                  <c:v>3.4883720930232558</c:v>
                </c:pt>
                <c:pt idx="8">
                  <c:v>7.8703703703703702</c:v>
                </c:pt>
                <c:pt idx="9">
                  <c:v>1.1111111111111112</c:v>
                </c:pt>
                <c:pt idx="10">
                  <c:v>40.416666666666664</c:v>
                </c:pt>
                <c:pt idx="11">
                  <c:v>2.2727272727272729</c:v>
                </c:pt>
                <c:pt idx="12">
                  <c:v>2.1582733812949639</c:v>
                </c:pt>
                <c:pt idx="13">
                  <c:v>20.490367775831874</c:v>
                </c:pt>
                <c:pt idx="14">
                  <c:v>3.7037037037037033</c:v>
                </c:pt>
                <c:pt idx="15">
                  <c:v>28.260869565217391</c:v>
                </c:pt>
                <c:pt idx="16">
                  <c:v>4.3478260869565215</c:v>
                </c:pt>
                <c:pt idx="17">
                  <c:v>2.6315789473684208</c:v>
                </c:pt>
                <c:pt idx="18">
                  <c:v>3.9145907473309607</c:v>
                </c:pt>
                <c:pt idx="19">
                  <c:v>14.634146341463413</c:v>
                </c:pt>
                <c:pt idx="20">
                  <c:v>0</c:v>
                </c:pt>
                <c:pt idx="21">
                  <c:v>47.058823529411761</c:v>
                </c:pt>
              </c:numCache>
            </c:numRef>
          </c:val>
        </c:ser>
        <c:ser>
          <c:idx val="1"/>
          <c:order val="2"/>
          <c:tx>
            <c:strRef>
              <c:f>'Chart 7 (2016) DATA'!$H$2</c:f>
              <c:strCache>
                <c:ptCount val="1"/>
                <c:pt idx="0">
                  <c:v>1 Day</c:v>
                </c:pt>
              </c:strCache>
            </c:strRef>
          </c:tx>
          <c:spPr>
            <a:solidFill>
              <a:srgbClr val="9999FF"/>
            </a:solidFill>
            <a:ln>
              <a:solidFill>
                <a:schemeClr val="tx1"/>
              </a:solidFill>
            </a:ln>
          </c:spPr>
          <c:dPt>
            <c:idx val="0"/>
            <c:spPr>
              <a:solidFill>
                <a:srgbClr val="FF0000"/>
              </a:solidFill>
              <a:ln>
                <a:solidFill>
                  <a:schemeClr val="tx1"/>
                </a:solidFill>
              </a:ln>
            </c:spPr>
          </c:dPt>
          <c:cat>
            <c:strRef>
              <c:f>'Chart 7 (2016) DATA'!$A$3:$A$24</c:f>
              <c:strCache>
                <c:ptCount val="22"/>
                <c:pt idx="0">
                  <c:v>Scotland</c:v>
                </c:pt>
                <c:pt idx="1">
                  <c:v>WGH</c:v>
                </c:pt>
                <c:pt idx="2">
                  <c:v>Monklands</c:v>
                </c:pt>
                <c:pt idx="3">
                  <c:v>RIE</c:v>
                </c:pt>
                <c:pt idx="4">
                  <c:v>Hairmyres</c:v>
                </c:pt>
                <c:pt idx="5">
                  <c:v>Borders</c:v>
                </c:pt>
                <c:pt idx="6">
                  <c:v>Ayr</c:v>
                </c:pt>
                <c:pt idx="7">
                  <c:v>DGRI</c:v>
                </c:pt>
                <c:pt idx="8">
                  <c:v>Crosshouse</c:v>
                </c:pt>
                <c:pt idx="9">
                  <c:v>Wishaw</c:v>
                </c:pt>
                <c:pt idx="10">
                  <c:v>VHK</c:v>
                </c:pt>
                <c:pt idx="11">
                  <c:v>QMH</c:v>
                </c:pt>
                <c:pt idx="12">
                  <c:v>PRI</c:v>
                </c:pt>
                <c:pt idx="13">
                  <c:v>ARI</c:v>
                </c:pt>
                <c:pt idx="14">
                  <c:v>Balfour</c:v>
                </c:pt>
                <c:pt idx="15">
                  <c:v>L&amp;I</c:v>
                </c:pt>
                <c:pt idx="16">
                  <c:v>SJH</c:v>
                </c:pt>
                <c:pt idx="17">
                  <c:v>Ninewells</c:v>
                </c:pt>
                <c:pt idx="18">
                  <c:v>Raigmore</c:v>
                </c:pt>
                <c:pt idx="19">
                  <c:v>FVRH</c:v>
                </c:pt>
                <c:pt idx="20">
                  <c:v>Western Isles</c:v>
                </c:pt>
                <c:pt idx="21">
                  <c:v>Dr Grays</c:v>
                </c:pt>
              </c:strCache>
            </c:strRef>
          </c:cat>
          <c:val>
            <c:numRef>
              <c:f>'Chart 7 (2016) DATA'!$H$3:$H$24</c:f>
              <c:numCache>
                <c:formatCode>0</c:formatCode>
                <c:ptCount val="22"/>
                <c:pt idx="0">
                  <c:v>25.925925925925924</c:v>
                </c:pt>
                <c:pt idx="1">
                  <c:v>23.026315789473685</c:v>
                </c:pt>
                <c:pt idx="2">
                  <c:v>50</c:v>
                </c:pt>
                <c:pt idx="3">
                  <c:v>55.932203389830505</c:v>
                </c:pt>
                <c:pt idx="4">
                  <c:v>24.793388429752063</c:v>
                </c:pt>
                <c:pt idx="5">
                  <c:v>16.233766233766232</c:v>
                </c:pt>
                <c:pt idx="6">
                  <c:v>28.828828828828829</c:v>
                </c:pt>
                <c:pt idx="7">
                  <c:v>33.720930232558139</c:v>
                </c:pt>
                <c:pt idx="8">
                  <c:v>43.981481481481481</c:v>
                </c:pt>
                <c:pt idx="9">
                  <c:v>30</c:v>
                </c:pt>
                <c:pt idx="10">
                  <c:v>17.916666666666671</c:v>
                </c:pt>
                <c:pt idx="11">
                  <c:v>27.272727272727273</c:v>
                </c:pt>
                <c:pt idx="12">
                  <c:v>35.251798561151084</c:v>
                </c:pt>
                <c:pt idx="13">
                  <c:v>19.089316987740805</c:v>
                </c:pt>
                <c:pt idx="14">
                  <c:v>18.518518518518519</c:v>
                </c:pt>
                <c:pt idx="15">
                  <c:v>8.6956521739130395</c:v>
                </c:pt>
                <c:pt idx="16">
                  <c:v>32.608695652173907</c:v>
                </c:pt>
                <c:pt idx="17">
                  <c:v>20.526315789473685</c:v>
                </c:pt>
                <c:pt idx="18">
                  <c:v>15.302491103202845</c:v>
                </c:pt>
                <c:pt idx="19">
                  <c:v>23.577235772357724</c:v>
                </c:pt>
                <c:pt idx="20">
                  <c:v>0</c:v>
                </c:pt>
                <c:pt idx="21">
                  <c:v>9.8039215686274517</c:v>
                </c:pt>
              </c:numCache>
            </c:numRef>
          </c:val>
        </c:ser>
        <c:ser>
          <c:idx val="2"/>
          <c:order val="3"/>
          <c:tx>
            <c:strRef>
              <c:f>'Chart 7 (2016) DATA'!$I$2</c:f>
              <c:strCache>
                <c:ptCount val="1"/>
                <c:pt idx="0">
                  <c:v>2-4 Days</c:v>
                </c:pt>
              </c:strCache>
            </c:strRef>
          </c:tx>
          <c:spPr>
            <a:solidFill>
              <a:srgbClr val="FFFF99"/>
            </a:solidFill>
            <a:ln>
              <a:solidFill>
                <a:schemeClr val="tx1"/>
              </a:solidFill>
            </a:ln>
          </c:spPr>
          <c:dPt>
            <c:idx val="0"/>
            <c:spPr>
              <a:solidFill>
                <a:srgbClr val="FFCC00"/>
              </a:solidFill>
              <a:ln>
                <a:solidFill>
                  <a:schemeClr val="tx1"/>
                </a:solidFill>
              </a:ln>
            </c:spPr>
          </c:dPt>
          <c:cat>
            <c:strRef>
              <c:f>'Chart 7 (2016) DATA'!$A$3:$A$24</c:f>
              <c:strCache>
                <c:ptCount val="22"/>
                <c:pt idx="0">
                  <c:v>Scotland</c:v>
                </c:pt>
                <c:pt idx="1">
                  <c:v>WGH</c:v>
                </c:pt>
                <c:pt idx="2">
                  <c:v>Monklands</c:v>
                </c:pt>
                <c:pt idx="3">
                  <c:v>RIE</c:v>
                </c:pt>
                <c:pt idx="4">
                  <c:v>Hairmyres</c:v>
                </c:pt>
                <c:pt idx="5">
                  <c:v>Borders</c:v>
                </c:pt>
                <c:pt idx="6">
                  <c:v>Ayr</c:v>
                </c:pt>
                <c:pt idx="7">
                  <c:v>DGRI</c:v>
                </c:pt>
                <c:pt idx="8">
                  <c:v>Crosshouse</c:v>
                </c:pt>
                <c:pt idx="9">
                  <c:v>Wishaw</c:v>
                </c:pt>
                <c:pt idx="10">
                  <c:v>VHK</c:v>
                </c:pt>
                <c:pt idx="11">
                  <c:v>QMH</c:v>
                </c:pt>
                <c:pt idx="12">
                  <c:v>PRI</c:v>
                </c:pt>
                <c:pt idx="13">
                  <c:v>ARI</c:v>
                </c:pt>
                <c:pt idx="14">
                  <c:v>Balfour</c:v>
                </c:pt>
                <c:pt idx="15">
                  <c:v>L&amp;I</c:v>
                </c:pt>
                <c:pt idx="16">
                  <c:v>SJH</c:v>
                </c:pt>
                <c:pt idx="17">
                  <c:v>Ninewells</c:v>
                </c:pt>
                <c:pt idx="18">
                  <c:v>Raigmore</c:v>
                </c:pt>
                <c:pt idx="19">
                  <c:v>FVRH</c:v>
                </c:pt>
                <c:pt idx="20">
                  <c:v>Western Isles</c:v>
                </c:pt>
                <c:pt idx="21">
                  <c:v>Dr Grays</c:v>
                </c:pt>
              </c:strCache>
            </c:strRef>
          </c:cat>
          <c:val>
            <c:numRef>
              <c:f>'Chart 7 (2016) DATA'!$I$3:$I$24</c:f>
              <c:numCache>
                <c:formatCode>0</c:formatCode>
                <c:ptCount val="22"/>
                <c:pt idx="0">
                  <c:v>43.874643874643873</c:v>
                </c:pt>
                <c:pt idx="1">
                  <c:v>49.780701754385966</c:v>
                </c:pt>
                <c:pt idx="2">
                  <c:v>33.561643835616437</c:v>
                </c:pt>
                <c:pt idx="3">
                  <c:v>31.355932203389841</c:v>
                </c:pt>
                <c:pt idx="4">
                  <c:v>58.67768595041322</c:v>
                </c:pt>
                <c:pt idx="5">
                  <c:v>66.233766233766232</c:v>
                </c:pt>
                <c:pt idx="6">
                  <c:v>59.459459459459467</c:v>
                </c:pt>
                <c:pt idx="7">
                  <c:v>47.093023255813954</c:v>
                </c:pt>
                <c:pt idx="8">
                  <c:v>37.962962962962962</c:v>
                </c:pt>
                <c:pt idx="9">
                  <c:v>54.444444444444443</c:v>
                </c:pt>
                <c:pt idx="10">
                  <c:v>31.250000000000007</c:v>
                </c:pt>
                <c:pt idx="11">
                  <c:v>41.47727272727272</c:v>
                </c:pt>
                <c:pt idx="12">
                  <c:v>48.201438848920866</c:v>
                </c:pt>
                <c:pt idx="13">
                  <c:v>32.924693520140103</c:v>
                </c:pt>
                <c:pt idx="14">
                  <c:v>66.666666666666657</c:v>
                </c:pt>
                <c:pt idx="15">
                  <c:v>50.000000000000007</c:v>
                </c:pt>
                <c:pt idx="16">
                  <c:v>41.304347826086961</c:v>
                </c:pt>
                <c:pt idx="17">
                  <c:v>44.210526315789465</c:v>
                </c:pt>
                <c:pt idx="18">
                  <c:v>56.583629893238438</c:v>
                </c:pt>
                <c:pt idx="19">
                  <c:v>28.861788617886184</c:v>
                </c:pt>
                <c:pt idx="20">
                  <c:v>57.142857142857139</c:v>
                </c:pt>
                <c:pt idx="21">
                  <c:v>19.607843137254903</c:v>
                </c:pt>
              </c:numCache>
            </c:numRef>
          </c:val>
        </c:ser>
        <c:ser>
          <c:idx val="4"/>
          <c:order val="4"/>
          <c:tx>
            <c:strRef>
              <c:f>'Chart 7 (2016) DATA'!$J$2</c:f>
              <c:strCache>
                <c:ptCount val="1"/>
                <c:pt idx="0">
                  <c:v>5-7 Days</c:v>
                </c:pt>
              </c:strCache>
            </c:strRef>
          </c:tx>
          <c:spPr>
            <a:solidFill>
              <a:srgbClr val="CCFFFF"/>
            </a:solidFill>
            <a:ln>
              <a:solidFill>
                <a:schemeClr val="tx1"/>
              </a:solidFill>
            </a:ln>
          </c:spPr>
          <c:dPt>
            <c:idx val="0"/>
            <c:spPr>
              <a:solidFill>
                <a:srgbClr val="99CC00"/>
              </a:solidFill>
              <a:ln>
                <a:solidFill>
                  <a:schemeClr val="tx1"/>
                </a:solidFill>
              </a:ln>
            </c:spPr>
          </c:dPt>
          <c:cat>
            <c:strRef>
              <c:f>'Chart 7 (2016) DATA'!$A$3:$A$24</c:f>
              <c:strCache>
                <c:ptCount val="22"/>
                <c:pt idx="0">
                  <c:v>Scotland</c:v>
                </c:pt>
                <c:pt idx="1">
                  <c:v>WGH</c:v>
                </c:pt>
                <c:pt idx="2">
                  <c:v>Monklands</c:v>
                </c:pt>
                <c:pt idx="3">
                  <c:v>RIE</c:v>
                </c:pt>
                <c:pt idx="4">
                  <c:v>Hairmyres</c:v>
                </c:pt>
                <c:pt idx="5">
                  <c:v>Borders</c:v>
                </c:pt>
                <c:pt idx="6">
                  <c:v>Ayr</c:v>
                </c:pt>
                <c:pt idx="7">
                  <c:v>DGRI</c:v>
                </c:pt>
                <c:pt idx="8">
                  <c:v>Crosshouse</c:v>
                </c:pt>
                <c:pt idx="9">
                  <c:v>Wishaw</c:v>
                </c:pt>
                <c:pt idx="10">
                  <c:v>VHK</c:v>
                </c:pt>
                <c:pt idx="11">
                  <c:v>QMH</c:v>
                </c:pt>
                <c:pt idx="12">
                  <c:v>PRI</c:v>
                </c:pt>
                <c:pt idx="13">
                  <c:v>ARI</c:v>
                </c:pt>
                <c:pt idx="14">
                  <c:v>Balfour</c:v>
                </c:pt>
                <c:pt idx="15">
                  <c:v>L&amp;I</c:v>
                </c:pt>
                <c:pt idx="16">
                  <c:v>SJH</c:v>
                </c:pt>
                <c:pt idx="17">
                  <c:v>Ninewells</c:v>
                </c:pt>
                <c:pt idx="18">
                  <c:v>Raigmore</c:v>
                </c:pt>
                <c:pt idx="19">
                  <c:v>FVRH</c:v>
                </c:pt>
                <c:pt idx="20">
                  <c:v>Western Isles</c:v>
                </c:pt>
                <c:pt idx="21">
                  <c:v>Dr Grays</c:v>
                </c:pt>
              </c:strCache>
            </c:strRef>
          </c:cat>
          <c:val>
            <c:numRef>
              <c:f>'Chart 7 (2016) DATA'!$J$3:$J$24</c:f>
              <c:numCache>
                <c:formatCode>0</c:formatCode>
                <c:ptCount val="22"/>
                <c:pt idx="0">
                  <c:v>12.613312613312615</c:v>
                </c:pt>
                <c:pt idx="1">
                  <c:v>3.0701754385964932</c:v>
                </c:pt>
                <c:pt idx="2">
                  <c:v>4.7945205479451971</c:v>
                </c:pt>
                <c:pt idx="3">
                  <c:v>8.4745762711864359</c:v>
                </c:pt>
                <c:pt idx="4">
                  <c:v>14.049586776859513</c:v>
                </c:pt>
                <c:pt idx="5">
                  <c:v>13.63636363636364</c:v>
                </c:pt>
                <c:pt idx="6">
                  <c:v>6.3063063063063112</c:v>
                </c:pt>
                <c:pt idx="7">
                  <c:v>12.209302325581405</c:v>
                </c:pt>
                <c:pt idx="8">
                  <c:v>6.481481481481481</c:v>
                </c:pt>
                <c:pt idx="9">
                  <c:v>10.555555555555557</c:v>
                </c:pt>
                <c:pt idx="10">
                  <c:v>5.4166666666666572</c:v>
                </c:pt>
                <c:pt idx="11">
                  <c:v>23.863636363636374</c:v>
                </c:pt>
                <c:pt idx="12">
                  <c:v>8.6330935251798593</c:v>
                </c:pt>
                <c:pt idx="13">
                  <c:v>20.140105078809114</c:v>
                </c:pt>
                <c:pt idx="14">
                  <c:v>3.7037037037037095</c:v>
                </c:pt>
                <c:pt idx="15">
                  <c:v>4.3478260869565162</c:v>
                </c:pt>
                <c:pt idx="16">
                  <c:v>13.043478260869563</c:v>
                </c:pt>
                <c:pt idx="17">
                  <c:v>23.684210526315795</c:v>
                </c:pt>
                <c:pt idx="18">
                  <c:v>14.946619217081846</c:v>
                </c:pt>
                <c:pt idx="19">
                  <c:v>20.325203252032523</c:v>
                </c:pt>
                <c:pt idx="20">
                  <c:v>28.571428571428569</c:v>
                </c:pt>
                <c:pt idx="21">
                  <c:v>7.8431372549019613</c:v>
                </c:pt>
              </c:numCache>
            </c:numRef>
          </c:val>
        </c:ser>
        <c:overlap val="100"/>
        <c:axId val="94298496"/>
        <c:axId val="94300032"/>
      </c:barChart>
      <c:lineChart>
        <c:grouping val="standard"/>
        <c:ser>
          <c:idx val="0"/>
          <c:order val="1"/>
          <c:tx>
            <c:strRef>
              <c:f>'Chart 7 (2016) DATA'!$L$2</c:f>
              <c:strCache>
                <c:ptCount val="1"/>
                <c:pt idx="0">
                  <c:v>Stroke Standard (2013)</c:v>
                </c:pt>
              </c:strCache>
            </c:strRef>
          </c:tx>
          <c:marker>
            <c:symbol val="none"/>
          </c:marker>
          <c:cat>
            <c:strRef>
              <c:f>'Chart 7 (2016) DATA'!$A$3:$A$24</c:f>
              <c:strCache>
                <c:ptCount val="22"/>
                <c:pt idx="0">
                  <c:v>Scotland</c:v>
                </c:pt>
                <c:pt idx="1">
                  <c:v>WGH</c:v>
                </c:pt>
                <c:pt idx="2">
                  <c:v>Monklands</c:v>
                </c:pt>
                <c:pt idx="3">
                  <c:v>RIE</c:v>
                </c:pt>
                <c:pt idx="4">
                  <c:v>Hairmyres</c:v>
                </c:pt>
                <c:pt idx="5">
                  <c:v>Borders</c:v>
                </c:pt>
                <c:pt idx="6">
                  <c:v>Ayr</c:v>
                </c:pt>
                <c:pt idx="7">
                  <c:v>DGRI</c:v>
                </c:pt>
                <c:pt idx="8">
                  <c:v>Crosshouse</c:v>
                </c:pt>
                <c:pt idx="9">
                  <c:v>Wishaw</c:v>
                </c:pt>
                <c:pt idx="10">
                  <c:v>VHK</c:v>
                </c:pt>
                <c:pt idx="11">
                  <c:v>QMH</c:v>
                </c:pt>
                <c:pt idx="12">
                  <c:v>PRI</c:v>
                </c:pt>
                <c:pt idx="13">
                  <c:v>ARI</c:v>
                </c:pt>
                <c:pt idx="14">
                  <c:v>Balfour</c:v>
                </c:pt>
                <c:pt idx="15">
                  <c:v>L&amp;I</c:v>
                </c:pt>
                <c:pt idx="16">
                  <c:v>SJH</c:v>
                </c:pt>
                <c:pt idx="17">
                  <c:v>Ninewells</c:v>
                </c:pt>
                <c:pt idx="18">
                  <c:v>Raigmore</c:v>
                </c:pt>
                <c:pt idx="19">
                  <c:v>FVRH</c:v>
                </c:pt>
                <c:pt idx="20">
                  <c:v>Western Isles</c:v>
                </c:pt>
                <c:pt idx="21">
                  <c:v>Dr Grays</c:v>
                </c:pt>
              </c:strCache>
            </c:strRef>
          </c:cat>
          <c:val>
            <c:numRef>
              <c:f>'Chart 7 (2016) DATA'!$L$3:$L$24</c:f>
              <c:numCache>
                <c:formatCode>0</c:formatCode>
                <c:ptCount val="22"/>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numCache>
            </c:numRef>
          </c:val>
        </c:ser>
        <c:marker val="1"/>
        <c:axId val="94298496"/>
        <c:axId val="94300032"/>
      </c:lineChart>
      <c:catAx>
        <c:axId val="94298496"/>
        <c:scaling>
          <c:orientation val="minMax"/>
        </c:scaling>
        <c:axPos val="b"/>
        <c:tickLblPos val="nextTo"/>
        <c:txPr>
          <a:bodyPr rot="-5400000" vert="horz"/>
          <a:lstStyle/>
          <a:p>
            <a:pPr>
              <a:defRPr sz="800"/>
            </a:pPr>
            <a:endParaRPr lang="en-US"/>
          </a:p>
        </c:txPr>
        <c:crossAx val="94300032"/>
        <c:crosses val="autoZero"/>
        <c:auto val="1"/>
        <c:lblAlgn val="ctr"/>
        <c:lblOffset val="100"/>
      </c:catAx>
      <c:valAx>
        <c:axId val="94300032"/>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94298496"/>
        <c:crosses val="autoZero"/>
        <c:crossBetween val="between"/>
      </c:valAx>
      <c:spPr>
        <a:ln>
          <a:solidFill>
            <a:schemeClr val="tx1"/>
          </a:solidFill>
        </a:ln>
      </c:spPr>
    </c:plotArea>
    <c:legend>
      <c:legendPos val="r"/>
      <c:layout>
        <c:manualLayout>
          <c:xMode val="edge"/>
          <c:yMode val="edge"/>
          <c:x val="0.87841302445890002"/>
          <c:y val="0.33786671402917628"/>
          <c:w val="0.10969548538874251"/>
          <c:h val="0.29751642886745244"/>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899" l="0.70000000000000062" r="0.70000000000000062" t="0.7500000000000089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429E-2"/>
          <c:y val="8.0232093304875005E-2"/>
          <c:w val="0.81007028782419765"/>
          <c:h val="0.72370482152729065"/>
        </c:manualLayout>
      </c:layout>
      <c:barChart>
        <c:barDir val="col"/>
        <c:grouping val="stacked"/>
        <c:ser>
          <c:idx val="3"/>
          <c:order val="0"/>
          <c:tx>
            <c:strRef>
              <c:f>'Chart 7 (2015) DATA'!$C$2</c:f>
              <c:strCache>
                <c:ptCount val="1"/>
                <c:pt idx="0">
                  <c:v>Same Day</c:v>
                </c:pt>
              </c:strCache>
            </c:strRef>
          </c:tx>
          <c:spPr>
            <a:solidFill>
              <a:srgbClr val="003366"/>
            </a:solidFill>
            <a:ln>
              <a:solidFill>
                <a:schemeClr val="tx1"/>
              </a:solidFill>
            </a:ln>
          </c:spPr>
          <c:dPt>
            <c:idx val="0"/>
            <c:spPr>
              <a:solidFill>
                <a:srgbClr val="008000"/>
              </a:solidFill>
              <a:ln>
                <a:solidFill>
                  <a:schemeClr val="tx1"/>
                </a:solidFill>
              </a:ln>
            </c:spPr>
          </c:dPt>
          <c:cat>
            <c:strRef>
              <c:f>'Chart 7 (2015) DATA'!$A$3:$A$22</c:f>
              <c:strCache>
                <c:ptCount val="20"/>
                <c:pt idx="0">
                  <c:v>Scotland</c:v>
                </c:pt>
                <c:pt idx="1">
                  <c:v>Ayr</c:v>
                </c:pt>
                <c:pt idx="2">
                  <c:v>Monklands</c:v>
                </c:pt>
                <c:pt idx="3">
                  <c:v>WGH</c:v>
                </c:pt>
                <c:pt idx="4">
                  <c:v>Ninewells</c:v>
                </c:pt>
                <c:pt idx="5">
                  <c:v>Wishaw</c:v>
                </c:pt>
                <c:pt idx="6">
                  <c:v>FVRH</c:v>
                </c:pt>
                <c:pt idx="7">
                  <c:v>DGRI</c:v>
                </c:pt>
                <c:pt idx="8">
                  <c:v>Hairmyres</c:v>
                </c:pt>
                <c:pt idx="9">
                  <c:v>Borders</c:v>
                </c:pt>
                <c:pt idx="10">
                  <c:v>Crosshouse</c:v>
                </c:pt>
                <c:pt idx="11">
                  <c:v>VHK</c:v>
                </c:pt>
                <c:pt idx="12">
                  <c:v>QMH</c:v>
                </c:pt>
                <c:pt idx="13">
                  <c:v>ARI</c:v>
                </c:pt>
                <c:pt idx="14">
                  <c:v>SJH</c:v>
                </c:pt>
                <c:pt idx="15">
                  <c:v>L&amp;I</c:v>
                </c:pt>
                <c:pt idx="16">
                  <c:v>PRI</c:v>
                </c:pt>
                <c:pt idx="17">
                  <c:v>Raigmore</c:v>
                </c:pt>
                <c:pt idx="18">
                  <c:v>Dr Grays</c:v>
                </c:pt>
                <c:pt idx="19">
                  <c:v>Western Isles</c:v>
                </c:pt>
              </c:strCache>
            </c:strRef>
          </c:cat>
          <c:val>
            <c:numRef>
              <c:f>'Chart 7 (2015) DATA'!$C$3:$C$22</c:f>
              <c:numCache>
                <c:formatCode>0</c:formatCode>
                <c:ptCount val="20"/>
                <c:pt idx="0">
                  <c:v>14.615977395324942</c:v>
                </c:pt>
                <c:pt idx="1">
                  <c:v>9.3220338983050848</c:v>
                </c:pt>
                <c:pt idx="2">
                  <c:v>10.48951048951049</c:v>
                </c:pt>
                <c:pt idx="3">
                  <c:v>20.806451612903228</c:v>
                </c:pt>
                <c:pt idx="4">
                  <c:v>3.9106145251396649</c:v>
                </c:pt>
                <c:pt idx="5">
                  <c:v>2.9411764705882351</c:v>
                </c:pt>
                <c:pt idx="6">
                  <c:v>39.261744966442954</c:v>
                </c:pt>
                <c:pt idx="7">
                  <c:v>3.1088082901554404</c:v>
                </c:pt>
                <c:pt idx="8">
                  <c:v>0</c:v>
                </c:pt>
                <c:pt idx="9">
                  <c:v>4.3478260869565215</c:v>
                </c:pt>
                <c:pt idx="10">
                  <c:v>9.1428571428571423</c:v>
                </c:pt>
                <c:pt idx="11">
                  <c:v>36.071428571428569</c:v>
                </c:pt>
                <c:pt idx="12">
                  <c:v>1.1111111111111112</c:v>
                </c:pt>
                <c:pt idx="13">
                  <c:v>18.025751072961373</c:v>
                </c:pt>
                <c:pt idx="14">
                  <c:v>6.9364161849710975</c:v>
                </c:pt>
                <c:pt idx="15">
                  <c:v>31.578947368421051</c:v>
                </c:pt>
                <c:pt idx="16">
                  <c:v>1.834862385321101</c:v>
                </c:pt>
                <c:pt idx="17">
                  <c:v>7.098765432098765</c:v>
                </c:pt>
                <c:pt idx="18">
                  <c:v>39.622641509433961</c:v>
                </c:pt>
                <c:pt idx="19">
                  <c:v>0</c:v>
                </c:pt>
              </c:numCache>
            </c:numRef>
          </c:val>
        </c:ser>
        <c:ser>
          <c:idx val="1"/>
          <c:order val="2"/>
          <c:tx>
            <c:strRef>
              <c:f>'Chart 7 (2015) DATA'!$H$2</c:f>
              <c:strCache>
                <c:ptCount val="1"/>
                <c:pt idx="0">
                  <c:v>1 Day</c:v>
                </c:pt>
              </c:strCache>
            </c:strRef>
          </c:tx>
          <c:spPr>
            <a:solidFill>
              <a:srgbClr val="9999FF"/>
            </a:solidFill>
            <a:ln>
              <a:solidFill>
                <a:schemeClr val="tx1"/>
              </a:solidFill>
            </a:ln>
          </c:spPr>
          <c:dPt>
            <c:idx val="0"/>
            <c:spPr>
              <a:solidFill>
                <a:srgbClr val="FF0000"/>
              </a:solidFill>
              <a:ln>
                <a:solidFill>
                  <a:schemeClr val="tx1"/>
                </a:solidFill>
              </a:ln>
            </c:spPr>
          </c:dPt>
          <c:cat>
            <c:strRef>
              <c:f>'Chart 7 (2015) DATA'!$A$3:$A$22</c:f>
              <c:strCache>
                <c:ptCount val="20"/>
                <c:pt idx="0">
                  <c:v>Scotland</c:v>
                </c:pt>
                <c:pt idx="1">
                  <c:v>Ayr</c:v>
                </c:pt>
                <c:pt idx="2">
                  <c:v>Monklands</c:v>
                </c:pt>
                <c:pt idx="3">
                  <c:v>WGH</c:v>
                </c:pt>
                <c:pt idx="4">
                  <c:v>Ninewells</c:v>
                </c:pt>
                <c:pt idx="5">
                  <c:v>Wishaw</c:v>
                </c:pt>
                <c:pt idx="6">
                  <c:v>FVRH</c:v>
                </c:pt>
                <c:pt idx="7">
                  <c:v>DGRI</c:v>
                </c:pt>
                <c:pt idx="8">
                  <c:v>Hairmyres</c:v>
                </c:pt>
                <c:pt idx="9">
                  <c:v>Borders</c:v>
                </c:pt>
                <c:pt idx="10">
                  <c:v>Crosshouse</c:v>
                </c:pt>
                <c:pt idx="11">
                  <c:v>VHK</c:v>
                </c:pt>
                <c:pt idx="12">
                  <c:v>QMH</c:v>
                </c:pt>
                <c:pt idx="13">
                  <c:v>ARI</c:v>
                </c:pt>
                <c:pt idx="14">
                  <c:v>SJH</c:v>
                </c:pt>
                <c:pt idx="15">
                  <c:v>L&amp;I</c:v>
                </c:pt>
                <c:pt idx="16">
                  <c:v>PRI</c:v>
                </c:pt>
                <c:pt idx="17">
                  <c:v>Raigmore</c:v>
                </c:pt>
                <c:pt idx="18">
                  <c:v>Dr Grays</c:v>
                </c:pt>
                <c:pt idx="19">
                  <c:v>Western Isles</c:v>
                </c:pt>
              </c:strCache>
            </c:strRef>
          </c:cat>
          <c:val>
            <c:numRef>
              <c:f>'Chart 7 (2015) DATA'!$H$3:$H$22</c:f>
              <c:numCache>
                <c:formatCode>0</c:formatCode>
                <c:ptCount val="20"/>
                <c:pt idx="0">
                  <c:v>24.608271256100693</c:v>
                </c:pt>
                <c:pt idx="1">
                  <c:v>52.542372881355931</c:v>
                </c:pt>
                <c:pt idx="2">
                  <c:v>37.062937062937067</c:v>
                </c:pt>
                <c:pt idx="3">
                  <c:v>27.903225806451612</c:v>
                </c:pt>
                <c:pt idx="4">
                  <c:v>36.312849162011176</c:v>
                </c:pt>
                <c:pt idx="5">
                  <c:v>32.352941176470594</c:v>
                </c:pt>
                <c:pt idx="6">
                  <c:v>30.201342281879199</c:v>
                </c:pt>
                <c:pt idx="7">
                  <c:v>35.751295336787564</c:v>
                </c:pt>
                <c:pt idx="8">
                  <c:v>20.81447963800905</c:v>
                </c:pt>
                <c:pt idx="9">
                  <c:v>14.492753623188408</c:v>
                </c:pt>
                <c:pt idx="10">
                  <c:v>35.428571428571431</c:v>
                </c:pt>
                <c:pt idx="11">
                  <c:v>18.571428571428569</c:v>
                </c:pt>
                <c:pt idx="12">
                  <c:v>18.888888888888889</c:v>
                </c:pt>
                <c:pt idx="13">
                  <c:v>17.811158798283262</c:v>
                </c:pt>
                <c:pt idx="14">
                  <c:v>14.450867052023124</c:v>
                </c:pt>
                <c:pt idx="15">
                  <c:v>5.2631578947368389</c:v>
                </c:pt>
                <c:pt idx="16">
                  <c:v>16.513761467889907</c:v>
                </c:pt>
                <c:pt idx="17">
                  <c:v>12.654320987654319</c:v>
                </c:pt>
                <c:pt idx="18">
                  <c:v>11.320754716981135</c:v>
                </c:pt>
                <c:pt idx="19">
                  <c:v>13.333333333333334</c:v>
                </c:pt>
              </c:numCache>
            </c:numRef>
          </c:val>
        </c:ser>
        <c:ser>
          <c:idx val="2"/>
          <c:order val="3"/>
          <c:tx>
            <c:strRef>
              <c:f>'Chart 7 (2015) DATA'!$I$2</c:f>
              <c:strCache>
                <c:ptCount val="1"/>
                <c:pt idx="0">
                  <c:v>2-4 Days</c:v>
                </c:pt>
              </c:strCache>
            </c:strRef>
          </c:tx>
          <c:spPr>
            <a:solidFill>
              <a:srgbClr val="FFFF99"/>
            </a:solidFill>
            <a:ln>
              <a:solidFill>
                <a:schemeClr val="tx1"/>
              </a:solidFill>
            </a:ln>
          </c:spPr>
          <c:dPt>
            <c:idx val="0"/>
            <c:spPr>
              <a:solidFill>
                <a:srgbClr val="FFCC00"/>
              </a:solidFill>
              <a:ln>
                <a:solidFill>
                  <a:schemeClr val="tx1"/>
                </a:solidFill>
              </a:ln>
            </c:spPr>
          </c:dPt>
          <c:cat>
            <c:strRef>
              <c:f>'Chart 7 (2015) DATA'!$A$3:$A$22</c:f>
              <c:strCache>
                <c:ptCount val="20"/>
                <c:pt idx="0">
                  <c:v>Scotland</c:v>
                </c:pt>
                <c:pt idx="1">
                  <c:v>Ayr</c:v>
                </c:pt>
                <c:pt idx="2">
                  <c:v>Monklands</c:v>
                </c:pt>
                <c:pt idx="3">
                  <c:v>WGH</c:v>
                </c:pt>
                <c:pt idx="4">
                  <c:v>Ninewells</c:v>
                </c:pt>
                <c:pt idx="5">
                  <c:v>Wishaw</c:v>
                </c:pt>
                <c:pt idx="6">
                  <c:v>FVRH</c:v>
                </c:pt>
                <c:pt idx="7">
                  <c:v>DGRI</c:v>
                </c:pt>
                <c:pt idx="8">
                  <c:v>Hairmyres</c:v>
                </c:pt>
                <c:pt idx="9">
                  <c:v>Borders</c:v>
                </c:pt>
                <c:pt idx="10">
                  <c:v>Crosshouse</c:v>
                </c:pt>
                <c:pt idx="11">
                  <c:v>VHK</c:v>
                </c:pt>
                <c:pt idx="12">
                  <c:v>QMH</c:v>
                </c:pt>
                <c:pt idx="13">
                  <c:v>ARI</c:v>
                </c:pt>
                <c:pt idx="14">
                  <c:v>SJH</c:v>
                </c:pt>
                <c:pt idx="15">
                  <c:v>L&amp;I</c:v>
                </c:pt>
                <c:pt idx="16">
                  <c:v>PRI</c:v>
                </c:pt>
                <c:pt idx="17">
                  <c:v>Raigmore</c:v>
                </c:pt>
                <c:pt idx="18">
                  <c:v>Dr Grays</c:v>
                </c:pt>
                <c:pt idx="19">
                  <c:v>Western Isles</c:v>
                </c:pt>
              </c:strCache>
            </c:strRef>
          </c:cat>
          <c:val>
            <c:numRef>
              <c:f>'Chart 7 (2015) DATA'!$I$3:$I$22</c:f>
              <c:numCache>
                <c:formatCode>0</c:formatCode>
                <c:ptCount val="20"/>
                <c:pt idx="0">
                  <c:v>43.924993578217318</c:v>
                </c:pt>
                <c:pt idx="1">
                  <c:v>34.745762711864408</c:v>
                </c:pt>
                <c:pt idx="2">
                  <c:v>37.06293706293706</c:v>
                </c:pt>
                <c:pt idx="3">
                  <c:v>45.967741935483865</c:v>
                </c:pt>
                <c:pt idx="4">
                  <c:v>51.955307262569832</c:v>
                </c:pt>
                <c:pt idx="5">
                  <c:v>51.17647058823529</c:v>
                </c:pt>
                <c:pt idx="6">
                  <c:v>23.825503355704697</c:v>
                </c:pt>
                <c:pt idx="7">
                  <c:v>46.113989637305707</c:v>
                </c:pt>
                <c:pt idx="8">
                  <c:v>64.705882352941174</c:v>
                </c:pt>
                <c:pt idx="9">
                  <c:v>68.115942028985501</c:v>
                </c:pt>
                <c:pt idx="10">
                  <c:v>42.857142857142861</c:v>
                </c:pt>
                <c:pt idx="11">
                  <c:v>30.357142857142861</c:v>
                </c:pt>
                <c:pt idx="12">
                  <c:v>36.111111111111114</c:v>
                </c:pt>
                <c:pt idx="13">
                  <c:v>33.905579399141637</c:v>
                </c:pt>
                <c:pt idx="14">
                  <c:v>59.537572254335259</c:v>
                </c:pt>
                <c:pt idx="15">
                  <c:v>39.473684210526329</c:v>
                </c:pt>
                <c:pt idx="16">
                  <c:v>50.458715596330279</c:v>
                </c:pt>
                <c:pt idx="17">
                  <c:v>56.172839506172835</c:v>
                </c:pt>
                <c:pt idx="18">
                  <c:v>15.094339622641506</c:v>
                </c:pt>
                <c:pt idx="19">
                  <c:v>53.333333333333321</c:v>
                </c:pt>
              </c:numCache>
            </c:numRef>
          </c:val>
        </c:ser>
        <c:ser>
          <c:idx val="4"/>
          <c:order val="4"/>
          <c:tx>
            <c:strRef>
              <c:f>'Chart 7 (2015) DATA'!$J$2</c:f>
              <c:strCache>
                <c:ptCount val="1"/>
                <c:pt idx="0">
                  <c:v>5-7 Days</c:v>
                </c:pt>
              </c:strCache>
            </c:strRef>
          </c:tx>
          <c:spPr>
            <a:solidFill>
              <a:srgbClr val="CCFFFF"/>
            </a:solidFill>
            <a:ln>
              <a:solidFill>
                <a:schemeClr val="tx1"/>
              </a:solidFill>
            </a:ln>
          </c:spPr>
          <c:dPt>
            <c:idx val="0"/>
            <c:spPr>
              <a:solidFill>
                <a:srgbClr val="99CC00"/>
              </a:solidFill>
              <a:ln>
                <a:solidFill>
                  <a:schemeClr val="tx1"/>
                </a:solidFill>
              </a:ln>
            </c:spPr>
          </c:dPt>
          <c:cat>
            <c:strRef>
              <c:f>'Chart 7 (2015) DATA'!$A$3:$A$22</c:f>
              <c:strCache>
                <c:ptCount val="20"/>
                <c:pt idx="0">
                  <c:v>Scotland</c:v>
                </c:pt>
                <c:pt idx="1">
                  <c:v>Ayr</c:v>
                </c:pt>
                <c:pt idx="2">
                  <c:v>Monklands</c:v>
                </c:pt>
                <c:pt idx="3">
                  <c:v>WGH</c:v>
                </c:pt>
                <c:pt idx="4">
                  <c:v>Ninewells</c:v>
                </c:pt>
                <c:pt idx="5">
                  <c:v>Wishaw</c:v>
                </c:pt>
                <c:pt idx="6">
                  <c:v>FVRH</c:v>
                </c:pt>
                <c:pt idx="7">
                  <c:v>DGRI</c:v>
                </c:pt>
                <c:pt idx="8">
                  <c:v>Hairmyres</c:v>
                </c:pt>
                <c:pt idx="9">
                  <c:v>Borders</c:v>
                </c:pt>
                <c:pt idx="10">
                  <c:v>Crosshouse</c:v>
                </c:pt>
                <c:pt idx="11">
                  <c:v>VHK</c:v>
                </c:pt>
                <c:pt idx="12">
                  <c:v>QMH</c:v>
                </c:pt>
                <c:pt idx="13">
                  <c:v>ARI</c:v>
                </c:pt>
                <c:pt idx="14">
                  <c:v>SJH</c:v>
                </c:pt>
                <c:pt idx="15">
                  <c:v>L&amp;I</c:v>
                </c:pt>
                <c:pt idx="16">
                  <c:v>PRI</c:v>
                </c:pt>
                <c:pt idx="17">
                  <c:v>Raigmore</c:v>
                </c:pt>
                <c:pt idx="18">
                  <c:v>Dr Grays</c:v>
                </c:pt>
                <c:pt idx="19">
                  <c:v>Western Isles</c:v>
                </c:pt>
              </c:strCache>
            </c:strRef>
          </c:cat>
          <c:val>
            <c:numRef>
              <c:f>'Chart 7 (2015) DATA'!$J$3:$J$22</c:f>
              <c:numCache>
                <c:formatCode>0</c:formatCode>
                <c:ptCount val="20"/>
                <c:pt idx="0">
                  <c:v>12.432571281787816</c:v>
                </c:pt>
                <c:pt idx="1">
                  <c:v>3.3898305084745743</c:v>
                </c:pt>
                <c:pt idx="2">
                  <c:v>15.384615384615387</c:v>
                </c:pt>
                <c:pt idx="3">
                  <c:v>4.8387096774193594</c:v>
                </c:pt>
                <c:pt idx="4">
                  <c:v>6.7039106145251424</c:v>
                </c:pt>
                <c:pt idx="5">
                  <c:v>12.352941176470594</c:v>
                </c:pt>
                <c:pt idx="6">
                  <c:v>5.0335570469798512</c:v>
                </c:pt>
                <c:pt idx="7">
                  <c:v>12.435233160621763</c:v>
                </c:pt>
                <c:pt idx="8">
                  <c:v>10.859728506787334</c:v>
                </c:pt>
                <c:pt idx="9">
                  <c:v>9.4202898550724541</c:v>
                </c:pt>
                <c:pt idx="10">
                  <c:v>8.5714285714285694</c:v>
                </c:pt>
                <c:pt idx="11">
                  <c:v>10.357142857142861</c:v>
                </c:pt>
                <c:pt idx="12">
                  <c:v>38.888888888888886</c:v>
                </c:pt>
                <c:pt idx="13">
                  <c:v>24.034334763948493</c:v>
                </c:pt>
                <c:pt idx="14">
                  <c:v>11.560693641618499</c:v>
                </c:pt>
                <c:pt idx="15">
                  <c:v>15.78947368421052</c:v>
                </c:pt>
                <c:pt idx="16">
                  <c:v>20.183486238532112</c:v>
                </c:pt>
                <c:pt idx="17">
                  <c:v>11.111111111111114</c:v>
                </c:pt>
                <c:pt idx="18">
                  <c:v>15.094339622641513</c:v>
                </c:pt>
                <c:pt idx="19">
                  <c:v>6.6666666666666714</c:v>
                </c:pt>
              </c:numCache>
            </c:numRef>
          </c:val>
        </c:ser>
        <c:overlap val="100"/>
        <c:axId val="94484352"/>
        <c:axId val="94485888"/>
      </c:barChart>
      <c:lineChart>
        <c:grouping val="standard"/>
        <c:ser>
          <c:idx val="0"/>
          <c:order val="1"/>
          <c:tx>
            <c:strRef>
              <c:f>'Chart 7 (2015) DATA'!$L$2</c:f>
              <c:strCache>
                <c:ptCount val="1"/>
                <c:pt idx="0">
                  <c:v>Stroke Standard (2013)</c:v>
                </c:pt>
              </c:strCache>
            </c:strRef>
          </c:tx>
          <c:marker>
            <c:symbol val="none"/>
          </c:marker>
          <c:cat>
            <c:strRef>
              <c:f>'Chart 7 (2015) DATA'!$A$3:$A$22</c:f>
              <c:strCache>
                <c:ptCount val="20"/>
                <c:pt idx="0">
                  <c:v>Scotland</c:v>
                </c:pt>
                <c:pt idx="1">
                  <c:v>Ayr</c:v>
                </c:pt>
                <c:pt idx="2">
                  <c:v>Monklands</c:v>
                </c:pt>
                <c:pt idx="3">
                  <c:v>WGH</c:v>
                </c:pt>
                <c:pt idx="4">
                  <c:v>Ninewells</c:v>
                </c:pt>
                <c:pt idx="5">
                  <c:v>Wishaw</c:v>
                </c:pt>
                <c:pt idx="6">
                  <c:v>FVRH</c:v>
                </c:pt>
                <c:pt idx="7">
                  <c:v>DGRI</c:v>
                </c:pt>
                <c:pt idx="8">
                  <c:v>Hairmyres</c:v>
                </c:pt>
                <c:pt idx="9">
                  <c:v>Borders</c:v>
                </c:pt>
                <c:pt idx="10">
                  <c:v>Crosshouse</c:v>
                </c:pt>
                <c:pt idx="11">
                  <c:v>VHK</c:v>
                </c:pt>
                <c:pt idx="12">
                  <c:v>QMH</c:v>
                </c:pt>
                <c:pt idx="13">
                  <c:v>ARI</c:v>
                </c:pt>
                <c:pt idx="14">
                  <c:v>SJH</c:v>
                </c:pt>
                <c:pt idx="15">
                  <c:v>L&amp;I</c:v>
                </c:pt>
                <c:pt idx="16">
                  <c:v>PRI</c:v>
                </c:pt>
                <c:pt idx="17">
                  <c:v>Raigmore</c:v>
                </c:pt>
                <c:pt idx="18">
                  <c:v>Dr Grays</c:v>
                </c:pt>
                <c:pt idx="19">
                  <c:v>Western Isles</c:v>
                </c:pt>
              </c:strCache>
            </c:strRef>
          </c:cat>
          <c:val>
            <c:numRef>
              <c:f>'Chart 7 (2015) DATA'!$L$3:$L$22</c:f>
              <c:numCache>
                <c:formatCode>0</c:formatCode>
                <c:ptCount val="20"/>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numCache>
            </c:numRef>
          </c:val>
        </c:ser>
        <c:marker val="1"/>
        <c:axId val="94484352"/>
        <c:axId val="94485888"/>
      </c:lineChart>
      <c:catAx>
        <c:axId val="94484352"/>
        <c:scaling>
          <c:orientation val="minMax"/>
        </c:scaling>
        <c:axPos val="b"/>
        <c:tickLblPos val="nextTo"/>
        <c:txPr>
          <a:bodyPr rot="-5400000" vert="horz"/>
          <a:lstStyle/>
          <a:p>
            <a:pPr>
              <a:defRPr sz="800"/>
            </a:pPr>
            <a:endParaRPr lang="en-US"/>
          </a:p>
        </c:txPr>
        <c:crossAx val="94485888"/>
        <c:crosses val="autoZero"/>
        <c:auto val="1"/>
        <c:lblAlgn val="ctr"/>
        <c:lblOffset val="100"/>
      </c:catAx>
      <c:valAx>
        <c:axId val="94485888"/>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94484352"/>
        <c:crosses val="autoZero"/>
        <c:crossBetween val="between"/>
      </c:valAx>
      <c:spPr>
        <a:ln>
          <a:solidFill>
            <a:schemeClr val="tx1"/>
          </a:solidFill>
        </a:ln>
      </c:spPr>
    </c:plotArea>
    <c:legend>
      <c:legendPos val="r"/>
      <c:layout>
        <c:manualLayout>
          <c:xMode val="edge"/>
          <c:yMode val="edge"/>
          <c:x val="0.87841302445890002"/>
          <c:y val="0.33786671402917651"/>
          <c:w val="0.10969548538874255"/>
          <c:h val="0.29751642886745266"/>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921" l="0.70000000000000062" r="0.70000000000000062" t="0.7500000000000092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clustered"/>
        <c:ser>
          <c:idx val="0"/>
          <c:order val="0"/>
          <c:tx>
            <c:strRef>
              <c:f>'Chart 9 DATA'!$B$2</c:f>
              <c:strCache>
                <c:ptCount val="1"/>
                <c:pt idx="0">
                  <c:v>2015 (%)</c:v>
                </c:pt>
              </c:strCache>
            </c:strRef>
          </c:tx>
          <c:spPr>
            <a:solidFill>
              <a:srgbClr val="9999FF"/>
            </a:solidFill>
            <a:ln>
              <a:solidFill>
                <a:prstClr val="black"/>
              </a:solidFill>
            </a:ln>
          </c:spPr>
          <c:dPt>
            <c:idx val="0"/>
            <c:spPr>
              <a:solidFill>
                <a:srgbClr val="99CC00"/>
              </a:solidFill>
              <a:ln>
                <a:solidFill>
                  <a:prstClr val="black"/>
                </a:solidFill>
              </a:ln>
            </c:spPr>
          </c:dPt>
          <c:cat>
            <c:strRef>
              <c:f>'Chart 9 DATA'!$A$3:$A$30</c:f>
              <c:strCache>
                <c:ptCount val="28"/>
                <c:pt idx="0">
                  <c:v>Scotland (n=889)</c:v>
                </c:pt>
                <c:pt idx="1">
                  <c:v>Ninewells (n=42)</c:v>
                </c:pt>
                <c:pt idx="2">
                  <c:v>RIE (n=102)</c:v>
                </c:pt>
                <c:pt idx="3">
                  <c:v>Crosshouse (n=68)</c:v>
                </c:pt>
                <c:pt idx="4">
                  <c:v>Monklands (n=22)</c:v>
                </c:pt>
                <c:pt idx="5">
                  <c:v>Wishaw (n=31)</c:v>
                </c:pt>
                <c:pt idx="6">
                  <c:v>Hairmyres (n=24)</c:v>
                </c:pt>
                <c:pt idx="7">
                  <c:v>Western Isles (n=3)</c:v>
                </c:pt>
                <c:pt idx="8">
                  <c:v>ARI (n=114)</c:v>
                </c:pt>
                <c:pt idx="9">
                  <c:v>VHK (n=72)</c:v>
                </c:pt>
                <c:pt idx="10">
                  <c:v>SJH (n=25)</c:v>
                </c:pt>
                <c:pt idx="11">
                  <c:v>DGRI (n=25)</c:v>
                </c:pt>
                <c:pt idx="12">
                  <c:v>WGH (n=10)</c:v>
                </c:pt>
                <c:pt idx="13">
                  <c:v>Raigmore (n=18)</c:v>
                </c:pt>
                <c:pt idx="14">
                  <c:v>GRI (n=16)</c:v>
                </c:pt>
                <c:pt idx="15">
                  <c:v>FVRH (n=51)</c:v>
                </c:pt>
                <c:pt idx="16">
                  <c:v>PRI (n=23)</c:v>
                </c:pt>
                <c:pt idx="17">
                  <c:v>QEUH 5 (n=186)</c:v>
                </c:pt>
                <c:pt idx="18">
                  <c:v>L&amp;I 5 (n=9)</c:v>
                </c:pt>
                <c:pt idx="19">
                  <c:v>Dr Grays (n=20)</c:v>
                </c:pt>
                <c:pt idx="20">
                  <c:v>Caithness (n=4)</c:v>
                </c:pt>
                <c:pt idx="21">
                  <c:v>Borders (n=8)</c:v>
                </c:pt>
                <c:pt idx="22">
                  <c:v>Ayr (n=0)</c:v>
                </c:pt>
                <c:pt idx="23">
                  <c:v>RAH (n=0)</c:v>
                </c:pt>
                <c:pt idx="24">
                  <c:v>GCH 5 (n=7)</c:v>
                </c:pt>
                <c:pt idx="25">
                  <c:v>Belford 5 (n=2)</c:v>
                </c:pt>
                <c:pt idx="26">
                  <c:v>Balfour 5 (n=5)</c:v>
                </c:pt>
                <c:pt idx="27">
                  <c:v>Gilbert Bain 5 (n=2)</c:v>
                </c:pt>
              </c:strCache>
            </c:strRef>
          </c:cat>
          <c:val>
            <c:numRef>
              <c:f>'Chart 9 DATA'!$B$3:$B$30</c:f>
              <c:numCache>
                <c:formatCode>0</c:formatCode>
                <c:ptCount val="28"/>
                <c:pt idx="0">
                  <c:v>50.91103965702036</c:v>
                </c:pt>
                <c:pt idx="1">
                  <c:v>63.46153846153846</c:v>
                </c:pt>
                <c:pt idx="2">
                  <c:v>71.764705882352942</c:v>
                </c:pt>
                <c:pt idx="3">
                  <c:v>70.967741935483872</c:v>
                </c:pt>
                <c:pt idx="4">
                  <c:v>58.974358974358978</c:v>
                </c:pt>
                <c:pt idx="5">
                  <c:v>65.957446808510639</c:v>
                </c:pt>
                <c:pt idx="6">
                  <c:v>73.076923076923066</c:v>
                </c:pt>
                <c:pt idx="7">
                  <c:v>50</c:v>
                </c:pt>
                <c:pt idx="8">
                  <c:v>75.657894736842096</c:v>
                </c:pt>
                <c:pt idx="9">
                  <c:v>49.122807017543856</c:v>
                </c:pt>
                <c:pt idx="10">
                  <c:v>65.384615384615387</c:v>
                </c:pt>
                <c:pt idx="11">
                  <c:v>50</c:v>
                </c:pt>
                <c:pt idx="12">
                  <c:v>27.27272727272727</c:v>
                </c:pt>
                <c:pt idx="13">
                  <c:v>19.047619047619047</c:v>
                </c:pt>
                <c:pt idx="14">
                  <c:v>0</c:v>
                </c:pt>
                <c:pt idx="15">
                  <c:v>30.76923076923077</c:v>
                </c:pt>
                <c:pt idx="16">
                  <c:v>53.846153846153847</c:v>
                </c:pt>
                <c:pt idx="17">
                  <c:v>28.761061946902654</c:v>
                </c:pt>
                <c:pt idx="18">
                  <c:v>0</c:v>
                </c:pt>
                <c:pt idx="19">
                  <c:v>25</c:v>
                </c:pt>
                <c:pt idx="20">
                  <c:v>27.27272727272727</c:v>
                </c:pt>
                <c:pt idx="21">
                  <c:v>0</c:v>
                </c:pt>
                <c:pt idx="22">
                  <c:v>54.54545454545454</c:v>
                </c:pt>
                <c:pt idx="23">
                  <c:v>0</c:v>
                </c:pt>
                <c:pt idx="24">
                  <c:v>0</c:v>
                </c:pt>
                <c:pt idx="25">
                  <c:v>0</c:v>
                </c:pt>
                <c:pt idx="26">
                  <c:v>0</c:v>
                </c:pt>
                <c:pt idx="27">
                  <c:v>0</c:v>
                </c:pt>
              </c:numCache>
            </c:numRef>
          </c:val>
        </c:ser>
        <c:ser>
          <c:idx val="1"/>
          <c:order val="1"/>
          <c:tx>
            <c:strRef>
              <c:f>'Chart 9 DATA'!$C$2</c:f>
              <c:strCache>
                <c:ptCount val="1"/>
                <c:pt idx="0">
                  <c:v>2016 (%)</c:v>
                </c:pt>
              </c:strCache>
            </c:strRef>
          </c:tx>
          <c:spPr>
            <a:solidFill>
              <a:srgbClr val="993366"/>
            </a:solidFill>
            <a:ln>
              <a:solidFill>
                <a:schemeClr val="tx1"/>
              </a:solidFill>
            </a:ln>
          </c:spPr>
          <c:dPt>
            <c:idx val="0"/>
            <c:spPr>
              <a:solidFill>
                <a:srgbClr val="008000"/>
              </a:solidFill>
              <a:ln>
                <a:solidFill>
                  <a:schemeClr val="tx1"/>
                </a:solidFill>
              </a:ln>
            </c:spPr>
          </c:dPt>
          <c:val>
            <c:numRef>
              <c:f>'Chart 9 DATA'!$C$3:$C$30</c:f>
              <c:numCache>
                <c:formatCode>0</c:formatCode>
                <c:ptCount val="28"/>
                <c:pt idx="0">
                  <c:v>55.343082114735651</c:v>
                </c:pt>
                <c:pt idx="1">
                  <c:v>78.571428571428569</c:v>
                </c:pt>
                <c:pt idx="2">
                  <c:v>75.490196078431367</c:v>
                </c:pt>
                <c:pt idx="3">
                  <c:v>70.588235294117652</c:v>
                </c:pt>
                <c:pt idx="4">
                  <c:v>68.181818181818173</c:v>
                </c:pt>
                <c:pt idx="5">
                  <c:v>67.741935483870961</c:v>
                </c:pt>
                <c:pt idx="6">
                  <c:v>66.666666666666657</c:v>
                </c:pt>
                <c:pt idx="7">
                  <c:v>66.666666666666657</c:v>
                </c:pt>
                <c:pt idx="8">
                  <c:v>65.789473684210535</c:v>
                </c:pt>
                <c:pt idx="9">
                  <c:v>59.722222222222221</c:v>
                </c:pt>
                <c:pt idx="10">
                  <c:v>56.000000000000007</c:v>
                </c:pt>
                <c:pt idx="11">
                  <c:v>56.000000000000007</c:v>
                </c:pt>
                <c:pt idx="12">
                  <c:v>50</c:v>
                </c:pt>
                <c:pt idx="13">
                  <c:v>50</c:v>
                </c:pt>
                <c:pt idx="14">
                  <c:v>50</c:v>
                </c:pt>
                <c:pt idx="15">
                  <c:v>49.019607843137251</c:v>
                </c:pt>
                <c:pt idx="16">
                  <c:v>43.478260869565219</c:v>
                </c:pt>
                <c:pt idx="17">
                  <c:v>34.946236559139784</c:v>
                </c:pt>
                <c:pt idx="18">
                  <c:v>33.333333333333329</c:v>
                </c:pt>
                <c:pt idx="19">
                  <c:v>30</c:v>
                </c:pt>
                <c:pt idx="20">
                  <c:v>25</c:v>
                </c:pt>
                <c:pt idx="21">
                  <c:v>25</c:v>
                </c:pt>
                <c:pt idx="22">
                  <c:v>1E-8</c:v>
                </c:pt>
                <c:pt idx="23">
                  <c:v>1E-8</c:v>
                </c:pt>
                <c:pt idx="24">
                  <c:v>0</c:v>
                </c:pt>
                <c:pt idx="25">
                  <c:v>0</c:v>
                </c:pt>
                <c:pt idx="26">
                  <c:v>0</c:v>
                </c:pt>
                <c:pt idx="27">
                  <c:v>0</c:v>
                </c:pt>
              </c:numCache>
            </c:numRef>
          </c:val>
        </c:ser>
        <c:axId val="94758400"/>
        <c:axId val="94759936"/>
      </c:barChart>
      <c:scatterChart>
        <c:scatterStyle val="smoothMarker"/>
        <c:ser>
          <c:idx val="2"/>
          <c:order val="2"/>
          <c:tx>
            <c:v>Stroke Standard (2013)</c:v>
          </c:tx>
          <c:spPr>
            <a:ln w="28575">
              <a:solidFill>
                <a:srgbClr val="0070C0"/>
              </a:solidFill>
            </a:ln>
          </c:spPr>
          <c:marker>
            <c:symbol val="none"/>
          </c:marker>
          <c:yVal>
            <c:numRef>
              <c:f>'Chart 9 DATA'!$D$3:$D$30</c:f>
              <c:numCache>
                <c:formatCode>General</c:formatCode>
                <c:ptCount val="28"/>
                <c:pt idx="0" formatCode="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numCache>
            </c:numRef>
          </c:yVal>
          <c:smooth val="1"/>
        </c:ser>
        <c:axId val="94763648"/>
        <c:axId val="94762112"/>
      </c:scatterChart>
      <c:catAx>
        <c:axId val="94758400"/>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94759936"/>
        <c:crosses val="autoZero"/>
        <c:auto val="1"/>
        <c:lblAlgn val="ctr"/>
        <c:lblOffset val="100"/>
      </c:catAx>
      <c:valAx>
        <c:axId val="94759936"/>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758400"/>
        <c:crosses val="autoZero"/>
        <c:crossBetween val="between"/>
      </c:valAx>
      <c:valAx>
        <c:axId val="94762112"/>
        <c:scaling>
          <c:orientation val="minMax"/>
          <c:max val="100"/>
          <c:min val="0"/>
        </c:scaling>
        <c:delete val="1"/>
        <c:axPos val="r"/>
        <c:numFmt formatCode="0" sourceLinked="1"/>
        <c:tickLblPos val="none"/>
        <c:crossAx val="94763648"/>
        <c:crosses val="max"/>
        <c:crossBetween val="midCat"/>
      </c:valAx>
      <c:valAx>
        <c:axId val="94763648"/>
        <c:scaling>
          <c:orientation val="minMax"/>
          <c:max val="25"/>
          <c:min val="2"/>
        </c:scaling>
        <c:delete val="1"/>
        <c:axPos val="t"/>
        <c:tickLblPos val="none"/>
        <c:crossAx val="94762112"/>
        <c:crosses val="max"/>
        <c:crossBetween val="midCat"/>
      </c:valAx>
      <c:spPr>
        <a:ln>
          <a:solidFill>
            <a:srgbClr val="1F497D"/>
          </a:solidFill>
        </a:ln>
      </c:spPr>
    </c:plotArea>
    <c:legend>
      <c:legendPos val="r"/>
      <c:txPr>
        <a:bodyPr/>
        <a:lstStyle/>
        <a:p>
          <a:pPr>
            <a:defRPr sz="775"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441162318894557E-2"/>
          <c:y val="6.2880386822139533E-2"/>
          <c:w val="0.79236899416144257"/>
          <c:h val="0.75456464186563155"/>
        </c:manualLayout>
      </c:layout>
      <c:barChart>
        <c:barDir val="col"/>
        <c:grouping val="stacked"/>
        <c:ser>
          <c:idx val="0"/>
          <c:order val="0"/>
          <c:tx>
            <c:strRef>
              <c:f>'Chart 10'!$D$48</c:f>
              <c:strCache>
                <c:ptCount val="1"/>
                <c:pt idx="0">
                  <c:v>Within 30 mins</c:v>
                </c:pt>
              </c:strCache>
            </c:strRef>
          </c:tx>
          <c:spPr>
            <a:solidFill>
              <a:srgbClr val="003366"/>
            </a:solidFill>
            <a:ln w="12700">
              <a:solidFill>
                <a:srgbClr val="000000"/>
              </a:solidFill>
              <a:prstDash val="solid"/>
            </a:ln>
          </c:spPr>
          <c:dPt>
            <c:idx val="0"/>
            <c:spPr>
              <a:solidFill>
                <a:srgbClr val="008000"/>
              </a:solidFill>
              <a:ln w="12700">
                <a:solidFill>
                  <a:srgbClr val="000000"/>
                </a:solidFill>
                <a:prstDash val="solid"/>
              </a:ln>
            </c:spPr>
          </c:dPt>
          <c:cat>
            <c:strRef>
              <c:f>'Chart 10'!$P$49:$P$76</c:f>
              <c:strCache>
                <c:ptCount val="28"/>
                <c:pt idx="0">
                  <c:v>Scotland (n=889)</c:v>
                </c:pt>
                <c:pt idx="1">
                  <c:v>Western Isles (n=3)</c:v>
                </c:pt>
                <c:pt idx="2">
                  <c:v>Hairmyres (n=24)</c:v>
                </c:pt>
                <c:pt idx="3">
                  <c:v>Ninewells (n=42)</c:v>
                </c:pt>
                <c:pt idx="4">
                  <c:v>RIE (n=102)</c:v>
                </c:pt>
                <c:pt idx="5">
                  <c:v>Crosshouse (n=68)</c:v>
                </c:pt>
                <c:pt idx="6">
                  <c:v>ARI (n=114)</c:v>
                </c:pt>
                <c:pt idx="7">
                  <c:v>Wishaw (n=31)</c:v>
                </c:pt>
                <c:pt idx="8">
                  <c:v>Monklands (n=22)</c:v>
                </c:pt>
                <c:pt idx="9">
                  <c:v>VHK (n=72)</c:v>
                </c:pt>
                <c:pt idx="10">
                  <c:v>SJH (n=25)</c:v>
                </c:pt>
                <c:pt idx="11">
                  <c:v>GRI (n=16)</c:v>
                </c:pt>
                <c:pt idx="12">
                  <c:v>DGRI (n=25)</c:v>
                </c:pt>
                <c:pt idx="13">
                  <c:v>L&amp;I (n=9)</c:v>
                </c:pt>
                <c:pt idx="14">
                  <c:v>Borders (n=8)</c:v>
                </c:pt>
                <c:pt idx="15">
                  <c:v>PRI (n=23)</c:v>
                </c:pt>
                <c:pt idx="16">
                  <c:v>FVRH (n=51)</c:v>
                </c:pt>
                <c:pt idx="17">
                  <c:v>Dr Grays (n=20)</c:v>
                </c:pt>
                <c:pt idx="18">
                  <c:v>WGH (n=10)</c:v>
                </c:pt>
                <c:pt idx="19">
                  <c:v>QEUH (n=186)</c:v>
                </c:pt>
                <c:pt idx="20">
                  <c:v>Raigmore (n=18)</c:v>
                </c:pt>
                <c:pt idx="21">
                  <c:v>GCH (n=7)</c:v>
                </c:pt>
                <c:pt idx="22">
                  <c:v>Balfour (n=5)</c:v>
                </c:pt>
                <c:pt idx="23">
                  <c:v>Caithness (n=4)</c:v>
                </c:pt>
                <c:pt idx="24">
                  <c:v>Ayr (n=0)</c:v>
                </c:pt>
                <c:pt idx="25">
                  <c:v>RAH (n=0)</c:v>
                </c:pt>
                <c:pt idx="26">
                  <c:v>Belford (n=2)</c:v>
                </c:pt>
                <c:pt idx="27">
                  <c:v>Gilbert Bain (n=2)</c:v>
                </c:pt>
              </c:strCache>
            </c:strRef>
          </c:cat>
          <c:val>
            <c:numRef>
              <c:f>'Chart 10'!$D$49:$D$76</c:f>
              <c:numCache>
                <c:formatCode>0</c:formatCode>
                <c:ptCount val="28"/>
                <c:pt idx="0">
                  <c:v>9.8987626546681664</c:v>
                </c:pt>
                <c:pt idx="1">
                  <c:v>0</c:v>
                </c:pt>
                <c:pt idx="2">
                  <c:v>0</c:v>
                </c:pt>
                <c:pt idx="3">
                  <c:v>7.1428571428571423</c:v>
                </c:pt>
                <c:pt idx="4">
                  <c:v>17.647058823529413</c:v>
                </c:pt>
                <c:pt idx="5">
                  <c:v>8.8235294117647065</c:v>
                </c:pt>
                <c:pt idx="6">
                  <c:v>18.421052631578945</c:v>
                </c:pt>
                <c:pt idx="7">
                  <c:v>12.903225806451612</c:v>
                </c:pt>
                <c:pt idx="8">
                  <c:v>9.0909090909090917</c:v>
                </c:pt>
                <c:pt idx="9">
                  <c:v>12.5</c:v>
                </c:pt>
                <c:pt idx="10">
                  <c:v>8</c:v>
                </c:pt>
                <c:pt idx="11">
                  <c:v>12.5</c:v>
                </c:pt>
                <c:pt idx="12">
                  <c:v>16</c:v>
                </c:pt>
                <c:pt idx="13">
                  <c:v>0</c:v>
                </c:pt>
                <c:pt idx="14">
                  <c:v>0</c:v>
                </c:pt>
                <c:pt idx="15">
                  <c:v>8.695652173913043</c:v>
                </c:pt>
                <c:pt idx="16">
                  <c:v>9.8039215686274517</c:v>
                </c:pt>
                <c:pt idx="17">
                  <c:v>5</c:v>
                </c:pt>
                <c:pt idx="18">
                  <c:v>10</c:v>
                </c:pt>
                <c:pt idx="19">
                  <c:v>3.225806451612903</c:v>
                </c:pt>
                <c:pt idx="20">
                  <c:v>11.111111111111111</c:v>
                </c:pt>
                <c:pt idx="21">
                  <c:v>0</c:v>
                </c:pt>
                <c:pt idx="22">
                  <c:v>0</c:v>
                </c:pt>
                <c:pt idx="23">
                  <c:v>0</c:v>
                </c:pt>
                <c:pt idx="24">
                  <c:v>0</c:v>
                </c:pt>
                <c:pt idx="25">
                  <c:v>0</c:v>
                </c:pt>
                <c:pt idx="26">
                  <c:v>0</c:v>
                </c:pt>
                <c:pt idx="27">
                  <c:v>0</c:v>
                </c:pt>
              </c:numCache>
            </c:numRef>
          </c:val>
        </c:ser>
        <c:ser>
          <c:idx val="1"/>
          <c:order val="1"/>
          <c:tx>
            <c:strRef>
              <c:f>'Chart 10'!$G$48</c:f>
              <c:strCache>
                <c:ptCount val="1"/>
                <c:pt idx="0">
                  <c:v>&gt;30&lt;=60 mins</c:v>
                </c:pt>
              </c:strCache>
            </c:strRef>
          </c:tx>
          <c:spPr>
            <a:solidFill>
              <a:srgbClr val="9999FF"/>
            </a:solidFill>
            <a:ln w="12700">
              <a:solidFill>
                <a:srgbClr val="000000"/>
              </a:solidFill>
              <a:prstDash val="solid"/>
            </a:ln>
          </c:spPr>
          <c:dPt>
            <c:idx val="0"/>
            <c:spPr>
              <a:solidFill>
                <a:srgbClr val="FF0000"/>
              </a:solidFill>
              <a:ln w="12700">
                <a:solidFill>
                  <a:srgbClr val="000000"/>
                </a:solidFill>
                <a:prstDash val="solid"/>
              </a:ln>
            </c:spPr>
          </c:dPt>
          <c:dPt>
            <c:idx val="29"/>
            <c:spPr>
              <a:solidFill>
                <a:srgbClr val="FF0000"/>
              </a:solidFill>
              <a:ln w="12700">
                <a:solidFill>
                  <a:srgbClr val="000000"/>
                </a:solidFill>
                <a:prstDash val="solid"/>
              </a:ln>
            </c:spPr>
          </c:dPt>
          <c:cat>
            <c:strRef>
              <c:f>'Chart 10'!$P$49:$P$76</c:f>
              <c:strCache>
                <c:ptCount val="28"/>
                <c:pt idx="0">
                  <c:v>Scotland (n=889)</c:v>
                </c:pt>
                <c:pt idx="1">
                  <c:v>Western Isles (n=3)</c:v>
                </c:pt>
                <c:pt idx="2">
                  <c:v>Hairmyres (n=24)</c:v>
                </c:pt>
                <c:pt idx="3">
                  <c:v>Ninewells (n=42)</c:v>
                </c:pt>
                <c:pt idx="4">
                  <c:v>RIE (n=102)</c:v>
                </c:pt>
                <c:pt idx="5">
                  <c:v>Crosshouse (n=68)</c:v>
                </c:pt>
                <c:pt idx="6">
                  <c:v>ARI (n=114)</c:v>
                </c:pt>
                <c:pt idx="7">
                  <c:v>Wishaw (n=31)</c:v>
                </c:pt>
                <c:pt idx="8">
                  <c:v>Monklands (n=22)</c:v>
                </c:pt>
                <c:pt idx="9">
                  <c:v>VHK (n=72)</c:v>
                </c:pt>
                <c:pt idx="10">
                  <c:v>SJH (n=25)</c:v>
                </c:pt>
                <c:pt idx="11">
                  <c:v>GRI (n=16)</c:v>
                </c:pt>
                <c:pt idx="12">
                  <c:v>DGRI (n=25)</c:v>
                </c:pt>
                <c:pt idx="13">
                  <c:v>L&amp;I (n=9)</c:v>
                </c:pt>
                <c:pt idx="14">
                  <c:v>Borders (n=8)</c:v>
                </c:pt>
                <c:pt idx="15">
                  <c:v>PRI (n=23)</c:v>
                </c:pt>
                <c:pt idx="16">
                  <c:v>FVRH (n=51)</c:v>
                </c:pt>
                <c:pt idx="17">
                  <c:v>Dr Grays (n=20)</c:v>
                </c:pt>
                <c:pt idx="18">
                  <c:v>WGH (n=10)</c:v>
                </c:pt>
                <c:pt idx="19">
                  <c:v>QEUH (n=186)</c:v>
                </c:pt>
                <c:pt idx="20">
                  <c:v>Raigmore (n=18)</c:v>
                </c:pt>
                <c:pt idx="21">
                  <c:v>GCH (n=7)</c:v>
                </c:pt>
                <c:pt idx="22">
                  <c:v>Balfour (n=5)</c:v>
                </c:pt>
                <c:pt idx="23">
                  <c:v>Caithness (n=4)</c:v>
                </c:pt>
                <c:pt idx="24">
                  <c:v>Ayr (n=0)</c:v>
                </c:pt>
                <c:pt idx="25">
                  <c:v>RAH (n=0)</c:v>
                </c:pt>
                <c:pt idx="26">
                  <c:v>Belford (n=2)</c:v>
                </c:pt>
                <c:pt idx="27">
                  <c:v>Gilbert Bain (n=2)</c:v>
                </c:pt>
              </c:strCache>
            </c:strRef>
          </c:cat>
          <c:val>
            <c:numRef>
              <c:f>'Chart 10'!$G$49:$G$76</c:f>
              <c:numCache>
                <c:formatCode>0</c:formatCode>
                <c:ptCount val="28"/>
                <c:pt idx="0">
                  <c:v>45.444319460067483</c:v>
                </c:pt>
                <c:pt idx="1">
                  <c:v>66.666666666666657</c:v>
                </c:pt>
                <c:pt idx="2">
                  <c:v>66.666666666666657</c:v>
                </c:pt>
                <c:pt idx="3">
                  <c:v>71.428571428571431</c:v>
                </c:pt>
                <c:pt idx="4">
                  <c:v>57.843137254901954</c:v>
                </c:pt>
                <c:pt idx="5">
                  <c:v>61.764705882352942</c:v>
                </c:pt>
                <c:pt idx="6">
                  <c:v>47.368421052631589</c:v>
                </c:pt>
                <c:pt idx="7">
                  <c:v>54.838709677419345</c:v>
                </c:pt>
                <c:pt idx="8">
                  <c:v>59.090909090909079</c:v>
                </c:pt>
                <c:pt idx="9">
                  <c:v>47.222222222222221</c:v>
                </c:pt>
                <c:pt idx="10">
                  <c:v>48.000000000000007</c:v>
                </c:pt>
                <c:pt idx="11">
                  <c:v>37.5</c:v>
                </c:pt>
                <c:pt idx="12">
                  <c:v>40.000000000000007</c:v>
                </c:pt>
                <c:pt idx="13">
                  <c:v>33.333333333333329</c:v>
                </c:pt>
                <c:pt idx="14">
                  <c:v>25</c:v>
                </c:pt>
                <c:pt idx="15">
                  <c:v>34.782608695652172</c:v>
                </c:pt>
                <c:pt idx="16">
                  <c:v>39.2156862745098</c:v>
                </c:pt>
                <c:pt idx="17">
                  <c:v>25</c:v>
                </c:pt>
                <c:pt idx="18">
                  <c:v>40</c:v>
                </c:pt>
                <c:pt idx="19">
                  <c:v>31.72043010752688</c:v>
                </c:pt>
                <c:pt idx="20">
                  <c:v>38.888888888888886</c:v>
                </c:pt>
                <c:pt idx="21">
                  <c:v>0</c:v>
                </c:pt>
                <c:pt idx="22">
                  <c:v>0</c:v>
                </c:pt>
                <c:pt idx="23">
                  <c:v>25</c:v>
                </c:pt>
                <c:pt idx="24">
                  <c:v>0</c:v>
                </c:pt>
                <c:pt idx="25">
                  <c:v>0</c:v>
                </c:pt>
                <c:pt idx="26">
                  <c:v>0</c:v>
                </c:pt>
                <c:pt idx="27">
                  <c:v>0</c:v>
                </c:pt>
              </c:numCache>
            </c:numRef>
          </c:val>
        </c:ser>
        <c:ser>
          <c:idx val="2"/>
          <c:order val="2"/>
          <c:tx>
            <c:strRef>
              <c:f>'Chart 10'!$H$48</c:f>
              <c:strCache>
                <c:ptCount val="1"/>
                <c:pt idx="0">
                  <c:v>&gt;60&lt;=75 mins</c:v>
                </c:pt>
              </c:strCache>
            </c:strRef>
          </c:tx>
          <c:spPr>
            <a:solidFill>
              <a:srgbClr val="FFFF99"/>
            </a:solidFill>
            <a:ln w="12700">
              <a:solidFill>
                <a:srgbClr val="000000"/>
              </a:solidFill>
              <a:prstDash val="solid"/>
            </a:ln>
          </c:spPr>
          <c:dPt>
            <c:idx val="0"/>
            <c:spPr>
              <a:solidFill>
                <a:srgbClr val="99CC00"/>
              </a:solidFill>
              <a:ln w="12700">
                <a:solidFill>
                  <a:srgbClr val="000000"/>
                </a:solidFill>
                <a:prstDash val="solid"/>
              </a:ln>
            </c:spPr>
          </c:dPt>
          <c:cat>
            <c:strRef>
              <c:f>'Chart 10'!$P$49:$P$76</c:f>
              <c:strCache>
                <c:ptCount val="28"/>
                <c:pt idx="0">
                  <c:v>Scotland (n=889)</c:v>
                </c:pt>
                <c:pt idx="1">
                  <c:v>Western Isles (n=3)</c:v>
                </c:pt>
                <c:pt idx="2">
                  <c:v>Hairmyres (n=24)</c:v>
                </c:pt>
                <c:pt idx="3">
                  <c:v>Ninewells (n=42)</c:v>
                </c:pt>
                <c:pt idx="4">
                  <c:v>RIE (n=102)</c:v>
                </c:pt>
                <c:pt idx="5">
                  <c:v>Crosshouse (n=68)</c:v>
                </c:pt>
                <c:pt idx="6">
                  <c:v>ARI (n=114)</c:v>
                </c:pt>
                <c:pt idx="7">
                  <c:v>Wishaw (n=31)</c:v>
                </c:pt>
                <c:pt idx="8">
                  <c:v>Monklands (n=22)</c:v>
                </c:pt>
                <c:pt idx="9">
                  <c:v>VHK (n=72)</c:v>
                </c:pt>
                <c:pt idx="10">
                  <c:v>SJH (n=25)</c:v>
                </c:pt>
                <c:pt idx="11">
                  <c:v>GRI (n=16)</c:v>
                </c:pt>
                <c:pt idx="12">
                  <c:v>DGRI (n=25)</c:v>
                </c:pt>
                <c:pt idx="13">
                  <c:v>L&amp;I (n=9)</c:v>
                </c:pt>
                <c:pt idx="14">
                  <c:v>Borders (n=8)</c:v>
                </c:pt>
                <c:pt idx="15">
                  <c:v>PRI (n=23)</c:v>
                </c:pt>
                <c:pt idx="16">
                  <c:v>FVRH (n=51)</c:v>
                </c:pt>
                <c:pt idx="17">
                  <c:v>Dr Grays (n=20)</c:v>
                </c:pt>
                <c:pt idx="18">
                  <c:v>WGH (n=10)</c:v>
                </c:pt>
                <c:pt idx="19">
                  <c:v>QEUH (n=186)</c:v>
                </c:pt>
                <c:pt idx="20">
                  <c:v>Raigmore (n=18)</c:v>
                </c:pt>
                <c:pt idx="21">
                  <c:v>GCH (n=7)</c:v>
                </c:pt>
                <c:pt idx="22">
                  <c:v>Balfour (n=5)</c:v>
                </c:pt>
                <c:pt idx="23">
                  <c:v>Caithness (n=4)</c:v>
                </c:pt>
                <c:pt idx="24">
                  <c:v>Ayr (n=0)</c:v>
                </c:pt>
                <c:pt idx="25">
                  <c:v>RAH (n=0)</c:v>
                </c:pt>
                <c:pt idx="26">
                  <c:v>Belford (n=2)</c:v>
                </c:pt>
                <c:pt idx="27">
                  <c:v>Gilbert Bain (n=2)</c:v>
                </c:pt>
              </c:strCache>
            </c:strRef>
          </c:cat>
          <c:val>
            <c:numRef>
              <c:f>'Chart 10'!$H$49:$H$76</c:f>
              <c:numCache>
                <c:formatCode>0</c:formatCode>
                <c:ptCount val="28"/>
                <c:pt idx="0">
                  <c:v>14.398200224971887</c:v>
                </c:pt>
                <c:pt idx="1">
                  <c:v>33.333333333333343</c:v>
                </c:pt>
                <c:pt idx="2">
                  <c:v>25</c:v>
                </c:pt>
                <c:pt idx="3">
                  <c:v>11.904761904761912</c:v>
                </c:pt>
                <c:pt idx="4">
                  <c:v>9.8039215686274588</c:v>
                </c:pt>
                <c:pt idx="5">
                  <c:v>10.294117647058826</c:v>
                </c:pt>
                <c:pt idx="6">
                  <c:v>14.912280701754369</c:v>
                </c:pt>
                <c:pt idx="7">
                  <c:v>12.903225806451616</c:v>
                </c:pt>
                <c:pt idx="8">
                  <c:v>9.0909090909090935</c:v>
                </c:pt>
                <c:pt idx="9">
                  <c:v>12.499999999999993</c:v>
                </c:pt>
                <c:pt idx="10">
                  <c:v>15.999999999999993</c:v>
                </c:pt>
                <c:pt idx="11">
                  <c:v>18.75</c:v>
                </c:pt>
                <c:pt idx="12">
                  <c:v>11.999999999999993</c:v>
                </c:pt>
                <c:pt idx="13">
                  <c:v>33.333333333333329</c:v>
                </c:pt>
                <c:pt idx="14">
                  <c:v>37.5</c:v>
                </c:pt>
                <c:pt idx="15">
                  <c:v>17.391304347826093</c:v>
                </c:pt>
                <c:pt idx="16">
                  <c:v>11.764705882352942</c:v>
                </c:pt>
                <c:pt idx="17">
                  <c:v>30</c:v>
                </c:pt>
                <c:pt idx="18">
                  <c:v>10</c:v>
                </c:pt>
                <c:pt idx="19">
                  <c:v>15.591397849462368</c:v>
                </c:pt>
                <c:pt idx="20">
                  <c:v>0</c:v>
                </c:pt>
                <c:pt idx="21">
                  <c:v>42.857142857142854</c:v>
                </c:pt>
                <c:pt idx="22">
                  <c:v>40</c:v>
                </c:pt>
                <c:pt idx="23">
                  <c:v>0</c:v>
                </c:pt>
                <c:pt idx="24">
                  <c:v>0</c:v>
                </c:pt>
                <c:pt idx="25">
                  <c:v>0</c:v>
                </c:pt>
                <c:pt idx="26">
                  <c:v>0</c:v>
                </c:pt>
                <c:pt idx="27">
                  <c:v>0</c:v>
                </c:pt>
              </c:numCache>
            </c:numRef>
          </c:val>
        </c:ser>
        <c:overlap val="100"/>
        <c:axId val="95643136"/>
        <c:axId val="95644672"/>
      </c:barChart>
      <c:scatterChart>
        <c:scatterStyle val="smoothMarker"/>
        <c:ser>
          <c:idx val="3"/>
          <c:order val="3"/>
          <c:tx>
            <c:v>Stroke Standard (2013)</c:v>
          </c:tx>
          <c:spPr>
            <a:ln w="28575">
              <a:solidFill>
                <a:srgbClr val="0070C0"/>
              </a:solidFill>
            </a:ln>
          </c:spPr>
          <c:marker>
            <c:symbol val="none"/>
          </c:marker>
          <c:yVal>
            <c:numRef>
              <c:f>'Chart 10'!$I$49:$I$76</c:f>
              <c:numCache>
                <c:formatCode>General</c:formatCode>
                <c:ptCount val="28"/>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numCache>
            </c:numRef>
          </c:yVal>
          <c:smooth val="1"/>
        </c:ser>
        <c:axId val="95652480"/>
        <c:axId val="95650944"/>
      </c:scatterChart>
      <c:catAx>
        <c:axId val="95643136"/>
        <c:scaling>
          <c:orientation val="minMax"/>
        </c:scaling>
        <c:axPos val="b"/>
        <c:numFmt formatCode="General" sourceLinked="1"/>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95644672"/>
        <c:crosses val="autoZero"/>
        <c:auto val="1"/>
        <c:lblAlgn val="ctr"/>
        <c:lblOffset val="100"/>
        <c:tickLblSkip val="1"/>
        <c:tickMarkSkip val="1"/>
      </c:catAx>
      <c:valAx>
        <c:axId val="95644672"/>
        <c:scaling>
          <c:orientation val="minMax"/>
          <c:max val="100"/>
        </c:scaling>
        <c:axPos val="l"/>
        <c:title>
          <c:tx>
            <c:rich>
              <a:bodyPr rot="0" vert="horz"/>
              <a:lstStyle/>
              <a:p>
                <a:pPr algn="ctr">
                  <a:defRPr sz="800" b="0" i="0" u="none" strike="noStrike" baseline="0">
                    <a:solidFill>
                      <a:srgbClr val="000000"/>
                    </a:solidFill>
                    <a:latin typeface="Arial"/>
                    <a:ea typeface="Arial"/>
                    <a:cs typeface="Arial"/>
                  </a:defRPr>
                </a:pPr>
                <a:r>
                  <a:rPr lang="en-GB"/>
                  <a:t>%</a:t>
                </a:r>
              </a:p>
            </c:rich>
          </c:tx>
          <c:layout>
            <c:manualLayout>
              <c:xMode val="edge"/>
              <c:yMode val="edge"/>
              <c:x val="1.2345679012345723E-2"/>
              <c:y val="0.38133916830377085"/>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643136"/>
        <c:crosses val="autoZero"/>
        <c:crossBetween val="between"/>
      </c:valAx>
      <c:valAx>
        <c:axId val="95650944"/>
        <c:scaling>
          <c:orientation val="minMax"/>
          <c:max val="100"/>
          <c:min val="0"/>
        </c:scaling>
        <c:delete val="1"/>
        <c:axPos val="l"/>
        <c:numFmt formatCode="General" sourceLinked="1"/>
        <c:tickLblPos val="none"/>
        <c:crossAx val="95652480"/>
        <c:crossesAt val="27"/>
        <c:crossBetween val="midCat"/>
      </c:valAx>
      <c:valAx>
        <c:axId val="95652480"/>
        <c:scaling>
          <c:orientation val="minMax"/>
          <c:max val="26"/>
          <c:min val="1"/>
        </c:scaling>
        <c:delete val="1"/>
        <c:axPos val="t"/>
        <c:tickLblPos val="none"/>
        <c:crossAx val="95650944"/>
        <c:crosses val="max"/>
        <c:crossBetween val="midCat"/>
        <c:majorUnit val="1"/>
      </c:valAx>
      <c:spPr>
        <a:solidFill>
          <a:srgbClr val="FFFFFF"/>
        </a:solidFill>
        <a:ln w="12700">
          <a:solidFill>
            <a:srgbClr val="808080"/>
          </a:solidFill>
          <a:prstDash val="solid"/>
        </a:ln>
      </c:spPr>
    </c:plotArea>
    <c:legend>
      <c:legendPos val="r"/>
      <c:layout>
        <c:manualLayout>
          <c:xMode val="edge"/>
          <c:yMode val="edge"/>
          <c:x val="0.89038533482977933"/>
          <c:y val="0.31034482758621484"/>
          <c:w val="0.10512532734755188"/>
          <c:h val="0.35666916888938582"/>
        </c:manualLayout>
      </c:layout>
      <c:spPr>
        <a:solidFill>
          <a:srgbClr val="FFFFFF"/>
        </a:solidFill>
        <a:ln w="3175">
          <a:solidFill>
            <a:srgbClr val="000000"/>
          </a:solidFill>
          <a:prstDash val="solid"/>
        </a:ln>
      </c:spPr>
      <c:txPr>
        <a:bodyPr/>
        <a:lstStyle/>
        <a:p>
          <a:pPr>
            <a:defRPr sz="58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&amp;L&amp;8Scottish Stroke Care Audit 2011 National Report
Stroke Services in Scottish Hospitals, Data relating to 2010&amp;R&amp;8© NHS National Services Scotland/Crown Copyright</c:oddFooter>
    </c:headerFooter>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8.418000263933488E-2"/>
          <c:y val="3.4668289414642839E-2"/>
          <c:w val="0.80370081672754068"/>
          <c:h val="0.75436635994268719"/>
        </c:manualLayout>
      </c:layout>
      <c:barChart>
        <c:barDir val="col"/>
        <c:grouping val="clustered"/>
        <c:ser>
          <c:idx val="1"/>
          <c:order val="0"/>
          <c:tx>
            <c:strRef>
              <c:f>'Chart 1b DATA (final diag)'!$C$2</c:f>
              <c:strCache>
                <c:ptCount val="1"/>
                <c:pt idx="0">
                  <c:v>2016 (%)</c:v>
                </c:pt>
              </c:strCache>
            </c:strRef>
          </c:tx>
          <c:spPr>
            <a:solidFill>
              <a:srgbClr val="993366"/>
            </a:solidFill>
            <a:ln>
              <a:solidFill>
                <a:prstClr val="black"/>
              </a:solidFill>
            </a:ln>
          </c:spPr>
          <c:dPt>
            <c:idx val="0"/>
            <c:spPr>
              <a:solidFill>
                <a:srgbClr val="008000"/>
              </a:solidFill>
              <a:ln>
                <a:solidFill>
                  <a:prstClr val="black"/>
                </a:solidFill>
              </a:ln>
            </c:spPr>
          </c:dPt>
          <c:cat>
            <c:strRef>
              <c:f>'Chart 1b DATA (final diag)'!$A$3:$A$17</c:f>
              <c:strCache>
                <c:ptCount val="15"/>
                <c:pt idx="0">
                  <c:v>Scotland</c:v>
                </c:pt>
                <c:pt idx="1">
                  <c:v>Borders</c:v>
                </c:pt>
                <c:pt idx="2">
                  <c:v>Fife</c:v>
                </c:pt>
                <c:pt idx="3">
                  <c:v>Ayrshire &amp; Arran</c:v>
                </c:pt>
                <c:pt idx="4">
                  <c:v>Forth Valley</c:v>
                </c:pt>
                <c:pt idx="5">
                  <c:v>Grampian</c:v>
                </c:pt>
                <c:pt idx="6">
                  <c:v>Highland*</c:v>
                </c:pt>
                <c:pt idx="7">
                  <c:v>Lothian</c:v>
                </c:pt>
                <c:pt idx="8">
                  <c:v>Lanarkshire</c:v>
                </c:pt>
                <c:pt idx="9">
                  <c:v>Tayside</c:v>
                </c:pt>
                <c:pt idx="10">
                  <c:v>Greater Glasgow &amp; Clyde</c:v>
                </c:pt>
                <c:pt idx="11">
                  <c:v>Shetland*</c:v>
                </c:pt>
                <c:pt idx="12">
                  <c:v>Dumfries &amp; Galloway*</c:v>
                </c:pt>
                <c:pt idx="13">
                  <c:v>Western Isles*</c:v>
                </c:pt>
                <c:pt idx="14">
                  <c:v>Orkney*</c:v>
                </c:pt>
              </c:strCache>
            </c:strRef>
          </c:cat>
          <c:val>
            <c:numRef>
              <c:f>'Chart 1b DATA (final diag)'!$C$3:$C$17</c:f>
              <c:numCache>
                <c:formatCode>0</c:formatCode>
                <c:ptCount val="15"/>
                <c:pt idx="0">
                  <c:v>60.757169091679621</c:v>
                </c:pt>
                <c:pt idx="1">
                  <c:v>76.397515527950304</c:v>
                </c:pt>
                <c:pt idx="2">
                  <c:v>73.146292585170329</c:v>
                </c:pt>
                <c:pt idx="3">
                  <c:v>72.424722662440573</c:v>
                </c:pt>
                <c:pt idx="4">
                  <c:v>66.666666666666657</c:v>
                </c:pt>
                <c:pt idx="5">
                  <c:v>62.541806020066893</c:v>
                </c:pt>
                <c:pt idx="6">
                  <c:v>58.938547486033521</c:v>
                </c:pt>
                <c:pt idx="7">
                  <c:v>57.553956834532372</c:v>
                </c:pt>
                <c:pt idx="8">
                  <c:v>57.002801120448176</c:v>
                </c:pt>
                <c:pt idx="9">
                  <c:v>56.830601092896174</c:v>
                </c:pt>
                <c:pt idx="10">
                  <c:v>56.298773690078043</c:v>
                </c:pt>
                <c:pt idx="11">
                  <c:v>53.333333333333336</c:v>
                </c:pt>
                <c:pt idx="12">
                  <c:v>53.296703296703299</c:v>
                </c:pt>
                <c:pt idx="13">
                  <c:v>43.478260869565219</c:v>
                </c:pt>
                <c:pt idx="14">
                  <c:v>42.307692307692307</c:v>
                </c:pt>
              </c:numCache>
            </c:numRef>
          </c:val>
        </c:ser>
        <c:axId val="41020800"/>
        <c:axId val="41030784"/>
      </c:barChart>
      <c:catAx>
        <c:axId val="41020800"/>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030784"/>
        <c:crosses val="autoZero"/>
        <c:auto val="1"/>
        <c:lblAlgn val="ctr"/>
        <c:lblOffset val="100"/>
      </c:catAx>
      <c:valAx>
        <c:axId val="41030784"/>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20800"/>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441162318894557E-2"/>
          <c:y val="6.2880386822139533E-2"/>
          <c:w val="0.79236899416144257"/>
          <c:h val="0.75456464186563132"/>
        </c:manualLayout>
      </c:layout>
      <c:barChart>
        <c:barDir val="col"/>
        <c:grouping val="stacked"/>
        <c:ser>
          <c:idx val="0"/>
          <c:order val="0"/>
          <c:tx>
            <c:strRef>
              <c:f>'Chart 10 (2015)'!$D$47</c:f>
              <c:strCache>
                <c:ptCount val="1"/>
                <c:pt idx="0">
                  <c:v>Within 30 mins</c:v>
                </c:pt>
              </c:strCache>
            </c:strRef>
          </c:tx>
          <c:spPr>
            <a:solidFill>
              <a:srgbClr val="003366"/>
            </a:solidFill>
            <a:ln w="12700">
              <a:solidFill>
                <a:srgbClr val="000000"/>
              </a:solidFill>
              <a:prstDash val="solid"/>
            </a:ln>
          </c:spPr>
          <c:dPt>
            <c:idx val="0"/>
            <c:spPr>
              <a:solidFill>
                <a:srgbClr val="008000"/>
              </a:solidFill>
              <a:ln w="12700">
                <a:solidFill>
                  <a:srgbClr val="000000"/>
                </a:solidFill>
                <a:prstDash val="solid"/>
              </a:ln>
            </c:spPr>
          </c:dPt>
          <c:cat>
            <c:strRef>
              <c:f>'Chart 10 (2015)'!$P$48:$P$75</c:f>
              <c:strCache>
                <c:ptCount val="28"/>
                <c:pt idx="0">
                  <c:v>Scotland (n=933)</c:v>
                </c:pt>
                <c:pt idx="1">
                  <c:v>Hairmyres (n=26)</c:v>
                </c:pt>
                <c:pt idx="2">
                  <c:v>ARI (n=152)</c:v>
                </c:pt>
                <c:pt idx="3">
                  <c:v>Crosshouse (n=31)</c:v>
                </c:pt>
                <c:pt idx="4">
                  <c:v>RIE (n=85)</c:v>
                </c:pt>
                <c:pt idx="5">
                  <c:v>SJH (n=26)</c:v>
                </c:pt>
                <c:pt idx="6">
                  <c:v>Wishaw (n=47)</c:v>
                </c:pt>
                <c:pt idx="7">
                  <c:v>Monklands (n=39)</c:v>
                </c:pt>
                <c:pt idx="8">
                  <c:v>Ninewells (n=52)</c:v>
                </c:pt>
                <c:pt idx="9">
                  <c:v>Ayr (n=11)</c:v>
                </c:pt>
                <c:pt idx="10">
                  <c:v>DGRI (n=26)</c:v>
                </c:pt>
                <c:pt idx="11">
                  <c:v>PRI (n=26)</c:v>
                </c:pt>
                <c:pt idx="12">
                  <c:v>VHK (n=57)</c:v>
                </c:pt>
                <c:pt idx="13">
                  <c:v>Western Isles (n=8)</c:v>
                </c:pt>
                <c:pt idx="14">
                  <c:v>Caithness (n=11)</c:v>
                </c:pt>
                <c:pt idx="15">
                  <c:v>FVRH (n=39)</c:v>
                </c:pt>
                <c:pt idx="16">
                  <c:v>GCH (n=8)</c:v>
                </c:pt>
                <c:pt idx="17">
                  <c:v>Raigmore (n=21)</c:v>
                </c:pt>
                <c:pt idx="18">
                  <c:v>QEUH (n=226)</c:v>
                </c:pt>
                <c:pt idx="19">
                  <c:v>Borders (n=10)</c:v>
                </c:pt>
                <c:pt idx="20">
                  <c:v>WGH (n=11)</c:v>
                </c:pt>
                <c:pt idx="21">
                  <c:v>Dr Grays (n=8)</c:v>
                </c:pt>
                <c:pt idx="22">
                  <c:v>GRI (n=1)</c:v>
                </c:pt>
                <c:pt idx="23">
                  <c:v>RAH (n=2)</c:v>
                </c:pt>
                <c:pt idx="24">
                  <c:v>Belford (n=3)</c:v>
                </c:pt>
                <c:pt idx="25">
                  <c:v>L&amp;I (n=3)</c:v>
                </c:pt>
                <c:pt idx="26">
                  <c:v>Balfour (n=2)</c:v>
                </c:pt>
                <c:pt idx="27">
                  <c:v>Gilbert Bain (n=2)</c:v>
                </c:pt>
              </c:strCache>
            </c:strRef>
          </c:cat>
          <c:val>
            <c:numRef>
              <c:f>'Chart 10 (2015)'!$D$48:$D$75</c:f>
              <c:numCache>
                <c:formatCode>0</c:formatCode>
                <c:ptCount val="28"/>
                <c:pt idx="0">
                  <c:v>9.32475884244373</c:v>
                </c:pt>
                <c:pt idx="1">
                  <c:v>3.8461538461538463</c:v>
                </c:pt>
                <c:pt idx="2">
                  <c:v>21.710526315789476</c:v>
                </c:pt>
                <c:pt idx="3">
                  <c:v>3.225806451612903</c:v>
                </c:pt>
                <c:pt idx="4">
                  <c:v>12.941176470588237</c:v>
                </c:pt>
                <c:pt idx="5">
                  <c:v>3.8461538461538463</c:v>
                </c:pt>
                <c:pt idx="6">
                  <c:v>12.76595744680851</c:v>
                </c:pt>
                <c:pt idx="7">
                  <c:v>10.256410256410255</c:v>
                </c:pt>
                <c:pt idx="8">
                  <c:v>7.6923076923076925</c:v>
                </c:pt>
                <c:pt idx="9">
                  <c:v>0</c:v>
                </c:pt>
                <c:pt idx="10">
                  <c:v>19.230769230769234</c:v>
                </c:pt>
                <c:pt idx="11">
                  <c:v>11.538461538461538</c:v>
                </c:pt>
                <c:pt idx="12">
                  <c:v>5.2631578947368416</c:v>
                </c:pt>
                <c:pt idx="13">
                  <c:v>0</c:v>
                </c:pt>
                <c:pt idx="14">
                  <c:v>0</c:v>
                </c:pt>
                <c:pt idx="15">
                  <c:v>0</c:v>
                </c:pt>
                <c:pt idx="16">
                  <c:v>0</c:v>
                </c:pt>
                <c:pt idx="17">
                  <c:v>0</c:v>
                </c:pt>
                <c:pt idx="18">
                  <c:v>5.7522123893805306</c:v>
                </c:pt>
                <c:pt idx="19">
                  <c:v>0</c:v>
                </c:pt>
                <c:pt idx="20">
                  <c:v>18.181818181818183</c:v>
                </c:pt>
                <c:pt idx="21">
                  <c:v>0</c:v>
                </c:pt>
                <c:pt idx="22">
                  <c:v>0</c:v>
                </c:pt>
                <c:pt idx="23">
                  <c:v>0</c:v>
                </c:pt>
                <c:pt idx="24">
                  <c:v>0</c:v>
                </c:pt>
                <c:pt idx="25">
                  <c:v>0</c:v>
                </c:pt>
                <c:pt idx="26">
                  <c:v>0</c:v>
                </c:pt>
                <c:pt idx="27">
                  <c:v>0</c:v>
                </c:pt>
              </c:numCache>
            </c:numRef>
          </c:val>
        </c:ser>
        <c:ser>
          <c:idx val="1"/>
          <c:order val="1"/>
          <c:tx>
            <c:strRef>
              <c:f>'Chart 10 (2015)'!$G$47</c:f>
              <c:strCache>
                <c:ptCount val="1"/>
                <c:pt idx="0">
                  <c:v>&gt;30&lt;=60 mins</c:v>
                </c:pt>
              </c:strCache>
            </c:strRef>
          </c:tx>
          <c:spPr>
            <a:solidFill>
              <a:srgbClr val="9999FF"/>
            </a:solidFill>
            <a:ln w="12700">
              <a:solidFill>
                <a:srgbClr val="000000"/>
              </a:solidFill>
              <a:prstDash val="solid"/>
            </a:ln>
          </c:spPr>
          <c:dPt>
            <c:idx val="0"/>
            <c:spPr>
              <a:solidFill>
                <a:srgbClr val="FF0000"/>
              </a:solidFill>
              <a:ln w="12700">
                <a:solidFill>
                  <a:srgbClr val="000000"/>
                </a:solidFill>
                <a:prstDash val="solid"/>
              </a:ln>
            </c:spPr>
          </c:dPt>
          <c:dPt>
            <c:idx val="29"/>
            <c:spPr>
              <a:solidFill>
                <a:srgbClr val="FF0000"/>
              </a:solidFill>
              <a:ln w="12700">
                <a:solidFill>
                  <a:srgbClr val="000000"/>
                </a:solidFill>
                <a:prstDash val="solid"/>
              </a:ln>
            </c:spPr>
          </c:dPt>
          <c:cat>
            <c:strRef>
              <c:f>'Chart 10 (2015)'!$P$48:$P$75</c:f>
              <c:strCache>
                <c:ptCount val="28"/>
                <c:pt idx="0">
                  <c:v>Scotland (n=933)</c:v>
                </c:pt>
                <c:pt idx="1">
                  <c:v>Hairmyres (n=26)</c:v>
                </c:pt>
                <c:pt idx="2">
                  <c:v>ARI (n=152)</c:v>
                </c:pt>
                <c:pt idx="3">
                  <c:v>Crosshouse (n=31)</c:v>
                </c:pt>
                <c:pt idx="4">
                  <c:v>RIE (n=85)</c:v>
                </c:pt>
                <c:pt idx="5">
                  <c:v>SJH (n=26)</c:v>
                </c:pt>
                <c:pt idx="6">
                  <c:v>Wishaw (n=47)</c:v>
                </c:pt>
                <c:pt idx="7">
                  <c:v>Monklands (n=39)</c:v>
                </c:pt>
                <c:pt idx="8">
                  <c:v>Ninewells (n=52)</c:v>
                </c:pt>
                <c:pt idx="9">
                  <c:v>Ayr (n=11)</c:v>
                </c:pt>
                <c:pt idx="10">
                  <c:v>DGRI (n=26)</c:v>
                </c:pt>
                <c:pt idx="11">
                  <c:v>PRI (n=26)</c:v>
                </c:pt>
                <c:pt idx="12">
                  <c:v>VHK (n=57)</c:v>
                </c:pt>
                <c:pt idx="13">
                  <c:v>Western Isles (n=8)</c:v>
                </c:pt>
                <c:pt idx="14">
                  <c:v>Caithness (n=11)</c:v>
                </c:pt>
                <c:pt idx="15">
                  <c:v>FVRH (n=39)</c:v>
                </c:pt>
                <c:pt idx="16">
                  <c:v>GCH (n=8)</c:v>
                </c:pt>
                <c:pt idx="17">
                  <c:v>Raigmore (n=21)</c:v>
                </c:pt>
                <c:pt idx="18">
                  <c:v>QEUH (n=226)</c:v>
                </c:pt>
                <c:pt idx="19">
                  <c:v>Borders (n=10)</c:v>
                </c:pt>
                <c:pt idx="20">
                  <c:v>WGH (n=11)</c:v>
                </c:pt>
                <c:pt idx="21">
                  <c:v>Dr Grays (n=8)</c:v>
                </c:pt>
                <c:pt idx="22">
                  <c:v>GRI (n=1)</c:v>
                </c:pt>
                <c:pt idx="23">
                  <c:v>RAH (n=2)</c:v>
                </c:pt>
                <c:pt idx="24">
                  <c:v>Belford (n=3)</c:v>
                </c:pt>
                <c:pt idx="25">
                  <c:v>L&amp;I (n=3)</c:v>
                </c:pt>
                <c:pt idx="26">
                  <c:v>Balfour (n=2)</c:v>
                </c:pt>
                <c:pt idx="27">
                  <c:v>Gilbert Bain (n=2)</c:v>
                </c:pt>
              </c:strCache>
            </c:strRef>
          </c:cat>
          <c:val>
            <c:numRef>
              <c:f>'Chart 10 (2015)'!$G$48:$G$75</c:f>
              <c:numCache>
                <c:formatCode>0</c:formatCode>
                <c:ptCount val="28"/>
                <c:pt idx="0">
                  <c:v>41.586280814576632</c:v>
                </c:pt>
                <c:pt idx="1">
                  <c:v>69.230769230769226</c:v>
                </c:pt>
                <c:pt idx="2">
                  <c:v>53.947368421052616</c:v>
                </c:pt>
                <c:pt idx="3">
                  <c:v>67.741935483870975</c:v>
                </c:pt>
                <c:pt idx="4">
                  <c:v>58.823529411764703</c:v>
                </c:pt>
                <c:pt idx="5">
                  <c:v>61.53846153846154</c:v>
                </c:pt>
                <c:pt idx="6">
                  <c:v>53.191489361702125</c:v>
                </c:pt>
                <c:pt idx="7">
                  <c:v>48.717948717948723</c:v>
                </c:pt>
                <c:pt idx="8">
                  <c:v>55.769230769230766</c:v>
                </c:pt>
                <c:pt idx="9">
                  <c:v>54.54545454545454</c:v>
                </c:pt>
                <c:pt idx="10">
                  <c:v>30.769230769230766</c:v>
                </c:pt>
                <c:pt idx="11">
                  <c:v>42.307692307692307</c:v>
                </c:pt>
                <c:pt idx="12">
                  <c:v>43.859649122807014</c:v>
                </c:pt>
                <c:pt idx="13">
                  <c:v>50</c:v>
                </c:pt>
                <c:pt idx="14">
                  <c:v>27.27272727272727</c:v>
                </c:pt>
                <c:pt idx="15">
                  <c:v>30.76923076923077</c:v>
                </c:pt>
                <c:pt idx="16">
                  <c:v>0</c:v>
                </c:pt>
                <c:pt idx="17">
                  <c:v>19.047619047619047</c:v>
                </c:pt>
                <c:pt idx="18">
                  <c:v>23.008849557522122</c:v>
                </c:pt>
                <c:pt idx="19">
                  <c:v>0</c:v>
                </c:pt>
                <c:pt idx="20">
                  <c:v>9.0909090909090864</c:v>
                </c:pt>
                <c:pt idx="21">
                  <c:v>25</c:v>
                </c:pt>
                <c:pt idx="22">
                  <c:v>0</c:v>
                </c:pt>
                <c:pt idx="23">
                  <c:v>0</c:v>
                </c:pt>
                <c:pt idx="24">
                  <c:v>0</c:v>
                </c:pt>
                <c:pt idx="25">
                  <c:v>0</c:v>
                </c:pt>
                <c:pt idx="26">
                  <c:v>0</c:v>
                </c:pt>
                <c:pt idx="27">
                  <c:v>0</c:v>
                </c:pt>
              </c:numCache>
            </c:numRef>
          </c:val>
        </c:ser>
        <c:ser>
          <c:idx val="2"/>
          <c:order val="2"/>
          <c:tx>
            <c:strRef>
              <c:f>'Chart 10 (2015)'!$H$47</c:f>
              <c:strCache>
                <c:ptCount val="1"/>
                <c:pt idx="0">
                  <c:v>&gt;60&lt;=75 mins</c:v>
                </c:pt>
              </c:strCache>
            </c:strRef>
          </c:tx>
          <c:spPr>
            <a:solidFill>
              <a:srgbClr val="FFFF99"/>
            </a:solidFill>
            <a:ln w="12700">
              <a:solidFill>
                <a:srgbClr val="000000"/>
              </a:solidFill>
              <a:prstDash val="solid"/>
            </a:ln>
          </c:spPr>
          <c:dPt>
            <c:idx val="0"/>
            <c:spPr>
              <a:solidFill>
                <a:srgbClr val="99CC00"/>
              </a:solidFill>
              <a:ln w="12700">
                <a:solidFill>
                  <a:srgbClr val="000000"/>
                </a:solidFill>
                <a:prstDash val="solid"/>
              </a:ln>
            </c:spPr>
          </c:dPt>
          <c:cat>
            <c:strRef>
              <c:f>'Chart 10 (2015)'!$P$48:$P$75</c:f>
              <c:strCache>
                <c:ptCount val="28"/>
                <c:pt idx="0">
                  <c:v>Scotland (n=933)</c:v>
                </c:pt>
                <c:pt idx="1">
                  <c:v>Hairmyres (n=26)</c:v>
                </c:pt>
                <c:pt idx="2">
                  <c:v>ARI (n=152)</c:v>
                </c:pt>
                <c:pt idx="3">
                  <c:v>Crosshouse (n=31)</c:v>
                </c:pt>
                <c:pt idx="4">
                  <c:v>RIE (n=85)</c:v>
                </c:pt>
                <c:pt idx="5">
                  <c:v>SJH (n=26)</c:v>
                </c:pt>
                <c:pt idx="6">
                  <c:v>Wishaw (n=47)</c:v>
                </c:pt>
                <c:pt idx="7">
                  <c:v>Monklands (n=39)</c:v>
                </c:pt>
                <c:pt idx="8">
                  <c:v>Ninewells (n=52)</c:v>
                </c:pt>
                <c:pt idx="9">
                  <c:v>Ayr (n=11)</c:v>
                </c:pt>
                <c:pt idx="10">
                  <c:v>DGRI (n=26)</c:v>
                </c:pt>
                <c:pt idx="11">
                  <c:v>PRI (n=26)</c:v>
                </c:pt>
                <c:pt idx="12">
                  <c:v>VHK (n=57)</c:v>
                </c:pt>
                <c:pt idx="13">
                  <c:v>Western Isles (n=8)</c:v>
                </c:pt>
                <c:pt idx="14">
                  <c:v>Caithness (n=11)</c:v>
                </c:pt>
                <c:pt idx="15">
                  <c:v>FVRH (n=39)</c:v>
                </c:pt>
                <c:pt idx="16">
                  <c:v>GCH (n=8)</c:v>
                </c:pt>
                <c:pt idx="17">
                  <c:v>Raigmore (n=21)</c:v>
                </c:pt>
                <c:pt idx="18">
                  <c:v>QEUH (n=226)</c:v>
                </c:pt>
                <c:pt idx="19">
                  <c:v>Borders (n=10)</c:v>
                </c:pt>
                <c:pt idx="20">
                  <c:v>WGH (n=11)</c:v>
                </c:pt>
                <c:pt idx="21">
                  <c:v>Dr Grays (n=8)</c:v>
                </c:pt>
                <c:pt idx="22">
                  <c:v>GRI (n=1)</c:v>
                </c:pt>
                <c:pt idx="23">
                  <c:v>RAH (n=2)</c:v>
                </c:pt>
                <c:pt idx="24">
                  <c:v>Belford (n=3)</c:v>
                </c:pt>
                <c:pt idx="25">
                  <c:v>L&amp;I (n=3)</c:v>
                </c:pt>
                <c:pt idx="26">
                  <c:v>Balfour (n=2)</c:v>
                </c:pt>
                <c:pt idx="27">
                  <c:v>Gilbert Bain (n=2)</c:v>
                </c:pt>
              </c:strCache>
            </c:strRef>
          </c:cat>
          <c:val>
            <c:numRef>
              <c:f>'Chart 10 (2015)'!$H$48:$H$75</c:f>
              <c:numCache>
                <c:formatCode>0</c:formatCode>
                <c:ptCount val="28"/>
                <c:pt idx="0">
                  <c:v>14.147909967845671</c:v>
                </c:pt>
                <c:pt idx="1">
                  <c:v>15.384615384615387</c:v>
                </c:pt>
                <c:pt idx="2">
                  <c:v>8.5526315789473699</c:v>
                </c:pt>
                <c:pt idx="3">
                  <c:v>12.903225806451616</c:v>
                </c:pt>
                <c:pt idx="4">
                  <c:v>7.058823529411768</c:v>
                </c:pt>
                <c:pt idx="5">
                  <c:v>11.538461538461547</c:v>
                </c:pt>
                <c:pt idx="6">
                  <c:v>10.638297872340431</c:v>
                </c:pt>
                <c:pt idx="7">
                  <c:v>15.384615384615387</c:v>
                </c:pt>
                <c:pt idx="8">
                  <c:v>9.6153846153846061</c:v>
                </c:pt>
                <c:pt idx="9">
                  <c:v>18.181818181818194</c:v>
                </c:pt>
                <c:pt idx="10">
                  <c:v>15.384615384615387</c:v>
                </c:pt>
                <c:pt idx="11">
                  <c:v>11.53846153846154</c:v>
                </c:pt>
                <c:pt idx="12">
                  <c:v>15.789473684210527</c:v>
                </c:pt>
                <c:pt idx="13">
                  <c:v>12.5</c:v>
                </c:pt>
                <c:pt idx="14">
                  <c:v>27.27272727272727</c:v>
                </c:pt>
                <c:pt idx="15">
                  <c:v>23.076923076923077</c:v>
                </c:pt>
                <c:pt idx="16">
                  <c:v>50</c:v>
                </c:pt>
                <c:pt idx="17">
                  <c:v>28.571428571428566</c:v>
                </c:pt>
                <c:pt idx="18">
                  <c:v>18.141592920353983</c:v>
                </c:pt>
                <c:pt idx="19">
                  <c:v>40</c:v>
                </c:pt>
                <c:pt idx="20">
                  <c:v>0</c:v>
                </c:pt>
                <c:pt idx="21">
                  <c:v>0</c:v>
                </c:pt>
                <c:pt idx="22">
                  <c:v>0</c:v>
                </c:pt>
                <c:pt idx="23">
                  <c:v>0</c:v>
                </c:pt>
                <c:pt idx="24">
                  <c:v>0</c:v>
                </c:pt>
                <c:pt idx="25">
                  <c:v>0</c:v>
                </c:pt>
                <c:pt idx="26">
                  <c:v>0</c:v>
                </c:pt>
                <c:pt idx="27">
                  <c:v>0</c:v>
                </c:pt>
              </c:numCache>
            </c:numRef>
          </c:val>
        </c:ser>
        <c:overlap val="100"/>
        <c:axId val="96051584"/>
        <c:axId val="96053120"/>
      </c:barChart>
      <c:scatterChart>
        <c:scatterStyle val="smoothMarker"/>
        <c:ser>
          <c:idx val="3"/>
          <c:order val="3"/>
          <c:tx>
            <c:v>Stroke Standard (2013)</c:v>
          </c:tx>
          <c:spPr>
            <a:ln w="28575">
              <a:solidFill>
                <a:srgbClr val="0070C0"/>
              </a:solidFill>
            </a:ln>
          </c:spPr>
          <c:marker>
            <c:symbol val="none"/>
          </c:marker>
          <c:yVal>
            <c:numRef>
              <c:f>'Chart 10 (2015)'!$I$48:$I$75</c:f>
              <c:numCache>
                <c:formatCode>General</c:formatCode>
                <c:ptCount val="28"/>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numCache>
            </c:numRef>
          </c:yVal>
          <c:smooth val="1"/>
        </c:ser>
        <c:axId val="96060928"/>
        <c:axId val="96059392"/>
      </c:scatterChart>
      <c:catAx>
        <c:axId val="96051584"/>
        <c:scaling>
          <c:orientation val="minMax"/>
        </c:scaling>
        <c:axPos val="b"/>
        <c:numFmt formatCode="General" sourceLinked="1"/>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96053120"/>
        <c:crosses val="autoZero"/>
        <c:auto val="1"/>
        <c:lblAlgn val="ctr"/>
        <c:lblOffset val="100"/>
        <c:tickLblSkip val="1"/>
        <c:tickMarkSkip val="1"/>
      </c:catAx>
      <c:valAx>
        <c:axId val="96053120"/>
        <c:scaling>
          <c:orientation val="minMax"/>
          <c:max val="100"/>
        </c:scaling>
        <c:axPos val="l"/>
        <c:title>
          <c:tx>
            <c:rich>
              <a:bodyPr rot="0" vert="horz"/>
              <a:lstStyle/>
              <a:p>
                <a:pPr algn="ctr">
                  <a:defRPr sz="800" b="0" i="0" u="none" strike="noStrike" baseline="0">
                    <a:solidFill>
                      <a:srgbClr val="000000"/>
                    </a:solidFill>
                    <a:latin typeface="Arial"/>
                    <a:ea typeface="Arial"/>
                    <a:cs typeface="Arial"/>
                  </a:defRPr>
                </a:pPr>
                <a:r>
                  <a:rPr lang="en-GB"/>
                  <a:t>%</a:t>
                </a:r>
              </a:p>
            </c:rich>
          </c:tx>
          <c:layout>
            <c:manualLayout>
              <c:xMode val="edge"/>
              <c:yMode val="edge"/>
              <c:x val="1.2345679012345723E-2"/>
              <c:y val="0.38133916830377096"/>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6051584"/>
        <c:crosses val="autoZero"/>
        <c:crossBetween val="between"/>
      </c:valAx>
      <c:valAx>
        <c:axId val="96059392"/>
        <c:scaling>
          <c:orientation val="minMax"/>
          <c:max val="100"/>
          <c:min val="0"/>
        </c:scaling>
        <c:delete val="1"/>
        <c:axPos val="l"/>
        <c:numFmt formatCode="General" sourceLinked="1"/>
        <c:tickLblPos val="none"/>
        <c:crossAx val="96060928"/>
        <c:crossesAt val="27"/>
        <c:crossBetween val="midCat"/>
      </c:valAx>
      <c:valAx>
        <c:axId val="96060928"/>
        <c:scaling>
          <c:orientation val="minMax"/>
          <c:max val="26"/>
          <c:min val="1"/>
        </c:scaling>
        <c:delete val="1"/>
        <c:axPos val="t"/>
        <c:tickLblPos val="none"/>
        <c:crossAx val="96059392"/>
        <c:crosses val="max"/>
        <c:crossBetween val="midCat"/>
        <c:majorUnit val="1"/>
      </c:valAx>
      <c:spPr>
        <a:solidFill>
          <a:srgbClr val="FFFFFF"/>
        </a:solidFill>
        <a:ln w="12700">
          <a:solidFill>
            <a:srgbClr val="808080"/>
          </a:solidFill>
          <a:prstDash val="solid"/>
        </a:ln>
      </c:spPr>
    </c:plotArea>
    <c:legend>
      <c:legendPos val="r"/>
      <c:layout>
        <c:manualLayout>
          <c:xMode val="edge"/>
          <c:yMode val="edge"/>
          <c:x val="0.89038533482977933"/>
          <c:y val="0.31034482758621496"/>
          <c:w val="0.10512532734755194"/>
          <c:h val="0.35666916888938582"/>
        </c:manualLayout>
      </c:layout>
      <c:spPr>
        <a:solidFill>
          <a:srgbClr val="FFFFFF"/>
        </a:solidFill>
        <a:ln w="3175">
          <a:solidFill>
            <a:srgbClr val="000000"/>
          </a:solidFill>
          <a:prstDash val="solid"/>
        </a:ln>
      </c:spPr>
      <c:txPr>
        <a:bodyPr/>
        <a:lstStyle/>
        <a:p>
          <a:pPr>
            <a:defRPr sz="58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&amp;L&amp;8Scottish Stroke Care Audit 2011 National Report
Stroke Services in Scottish Hospitals, Data relating to 2010&amp;R&amp;8© NHS National Services Scotland/Crown Copyright</c:oddFooter>
    </c:headerFooter>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354302433470273E-2"/>
          <c:y val="6.2753036437250123E-2"/>
          <c:w val="0.79148025388449295"/>
          <c:h val="0.78137651821862353"/>
        </c:manualLayout>
      </c:layout>
      <c:barChart>
        <c:barDir val="col"/>
        <c:grouping val="clustered"/>
        <c:ser>
          <c:idx val="1"/>
          <c:order val="1"/>
          <c:tx>
            <c:strRef>
              <c:f>'Chart 12'!$E$42</c:f>
              <c:strCache>
                <c:ptCount val="1"/>
                <c:pt idx="0">
                  <c:v>2015 &lt;=14 days</c:v>
                </c:pt>
              </c:strCache>
            </c:strRef>
          </c:tx>
          <c:spPr>
            <a:solidFill>
              <a:srgbClr val="9999FF"/>
            </a:solidFill>
            <a:ln>
              <a:solidFill>
                <a:prstClr val="black"/>
              </a:solidFill>
            </a:ln>
          </c:spPr>
          <c:dPt>
            <c:idx val="0"/>
            <c:spPr>
              <a:solidFill>
                <a:srgbClr val="99CC00"/>
              </a:solidFill>
              <a:ln>
                <a:solidFill>
                  <a:prstClr val="black"/>
                </a:solidFill>
              </a:ln>
            </c:spPr>
          </c:dPt>
          <c:dPt>
            <c:idx val="9"/>
            <c:spPr>
              <a:solidFill>
                <a:srgbClr val="9999FF"/>
              </a:solidFill>
              <a:ln w="9525">
                <a:solidFill>
                  <a:prstClr val="black"/>
                </a:solidFill>
              </a:ln>
            </c:spPr>
          </c:dPt>
          <c:cat>
            <c:strRef>
              <c:f>'Chart 12'!$C$43:$C$53</c:f>
              <c:strCache>
                <c:ptCount val="11"/>
                <c:pt idx="0">
                  <c:v>Scotland (n=387)</c:v>
                </c:pt>
                <c:pt idx="1">
                  <c:v>ARI (n=36)</c:v>
                </c:pt>
                <c:pt idx="2">
                  <c:v>RIE (n=58)</c:v>
                </c:pt>
                <c:pt idx="3">
                  <c:v>QEUH (n=100)</c:v>
                </c:pt>
                <c:pt idx="4">
                  <c:v>Ayr (n=37)</c:v>
                </c:pt>
                <c:pt idx="5">
                  <c:v>Ninewells (n=26)</c:v>
                </c:pt>
                <c:pt idx="6">
                  <c:v>Hairmyres (n=50)</c:v>
                </c:pt>
                <c:pt idx="7">
                  <c:v>FVRH (n=26)</c:v>
                </c:pt>
                <c:pt idx="8">
                  <c:v>VHK (n=5)</c:v>
                </c:pt>
                <c:pt idx="9">
                  <c:v>Raigmore (n=27)</c:v>
                </c:pt>
                <c:pt idx="10">
                  <c:v>DGRI (n=22)</c:v>
                </c:pt>
              </c:strCache>
            </c:strRef>
          </c:cat>
          <c:val>
            <c:numRef>
              <c:f>'Chart 12'!$E$43:$E$53</c:f>
              <c:numCache>
                <c:formatCode>0</c:formatCode>
                <c:ptCount val="11"/>
                <c:pt idx="0">
                  <c:v>41.414141414141412</c:v>
                </c:pt>
                <c:pt idx="1">
                  <c:v>53.333333333333336</c:v>
                </c:pt>
                <c:pt idx="2">
                  <c:v>57.407407407407405</c:v>
                </c:pt>
                <c:pt idx="3">
                  <c:v>37.254901960784316</c:v>
                </c:pt>
                <c:pt idx="4">
                  <c:v>52</c:v>
                </c:pt>
                <c:pt idx="5">
                  <c:v>77.777777777777786</c:v>
                </c:pt>
                <c:pt idx="6">
                  <c:v>31.746031746031743</c:v>
                </c:pt>
                <c:pt idx="7">
                  <c:v>35.483870967741936</c:v>
                </c:pt>
                <c:pt idx="8">
                  <c:v>33.333333333333329</c:v>
                </c:pt>
                <c:pt idx="9">
                  <c:v>3.8461538461538463</c:v>
                </c:pt>
                <c:pt idx="10">
                  <c:v>34.482758620689658</c:v>
                </c:pt>
              </c:numCache>
            </c:numRef>
          </c:val>
        </c:ser>
        <c:ser>
          <c:idx val="2"/>
          <c:order val="2"/>
          <c:tx>
            <c:strRef>
              <c:f>'Chart 12'!$F$42</c:f>
              <c:strCache>
                <c:ptCount val="1"/>
                <c:pt idx="0">
                  <c:v>2016 &lt;=14 days</c:v>
                </c:pt>
              </c:strCache>
            </c:strRef>
          </c:tx>
          <c:spPr>
            <a:solidFill>
              <a:srgbClr val="993366"/>
            </a:solidFill>
            <a:ln>
              <a:solidFill>
                <a:prstClr val="black"/>
              </a:solidFill>
            </a:ln>
          </c:spPr>
          <c:dPt>
            <c:idx val="0"/>
            <c:spPr>
              <a:solidFill>
                <a:srgbClr val="008000"/>
              </a:solidFill>
              <a:ln>
                <a:solidFill>
                  <a:prstClr val="black"/>
                </a:solidFill>
              </a:ln>
            </c:spPr>
          </c:dPt>
          <c:dPt>
            <c:idx val="9"/>
            <c:spPr>
              <a:solidFill>
                <a:srgbClr val="993366"/>
              </a:solidFill>
              <a:ln w="9525">
                <a:solidFill>
                  <a:prstClr val="black"/>
                </a:solidFill>
              </a:ln>
            </c:spPr>
          </c:dPt>
          <c:cat>
            <c:strRef>
              <c:f>'Chart 12'!$C$43:$C$53</c:f>
              <c:strCache>
                <c:ptCount val="11"/>
                <c:pt idx="0">
                  <c:v>Scotland (n=387)</c:v>
                </c:pt>
                <c:pt idx="1">
                  <c:v>ARI (n=36)</c:v>
                </c:pt>
                <c:pt idx="2">
                  <c:v>RIE (n=58)</c:v>
                </c:pt>
                <c:pt idx="3">
                  <c:v>QEUH (n=100)</c:v>
                </c:pt>
                <c:pt idx="4">
                  <c:v>Ayr (n=37)</c:v>
                </c:pt>
                <c:pt idx="5">
                  <c:v>Ninewells (n=26)</c:v>
                </c:pt>
                <c:pt idx="6">
                  <c:v>Hairmyres (n=50)</c:v>
                </c:pt>
                <c:pt idx="7">
                  <c:v>FVRH (n=26)</c:v>
                </c:pt>
                <c:pt idx="8">
                  <c:v>VHK (n=5)</c:v>
                </c:pt>
                <c:pt idx="9">
                  <c:v>Raigmore (n=27)</c:v>
                </c:pt>
                <c:pt idx="10">
                  <c:v>DGRI (n=22)</c:v>
                </c:pt>
              </c:strCache>
            </c:strRef>
          </c:cat>
          <c:val>
            <c:numRef>
              <c:f>'Chart 12'!$F$43:$F$53</c:f>
              <c:numCache>
                <c:formatCode>0</c:formatCode>
                <c:ptCount val="11"/>
                <c:pt idx="0">
                  <c:v>45.478036175710592</c:v>
                </c:pt>
                <c:pt idx="1">
                  <c:v>80.555555555555557</c:v>
                </c:pt>
                <c:pt idx="2">
                  <c:v>60.344827586206897</c:v>
                </c:pt>
                <c:pt idx="3">
                  <c:v>50</c:v>
                </c:pt>
                <c:pt idx="4">
                  <c:v>48.648648648648653</c:v>
                </c:pt>
                <c:pt idx="5">
                  <c:v>38.461538461538467</c:v>
                </c:pt>
                <c:pt idx="6">
                  <c:v>36</c:v>
                </c:pt>
                <c:pt idx="7">
                  <c:v>34.615384615384613</c:v>
                </c:pt>
                <c:pt idx="8">
                  <c:v>20</c:v>
                </c:pt>
                <c:pt idx="9">
                  <c:v>14.814814814814813</c:v>
                </c:pt>
                <c:pt idx="10">
                  <c:v>9.0909090909090917</c:v>
                </c:pt>
              </c:numCache>
            </c:numRef>
          </c:val>
        </c:ser>
        <c:axId val="96287744"/>
        <c:axId val="96301824"/>
      </c:barChart>
      <c:scatterChart>
        <c:scatterStyle val="lineMarker"/>
        <c:ser>
          <c:idx val="0"/>
          <c:order val="0"/>
          <c:tx>
            <c:v>Stroke Standard (2013)</c:v>
          </c:tx>
          <c:spPr>
            <a:ln w="31750">
              <a:solidFill>
                <a:srgbClr val="0070C0"/>
              </a:solidFill>
              <a:prstDash val="solid"/>
            </a:ln>
          </c:spPr>
          <c:marker>
            <c:symbol val="none"/>
          </c:marker>
          <c:yVal>
            <c:numRef>
              <c:f>'Chart 12'!$G$43:$G$53</c:f>
              <c:numCache>
                <c:formatCode>0</c:formatCode>
                <c:ptCount val="11"/>
                <c:pt idx="0">
                  <c:v>80</c:v>
                </c:pt>
                <c:pt idx="1">
                  <c:v>80</c:v>
                </c:pt>
                <c:pt idx="2">
                  <c:v>80</c:v>
                </c:pt>
                <c:pt idx="3">
                  <c:v>80</c:v>
                </c:pt>
                <c:pt idx="4">
                  <c:v>80</c:v>
                </c:pt>
                <c:pt idx="5">
                  <c:v>80</c:v>
                </c:pt>
                <c:pt idx="6">
                  <c:v>80</c:v>
                </c:pt>
                <c:pt idx="7">
                  <c:v>80</c:v>
                </c:pt>
                <c:pt idx="8">
                  <c:v>80</c:v>
                </c:pt>
                <c:pt idx="9">
                  <c:v>80</c:v>
                </c:pt>
                <c:pt idx="10">
                  <c:v>80</c:v>
                </c:pt>
              </c:numCache>
            </c:numRef>
          </c:yVal>
        </c:ser>
        <c:axId val="96303744"/>
        <c:axId val="96321920"/>
      </c:scatterChart>
      <c:catAx>
        <c:axId val="96287744"/>
        <c:scaling>
          <c:orientation val="minMax"/>
        </c:scaling>
        <c:axPos val="b"/>
        <c:numFmt formatCode="General" sourceLinked="1"/>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6301824"/>
        <c:crosses val="autoZero"/>
        <c:auto val="1"/>
        <c:lblAlgn val="ctr"/>
        <c:lblOffset val="100"/>
        <c:tickLblSkip val="1"/>
        <c:tickMarkSkip val="1"/>
      </c:catAx>
      <c:valAx>
        <c:axId val="96301824"/>
        <c:scaling>
          <c:orientation val="minMax"/>
          <c:max val="100"/>
        </c:scaling>
        <c:axPos val="l"/>
        <c:title>
          <c:tx>
            <c:rich>
              <a:bodyPr rot="0" vert="horz"/>
              <a:lstStyle/>
              <a:p>
                <a:pPr algn="ctr">
                  <a:defRPr sz="800" b="0" i="0" u="none" strike="noStrike" baseline="0">
                    <a:solidFill>
                      <a:srgbClr val="000000"/>
                    </a:solidFill>
                    <a:latin typeface="Arial"/>
                    <a:ea typeface="Arial"/>
                    <a:cs typeface="Arial"/>
                  </a:defRPr>
                </a:pPr>
                <a:r>
                  <a:rPr lang="en-GB"/>
                  <a:t>%</a:t>
                </a:r>
              </a:p>
            </c:rich>
          </c:tx>
          <c:layout>
            <c:manualLayout>
              <c:xMode val="edge"/>
              <c:yMode val="edge"/>
              <c:x val="1.2331778199856223E-2"/>
              <c:y val="0.39473688739729279"/>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6287744"/>
        <c:crosses val="autoZero"/>
        <c:crossBetween val="between"/>
      </c:valAx>
      <c:valAx>
        <c:axId val="96303744"/>
        <c:scaling>
          <c:orientation val="minMax"/>
          <c:max val="10"/>
          <c:min val="1"/>
        </c:scaling>
        <c:delete val="1"/>
        <c:axPos val="t"/>
        <c:tickLblPos val="none"/>
        <c:crossAx val="96321920"/>
        <c:crosses val="max"/>
        <c:crossBetween val="midCat"/>
      </c:valAx>
      <c:valAx>
        <c:axId val="96321920"/>
        <c:scaling>
          <c:orientation val="minMax"/>
          <c:max val="100"/>
          <c:min val="0"/>
        </c:scaling>
        <c:delete val="1"/>
        <c:axPos val="r"/>
        <c:numFmt formatCode="0" sourceLinked="1"/>
        <c:tickLblPos val="none"/>
        <c:crossAx val="96303744"/>
        <c:crosses val="max"/>
        <c:crossBetween val="midCat"/>
      </c:valAx>
      <c:spPr>
        <a:ln w="12700">
          <a:solidFill>
            <a:schemeClr val="bg1">
              <a:lumMod val="50000"/>
            </a:schemeClr>
          </a:solidFill>
          <a:prstDash val="solid"/>
        </a:ln>
      </c:spPr>
    </c:plotArea>
    <c:legend>
      <c:legendPos val="r"/>
      <c:layout>
        <c:manualLayout>
          <c:xMode val="edge"/>
          <c:yMode val="edge"/>
          <c:x val="0.8768460909599417"/>
          <c:y val="0.32440320984469179"/>
          <c:w val="0.11269062678641012"/>
          <c:h val="0.22004582419000909"/>
        </c:manualLayout>
      </c:layout>
      <c:spPr>
        <a:no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443E-2"/>
          <c:y val="8.0232093304875005E-2"/>
          <c:w val="0.80311862477044349"/>
          <c:h val="0.72370482152729065"/>
        </c:manualLayout>
      </c:layout>
      <c:barChart>
        <c:barDir val="col"/>
        <c:grouping val="stacked"/>
        <c:ser>
          <c:idx val="3"/>
          <c:order val="0"/>
          <c:tx>
            <c:v>% Pre SU STay</c:v>
          </c:tx>
          <c:spPr>
            <a:solidFill>
              <a:srgbClr val="003366"/>
            </a:solidFill>
            <a:ln>
              <a:solidFill>
                <a:schemeClr val="tx1"/>
              </a:solidFill>
            </a:ln>
          </c:spPr>
          <c:dPt>
            <c:idx val="0"/>
            <c:spPr>
              <a:solidFill>
                <a:srgbClr val="008000"/>
              </a:solidFill>
              <a:ln>
                <a:solidFill>
                  <a:schemeClr val="tx1"/>
                </a:solidFill>
              </a:ln>
            </c:spPr>
          </c:dPt>
          <c:cat>
            <c:strRef>
              <c:f>'Chart 13 (2016) DATA'!$A$3:$A$32</c:f>
              <c:strCache>
                <c:ptCount val="30"/>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13 (2016) DATA'!$L$3:$L$32</c:f>
              <c:numCache>
                <c:formatCode>0</c:formatCode>
                <c:ptCount val="30"/>
                <c:pt idx="0">
                  <c:v>5.4601543777886636</c:v>
                </c:pt>
                <c:pt idx="1">
                  <c:v>12.618724559023068</c:v>
                </c:pt>
                <c:pt idx="2">
                  <c:v>1.7641804376953996</c:v>
                </c:pt>
                <c:pt idx="3">
                  <c:v>3.6893530997304582</c:v>
                </c:pt>
                <c:pt idx="4">
                  <c:v>5.6838365896980463</c:v>
                </c:pt>
                <c:pt idx="5">
                  <c:v>7.3260073260073263E-2</c:v>
                </c:pt>
                <c:pt idx="6">
                  <c:v>4.2461225527587088</c:v>
                </c:pt>
                <c:pt idx="7">
                  <c:v>6.2006246555208522</c:v>
                </c:pt>
                <c:pt idx="8">
                  <c:v>5.5004351610095741</c:v>
                </c:pt>
                <c:pt idx="9">
                  <c:v>6.9587628865979383</c:v>
                </c:pt>
                <c:pt idx="10">
                  <c:v>5.3051745409681397</c:v>
                </c:pt>
                <c:pt idx="11">
                  <c:v>7.1712158808932998</c:v>
                </c:pt>
                <c:pt idx="12">
                  <c:v>4.6678796194112211</c:v>
                </c:pt>
                <c:pt idx="13">
                  <c:v>8.1209991213756751</c:v>
                </c:pt>
                <c:pt idx="14">
                  <c:v>0.1669449081803005</c:v>
                </c:pt>
                <c:pt idx="15">
                  <c:v>0</c:v>
                </c:pt>
                <c:pt idx="16">
                  <c:v>9.6809680968096803</c:v>
                </c:pt>
                <c:pt idx="17">
                  <c:v>5.4863941831001437</c:v>
                </c:pt>
                <c:pt idx="18">
                  <c:v>6.9370111156854666</c:v>
                </c:pt>
                <c:pt idx="19">
                  <c:v>6.290322580645161</c:v>
                </c:pt>
                <c:pt idx="20">
                  <c:v>5.6950831269897417</c:v>
                </c:pt>
                <c:pt idx="21">
                  <c:v>5.4679802955665027</c:v>
                </c:pt>
                <c:pt idx="22">
                  <c:v>5.3874632963104814</c:v>
                </c:pt>
                <c:pt idx="23">
                  <c:v>10.561497326203209</c:v>
                </c:pt>
                <c:pt idx="24">
                  <c:v>3.6048064085447264</c:v>
                </c:pt>
                <c:pt idx="25">
                  <c:v>0.82742316784869974</c:v>
                </c:pt>
                <c:pt idx="26">
                  <c:v>7.7959776072983615</c:v>
                </c:pt>
                <c:pt idx="27">
                  <c:v>8.3774250440917104</c:v>
                </c:pt>
                <c:pt idx="28">
                  <c:v>0</c:v>
                </c:pt>
                <c:pt idx="29">
                  <c:v>3.5849056603773586</c:v>
                </c:pt>
              </c:numCache>
            </c:numRef>
          </c:val>
        </c:ser>
        <c:ser>
          <c:idx val="0"/>
          <c:order val="1"/>
          <c:tx>
            <c:v>% Acute/Integrated SU</c:v>
          </c:tx>
          <c:spPr>
            <a:solidFill>
              <a:srgbClr val="9999FF"/>
            </a:solidFill>
            <a:ln>
              <a:solidFill>
                <a:schemeClr val="tx1"/>
              </a:solidFill>
            </a:ln>
          </c:spPr>
          <c:dPt>
            <c:idx val="0"/>
            <c:spPr>
              <a:solidFill>
                <a:srgbClr val="FF0000"/>
              </a:solidFill>
              <a:ln>
                <a:solidFill>
                  <a:schemeClr val="tx1"/>
                </a:solidFill>
              </a:ln>
            </c:spPr>
          </c:dPt>
          <c:cat>
            <c:strRef>
              <c:f>'Chart 13 (2016) DATA'!$A$3:$A$32</c:f>
              <c:strCache>
                <c:ptCount val="30"/>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13 (2016) DATA'!$P$3:$P$32</c:f>
              <c:numCache>
                <c:formatCode>0</c:formatCode>
                <c:ptCount val="30"/>
                <c:pt idx="0">
                  <c:v>63.813457965373118</c:v>
                </c:pt>
                <c:pt idx="1">
                  <c:v>29.669832654907282</c:v>
                </c:pt>
                <c:pt idx="2">
                  <c:v>40.218847699866011</c:v>
                </c:pt>
                <c:pt idx="3">
                  <c:v>50.657008086253377</c:v>
                </c:pt>
                <c:pt idx="4">
                  <c:v>50.947306098283008</c:v>
                </c:pt>
                <c:pt idx="5">
                  <c:v>23.663003663003661</c:v>
                </c:pt>
                <c:pt idx="6">
                  <c:v>39.346554792779045</c:v>
                </c:pt>
                <c:pt idx="7">
                  <c:v>65.285688039684004</c:v>
                </c:pt>
                <c:pt idx="8">
                  <c:v>21.801566579634464</c:v>
                </c:pt>
                <c:pt idx="9">
                  <c:v>85.927835051546381</c:v>
                </c:pt>
                <c:pt idx="10">
                  <c:v>59.198780753320271</c:v>
                </c:pt>
                <c:pt idx="11">
                  <c:v>80</c:v>
                </c:pt>
                <c:pt idx="12">
                  <c:v>85.349121603483752</c:v>
                </c:pt>
                <c:pt idx="13">
                  <c:v>78.511359357349065</c:v>
                </c:pt>
                <c:pt idx="14">
                  <c:v>75.292153589315518</c:v>
                </c:pt>
                <c:pt idx="15">
                  <c:v>62.464985994397757</c:v>
                </c:pt>
                <c:pt idx="16">
                  <c:v>89.878987898789873</c:v>
                </c:pt>
                <c:pt idx="17">
                  <c:v>88.806874518012563</c:v>
                </c:pt>
                <c:pt idx="18">
                  <c:v>92.424866200082334</c:v>
                </c:pt>
                <c:pt idx="19">
                  <c:v>91.059907834101381</c:v>
                </c:pt>
                <c:pt idx="20">
                  <c:v>94.092677750265295</c:v>
                </c:pt>
                <c:pt idx="21">
                  <c:v>70.375142099280026</c:v>
                </c:pt>
                <c:pt idx="22">
                  <c:v>87.348397804161877</c:v>
                </c:pt>
                <c:pt idx="23">
                  <c:v>70.053475935828885</c:v>
                </c:pt>
                <c:pt idx="24">
                  <c:v>5.3404539385847798</c:v>
                </c:pt>
                <c:pt idx="25">
                  <c:v>99.172576832151307</c:v>
                </c:pt>
                <c:pt idx="26">
                  <c:v>49.761559195521457</c:v>
                </c:pt>
                <c:pt idx="27">
                  <c:v>90.02057613168725</c:v>
                </c:pt>
                <c:pt idx="28">
                  <c:v>0</c:v>
                </c:pt>
                <c:pt idx="29">
                  <c:v>96.226415094339629</c:v>
                </c:pt>
              </c:numCache>
            </c:numRef>
          </c:val>
        </c:ser>
        <c:ser>
          <c:idx val="1"/>
          <c:order val="2"/>
          <c:tx>
            <c:v>% Rehab SU</c:v>
          </c:tx>
          <c:spPr>
            <a:solidFill>
              <a:srgbClr val="993366"/>
            </a:solidFill>
            <a:ln>
              <a:solidFill>
                <a:prstClr val="black"/>
              </a:solidFill>
            </a:ln>
          </c:spPr>
          <c:dPt>
            <c:idx val="0"/>
            <c:spPr>
              <a:solidFill>
                <a:srgbClr val="FFC000"/>
              </a:solidFill>
              <a:ln>
                <a:solidFill>
                  <a:prstClr val="black"/>
                </a:solidFill>
              </a:ln>
            </c:spPr>
          </c:dPt>
          <c:cat>
            <c:strRef>
              <c:f>'Chart 13 (2016) DATA'!$A$3:$A$32</c:f>
              <c:strCache>
                <c:ptCount val="30"/>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13 (2016) DATA'!$R$3:$R$32</c:f>
              <c:numCache>
                <c:formatCode>0</c:formatCode>
                <c:ptCount val="30"/>
                <c:pt idx="0">
                  <c:v>25.75522867596111</c:v>
                </c:pt>
                <c:pt idx="1">
                  <c:v>52.329262777023963</c:v>
                </c:pt>
                <c:pt idx="2">
                  <c:v>57.01764180437695</c:v>
                </c:pt>
                <c:pt idx="3">
                  <c:v>0</c:v>
                </c:pt>
                <c:pt idx="4">
                  <c:v>34.103019538188278</c:v>
                </c:pt>
                <c:pt idx="5">
                  <c:v>74.505494505494511</c:v>
                </c:pt>
                <c:pt idx="6">
                  <c:v>53.527841342486646</c:v>
                </c:pt>
                <c:pt idx="7">
                  <c:v>28.137056770163515</c:v>
                </c:pt>
                <c:pt idx="8">
                  <c:v>63.820713664055702</c:v>
                </c:pt>
                <c:pt idx="9">
                  <c:v>0</c:v>
                </c:pt>
                <c:pt idx="10">
                  <c:v>33.398650119747444</c:v>
                </c:pt>
                <c:pt idx="11">
                  <c:v>12.729528535980151</c:v>
                </c:pt>
                <c:pt idx="12">
                  <c:v>7.2001670295582656</c:v>
                </c:pt>
                <c:pt idx="13">
                  <c:v>12.338395883017448</c:v>
                </c:pt>
                <c:pt idx="14">
                  <c:v>23.372287145242073</c:v>
                </c:pt>
                <c:pt idx="15">
                  <c:v>37.535014005602243</c:v>
                </c:pt>
                <c:pt idx="16">
                  <c:v>0</c:v>
                </c:pt>
                <c:pt idx="17">
                  <c:v>2.2033711578715434E-2</c:v>
                </c:pt>
                <c:pt idx="18">
                  <c:v>0</c:v>
                </c:pt>
                <c:pt idx="19">
                  <c:v>0</c:v>
                </c:pt>
                <c:pt idx="20">
                  <c:v>0</c:v>
                </c:pt>
                <c:pt idx="21">
                  <c:v>17.692307692307693</c:v>
                </c:pt>
                <c:pt idx="22">
                  <c:v>3.8299502106472615E-2</c:v>
                </c:pt>
                <c:pt idx="23">
                  <c:v>8.1049465240641716</c:v>
                </c:pt>
                <c:pt idx="24">
                  <c:v>87.716955941255009</c:v>
                </c:pt>
                <c:pt idx="25">
                  <c:v>0</c:v>
                </c:pt>
                <c:pt idx="26">
                  <c:v>40.586771718847189</c:v>
                </c:pt>
                <c:pt idx="27">
                  <c:v>0.26455026455026454</c:v>
                </c:pt>
                <c:pt idx="28">
                  <c:v>0</c:v>
                </c:pt>
                <c:pt idx="29">
                  <c:v>0</c:v>
                </c:pt>
              </c:numCache>
            </c:numRef>
          </c:val>
        </c:ser>
        <c:ser>
          <c:idx val="2"/>
          <c:order val="3"/>
          <c:tx>
            <c:v>% Post SU</c:v>
          </c:tx>
          <c:spPr>
            <a:solidFill>
              <a:srgbClr val="FFFCCC"/>
            </a:solidFill>
            <a:ln>
              <a:solidFill>
                <a:schemeClr val="tx1"/>
              </a:solidFill>
            </a:ln>
          </c:spPr>
          <c:dPt>
            <c:idx val="0"/>
            <c:spPr>
              <a:solidFill>
                <a:srgbClr val="99CC00"/>
              </a:solidFill>
              <a:ln>
                <a:solidFill>
                  <a:schemeClr val="tx1"/>
                </a:solidFill>
              </a:ln>
            </c:spPr>
          </c:dPt>
          <c:cat>
            <c:strRef>
              <c:f>'Chart 13 (2016) DATA'!$A$3:$A$32</c:f>
              <c:strCache>
                <c:ptCount val="30"/>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13 (2016) DATA'!$T$3:$T$32</c:f>
              <c:numCache>
                <c:formatCode>0</c:formatCode>
                <c:ptCount val="30"/>
                <c:pt idx="0">
                  <c:v>2.0380692625790537</c:v>
                </c:pt>
                <c:pt idx="1">
                  <c:v>0</c:v>
                </c:pt>
                <c:pt idx="2">
                  <c:v>0.19539973202322464</c:v>
                </c:pt>
                <c:pt idx="3">
                  <c:v>44.845013477088948</c:v>
                </c:pt>
                <c:pt idx="4">
                  <c:v>3.7300177619893424</c:v>
                </c:pt>
                <c:pt idx="5">
                  <c:v>0.29304029304029305</c:v>
                </c:pt>
                <c:pt idx="6">
                  <c:v>1.1187388761759471</c:v>
                </c:pt>
                <c:pt idx="7">
                  <c:v>9.1861106007716346E-3</c:v>
                </c:pt>
                <c:pt idx="8">
                  <c:v>1.9364664926022628</c:v>
                </c:pt>
                <c:pt idx="9">
                  <c:v>0.92783505154639179</c:v>
                </c:pt>
                <c:pt idx="10">
                  <c:v>0.77654401625662239</c:v>
                </c:pt>
                <c:pt idx="11">
                  <c:v>9.9255583126550861E-2</c:v>
                </c:pt>
                <c:pt idx="12">
                  <c:v>0.70092761058251563</c:v>
                </c:pt>
                <c:pt idx="13">
                  <c:v>0.58993347558679554</c:v>
                </c:pt>
                <c:pt idx="14">
                  <c:v>0</c:v>
                </c:pt>
                <c:pt idx="15">
                  <c:v>0</c:v>
                </c:pt>
                <c:pt idx="16">
                  <c:v>0</c:v>
                </c:pt>
                <c:pt idx="17">
                  <c:v>0.81524732841247105</c:v>
                </c:pt>
                <c:pt idx="18">
                  <c:v>2.0584602717167558E-2</c:v>
                </c:pt>
                <c:pt idx="19">
                  <c:v>0</c:v>
                </c:pt>
                <c:pt idx="20">
                  <c:v>0</c:v>
                </c:pt>
                <c:pt idx="21">
                  <c:v>1.0382720727548314</c:v>
                </c:pt>
                <c:pt idx="22">
                  <c:v>4.1491127282012004</c:v>
                </c:pt>
                <c:pt idx="23">
                  <c:v>1.6711229946524062E-2</c:v>
                </c:pt>
                <c:pt idx="24">
                  <c:v>0</c:v>
                </c:pt>
                <c:pt idx="25">
                  <c:v>0</c:v>
                </c:pt>
                <c:pt idx="26">
                  <c:v>0.77752436243002276</c:v>
                </c:pt>
                <c:pt idx="27">
                  <c:v>0.11757789535567313</c:v>
                </c:pt>
                <c:pt idx="28">
                  <c:v>0</c:v>
                </c:pt>
                <c:pt idx="29">
                  <c:v>0</c:v>
                </c:pt>
              </c:numCache>
            </c:numRef>
          </c:val>
        </c:ser>
        <c:ser>
          <c:idx val="4"/>
          <c:order val="4"/>
          <c:tx>
            <c:v>% Not SU</c:v>
          </c:tx>
          <c:spPr>
            <a:solidFill>
              <a:srgbClr val="CCFFFF"/>
            </a:solidFill>
            <a:ln>
              <a:solidFill>
                <a:schemeClr val="tx1"/>
              </a:solidFill>
            </a:ln>
          </c:spPr>
          <c:dPt>
            <c:idx val="0"/>
            <c:spPr>
              <a:solidFill>
                <a:srgbClr val="969696"/>
              </a:solidFill>
              <a:ln>
                <a:solidFill>
                  <a:schemeClr val="tx1"/>
                </a:solidFill>
              </a:ln>
            </c:spPr>
          </c:dPt>
          <c:cat>
            <c:strRef>
              <c:f>'Chart 13 (2016) DATA'!$A$3:$A$32</c:f>
              <c:strCache>
                <c:ptCount val="30"/>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13 (2016) DATA'!$V$3:$V$32</c:f>
              <c:numCache>
                <c:formatCode>0</c:formatCode>
                <c:ptCount val="30"/>
                <c:pt idx="0">
                  <c:v>2.9330897182980489</c:v>
                </c:pt>
                <c:pt idx="1">
                  <c:v>5.3821800090456806</c:v>
                </c:pt>
                <c:pt idx="2">
                  <c:v>0.80393032603841008</c:v>
                </c:pt>
                <c:pt idx="3">
                  <c:v>0.80862533692722371</c:v>
                </c:pt>
                <c:pt idx="4">
                  <c:v>5.5358200118413263</c:v>
                </c:pt>
                <c:pt idx="5">
                  <c:v>1.4652014652014651</c:v>
                </c:pt>
                <c:pt idx="6">
                  <c:v>1.7607424357996442</c:v>
                </c:pt>
                <c:pt idx="7">
                  <c:v>0.36744442403086536</c:v>
                </c:pt>
                <c:pt idx="8">
                  <c:v>6.9408181026979987</c:v>
                </c:pt>
                <c:pt idx="9">
                  <c:v>6.1855670103092786</c:v>
                </c:pt>
                <c:pt idx="10">
                  <c:v>1.3208505697075259</c:v>
                </c:pt>
                <c:pt idx="11">
                  <c:v>0</c:v>
                </c:pt>
                <c:pt idx="12">
                  <c:v>2.0819041369642379</c:v>
                </c:pt>
                <c:pt idx="13">
                  <c:v>0.43931216267101791</c:v>
                </c:pt>
                <c:pt idx="14">
                  <c:v>1.1686143572621035</c:v>
                </c:pt>
                <c:pt idx="15">
                  <c:v>0</c:v>
                </c:pt>
                <c:pt idx="16">
                  <c:v>0.44004400440044</c:v>
                </c:pt>
                <c:pt idx="17">
                  <c:v>4.8694502588961113</c:v>
                </c:pt>
                <c:pt idx="18">
                  <c:v>0.61753808151502676</c:v>
                </c:pt>
                <c:pt idx="19">
                  <c:v>2.6497695852534564</c:v>
                </c:pt>
                <c:pt idx="20">
                  <c:v>0.21223912274495935</c:v>
                </c:pt>
                <c:pt idx="21">
                  <c:v>5.4262978400909434</c:v>
                </c:pt>
                <c:pt idx="22">
                  <c:v>3.0767266692199668</c:v>
                </c:pt>
                <c:pt idx="23">
                  <c:v>11.26336898395722</c:v>
                </c:pt>
                <c:pt idx="24">
                  <c:v>3.3377837116154869</c:v>
                </c:pt>
                <c:pt idx="25">
                  <c:v>0</c:v>
                </c:pt>
                <c:pt idx="26">
                  <c:v>1.0781671159029651</c:v>
                </c:pt>
                <c:pt idx="27">
                  <c:v>1.2198706643151087</c:v>
                </c:pt>
                <c:pt idx="28">
                  <c:v>100</c:v>
                </c:pt>
                <c:pt idx="29">
                  <c:v>0.18867924528301888</c:v>
                </c:pt>
              </c:numCache>
            </c:numRef>
          </c:val>
        </c:ser>
        <c:overlap val="100"/>
        <c:axId val="96361856"/>
        <c:axId val="96384512"/>
      </c:barChart>
      <c:lineChart>
        <c:grouping val="standard"/>
        <c:ser>
          <c:idx val="5"/>
          <c:order val="5"/>
          <c:tx>
            <c:v>% Stayed in SU</c:v>
          </c:tx>
          <c:spPr>
            <a:ln>
              <a:noFill/>
            </a:ln>
          </c:spPr>
          <c:marker>
            <c:symbol val="square"/>
            <c:size val="8"/>
            <c:spPr>
              <a:noFill/>
              <a:ln>
                <a:solidFill>
                  <a:schemeClr val="tx1"/>
                </a:solidFill>
              </a:ln>
            </c:spPr>
          </c:marker>
          <c:cat>
            <c:strRef>
              <c:f>'Chart 13 (2016) DATA'!$A$3:$A$32</c:f>
              <c:strCache>
                <c:ptCount val="30"/>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13 (2016) DATA'!$E$3:$E$32</c:f>
              <c:numCache>
                <c:formatCode>#\ ###\ ##0</c:formatCode>
                <c:ptCount val="30"/>
                <c:pt idx="0">
                  <c:v>89.963775836352013</c:v>
                </c:pt>
                <c:pt idx="1">
                  <c:v>86.666666666666671</c:v>
                </c:pt>
                <c:pt idx="2">
                  <c:v>98.844672657252886</c:v>
                </c:pt>
                <c:pt idx="3">
                  <c:v>86.666666666666671</c:v>
                </c:pt>
                <c:pt idx="4">
                  <c:v>79.512195121951223</c:v>
                </c:pt>
                <c:pt idx="5">
                  <c:v>100</c:v>
                </c:pt>
                <c:pt idx="6">
                  <c:v>85.522388059701498</c:v>
                </c:pt>
                <c:pt idx="7">
                  <c:v>97.888675623800381</c:v>
                </c:pt>
                <c:pt idx="8">
                  <c:v>83.183183183183189</c:v>
                </c:pt>
                <c:pt idx="9">
                  <c:v>83.82352941176471</c:v>
                </c:pt>
                <c:pt idx="10">
                  <c:v>97.138314785373609</c:v>
                </c:pt>
                <c:pt idx="11">
                  <c:v>100</c:v>
                </c:pt>
                <c:pt idx="12">
                  <c:v>96.179966044142617</c:v>
                </c:pt>
                <c:pt idx="13">
                  <c:v>98.944591029023741</c:v>
                </c:pt>
                <c:pt idx="14">
                  <c:v>100</c:v>
                </c:pt>
                <c:pt idx="15">
                  <c:v>100</c:v>
                </c:pt>
                <c:pt idx="16">
                  <c:v>98.305084745762713</c:v>
                </c:pt>
                <c:pt idx="17">
                  <c:v>70.476190476190482</c:v>
                </c:pt>
                <c:pt idx="18">
                  <c:v>98.730158730158735</c:v>
                </c:pt>
                <c:pt idx="19">
                  <c:v>93.069306930693074</c:v>
                </c:pt>
                <c:pt idx="20">
                  <c:v>98.280802292263616</c:v>
                </c:pt>
                <c:pt idx="21">
                  <c:v>72.5</c:v>
                </c:pt>
                <c:pt idx="22">
                  <c:v>81.654676258992808</c:v>
                </c:pt>
                <c:pt idx="23">
                  <c:v>71.186440677966104</c:v>
                </c:pt>
                <c:pt idx="24">
                  <c:v>76.666666666666671</c:v>
                </c:pt>
                <c:pt idx="25">
                  <c:v>100</c:v>
                </c:pt>
                <c:pt idx="26">
                  <c:v>98.739495798319325</c:v>
                </c:pt>
                <c:pt idx="27">
                  <c:v>90.582959641255599</c:v>
                </c:pt>
                <c:pt idx="28">
                  <c:v>0</c:v>
                </c:pt>
                <c:pt idx="29">
                  <c:v>96.15384615384616</c:v>
                </c:pt>
              </c:numCache>
            </c:numRef>
          </c:val>
        </c:ser>
        <c:marker val="1"/>
        <c:axId val="96361856"/>
        <c:axId val="96384512"/>
      </c:lineChart>
      <c:catAx>
        <c:axId val="96361856"/>
        <c:scaling>
          <c:orientation val="minMax"/>
        </c:scaling>
        <c:axPos val="b"/>
        <c:tickLblPos val="nextTo"/>
        <c:txPr>
          <a:bodyPr rot="-5400000" vert="horz"/>
          <a:lstStyle/>
          <a:p>
            <a:pPr>
              <a:defRPr sz="800"/>
            </a:pPr>
            <a:endParaRPr lang="en-US"/>
          </a:p>
        </c:txPr>
        <c:crossAx val="96384512"/>
        <c:crosses val="autoZero"/>
        <c:auto val="1"/>
        <c:lblAlgn val="ctr"/>
        <c:lblOffset val="100"/>
      </c:catAx>
      <c:valAx>
        <c:axId val="96384512"/>
        <c:scaling>
          <c:orientation val="minMax"/>
          <c:max val="100"/>
        </c:scaling>
        <c:axPos val="l"/>
        <c:title>
          <c:tx>
            <c:rich>
              <a:bodyPr rot="0" vert="horz"/>
              <a:lstStyle/>
              <a:p>
                <a:pPr>
                  <a:defRPr b="0"/>
                </a:pPr>
                <a:r>
                  <a:rPr lang="en-GB" b="0"/>
                  <a:t>%</a:t>
                </a:r>
              </a:p>
            </c:rich>
          </c:tx>
        </c:title>
        <c:numFmt formatCode="0" sourceLinked="0"/>
        <c:tickLblPos val="nextTo"/>
        <c:txPr>
          <a:bodyPr/>
          <a:lstStyle/>
          <a:p>
            <a:pPr>
              <a:defRPr sz="800"/>
            </a:pPr>
            <a:endParaRPr lang="en-US"/>
          </a:p>
        </c:txPr>
        <c:crossAx val="96361856"/>
        <c:crosses val="autoZero"/>
        <c:crossBetween val="between"/>
      </c:valAx>
      <c:spPr>
        <a:ln>
          <a:solidFill>
            <a:schemeClr val="tx1"/>
          </a:solidFill>
        </a:ln>
      </c:spPr>
    </c:plotArea>
    <c:legend>
      <c:legendPos val="r"/>
      <c:layout>
        <c:manualLayout>
          <c:xMode val="edge"/>
          <c:yMode val="edge"/>
          <c:x val="0.87215981214028693"/>
          <c:y val="0.33652773666450125"/>
          <c:w val="0.11801170839046538"/>
          <c:h val="0.32694452667100832"/>
        </c:manualLayout>
      </c:layout>
      <c:spPr>
        <a:ln>
          <a:solidFill>
            <a:schemeClr val="tx1"/>
          </a:solidFill>
        </a:ln>
      </c:spPr>
      <c:txPr>
        <a:bodyPr/>
        <a:lstStyle/>
        <a:p>
          <a:pPr>
            <a:defRPr sz="8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933" l="0.70000000000000062" r="0.70000000000000062" t="0.7500000000000093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485E-2"/>
          <c:y val="8.0232093304875005E-2"/>
          <c:w val="0.80311862477044349"/>
          <c:h val="0.72370482152729065"/>
        </c:manualLayout>
      </c:layout>
      <c:barChart>
        <c:barDir val="col"/>
        <c:grouping val="stacked"/>
        <c:ser>
          <c:idx val="3"/>
          <c:order val="0"/>
          <c:tx>
            <c:v>% Pre SU STay</c:v>
          </c:tx>
          <c:spPr>
            <a:solidFill>
              <a:srgbClr val="003366"/>
            </a:solidFill>
            <a:ln>
              <a:solidFill>
                <a:schemeClr val="tx1"/>
              </a:solidFill>
            </a:ln>
          </c:spPr>
          <c:dPt>
            <c:idx val="0"/>
            <c:spPr>
              <a:solidFill>
                <a:srgbClr val="008000"/>
              </a:solidFill>
              <a:ln>
                <a:solidFill>
                  <a:schemeClr val="tx1"/>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DATA'!$L$3:$L$31</c:f>
              <c:numCache>
                <c:formatCode>0</c:formatCode>
                <c:ptCount val="29"/>
                <c:pt idx="0">
                  <c:v>5.4511320306654181</c:v>
                </c:pt>
                <c:pt idx="1">
                  <c:v>5.6594948550046773</c:v>
                </c:pt>
                <c:pt idx="2">
                  <c:v>2.4060295680742101</c:v>
                </c:pt>
                <c:pt idx="3">
                  <c:v>3.7916583516264217</c:v>
                </c:pt>
                <c:pt idx="4">
                  <c:v>7.7690288713910762</c:v>
                </c:pt>
                <c:pt idx="5">
                  <c:v>0.98765432098765427</c:v>
                </c:pt>
                <c:pt idx="6">
                  <c:v>3.8239159001314063</c:v>
                </c:pt>
                <c:pt idx="7">
                  <c:v>5.3832413121143228</c:v>
                </c:pt>
                <c:pt idx="8">
                  <c:v>5.1812659220066628</c:v>
                </c:pt>
                <c:pt idx="9">
                  <c:v>7.4766355140186906</c:v>
                </c:pt>
                <c:pt idx="10">
                  <c:v>7.5139823295776926</c:v>
                </c:pt>
                <c:pt idx="11">
                  <c:v>6.9957884885353305</c:v>
                </c:pt>
                <c:pt idx="12">
                  <c:v>4.9025379382522241</c:v>
                </c:pt>
                <c:pt idx="13">
                  <c:v>6.5785652047632883</c:v>
                </c:pt>
                <c:pt idx="14">
                  <c:v>0.13458950201884254</c:v>
                </c:pt>
                <c:pt idx="15">
                  <c:v>7.9808459696727854E-2</c:v>
                </c:pt>
                <c:pt idx="16">
                  <c:v>1.6887816646562124</c:v>
                </c:pt>
                <c:pt idx="17">
                  <c:v>6.3807652294532415</c:v>
                </c:pt>
                <c:pt idx="18">
                  <c:v>7.9441582183812534</c:v>
                </c:pt>
                <c:pt idx="19">
                  <c:v>8.6239695624603687</c:v>
                </c:pt>
                <c:pt idx="20">
                  <c:v>6.9442484121383208</c:v>
                </c:pt>
                <c:pt idx="21">
                  <c:v>5.2883655956894833</c:v>
                </c:pt>
                <c:pt idx="22">
                  <c:v>5.3124581827913824</c:v>
                </c:pt>
                <c:pt idx="23">
                  <c:v>9.2851175557942476</c:v>
                </c:pt>
                <c:pt idx="24">
                  <c:v>2.6190476190476191</c:v>
                </c:pt>
                <c:pt idx="25">
                  <c:v>0.14749262536873156</c:v>
                </c:pt>
                <c:pt idx="26">
                  <c:v>4.6821094135041896</c:v>
                </c:pt>
                <c:pt idx="27">
                  <c:v>5.1715881883479646</c:v>
                </c:pt>
                <c:pt idx="28">
                  <c:v>3.0346820809248554</c:v>
                </c:pt>
              </c:numCache>
            </c:numRef>
          </c:val>
        </c:ser>
        <c:ser>
          <c:idx val="0"/>
          <c:order val="1"/>
          <c:tx>
            <c:v>% Acute/Integrated SU</c:v>
          </c:tx>
          <c:spPr>
            <a:solidFill>
              <a:srgbClr val="9999FF"/>
            </a:solidFill>
            <a:ln>
              <a:solidFill>
                <a:schemeClr val="tx1"/>
              </a:solidFill>
            </a:ln>
          </c:spPr>
          <c:dPt>
            <c:idx val="0"/>
            <c:spPr>
              <a:solidFill>
                <a:srgbClr val="FF0000"/>
              </a:solidFill>
              <a:ln>
                <a:solidFill>
                  <a:schemeClr val="tx1"/>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DATA'!$P$3:$P$31</c:f>
              <c:numCache>
                <c:formatCode>0</c:formatCode>
                <c:ptCount val="29"/>
                <c:pt idx="0">
                  <c:v>59.201641702100972</c:v>
                </c:pt>
                <c:pt idx="1">
                  <c:v>40.177736202058</c:v>
                </c:pt>
                <c:pt idx="2">
                  <c:v>45.463329790317907</c:v>
                </c:pt>
                <c:pt idx="3">
                  <c:v>47.794851327080423</c:v>
                </c:pt>
                <c:pt idx="4">
                  <c:v>52.28346456692914</c:v>
                </c:pt>
                <c:pt idx="5">
                  <c:v>33.333333333333329</c:v>
                </c:pt>
                <c:pt idx="6">
                  <c:v>37.339027595269378</c:v>
                </c:pt>
                <c:pt idx="7">
                  <c:v>68.650535888275414</c:v>
                </c:pt>
                <c:pt idx="8">
                  <c:v>20.086223789927494</c:v>
                </c:pt>
                <c:pt idx="9">
                  <c:v>82.056074766355138</c:v>
                </c:pt>
                <c:pt idx="10">
                  <c:v>53.546243008835212</c:v>
                </c:pt>
                <c:pt idx="11">
                  <c:v>84.043051006083289</c:v>
                </c:pt>
                <c:pt idx="12">
                  <c:v>65.642987964416534</c:v>
                </c:pt>
                <c:pt idx="13">
                  <c:v>85.477781004937555</c:v>
                </c:pt>
                <c:pt idx="14">
                  <c:v>51.54777927321669</c:v>
                </c:pt>
                <c:pt idx="15">
                  <c:v>25.857940941739827</c:v>
                </c:pt>
                <c:pt idx="16">
                  <c:v>95.898673100120618</c:v>
                </c:pt>
                <c:pt idx="17">
                  <c:v>81.37787539012831</c:v>
                </c:pt>
                <c:pt idx="18">
                  <c:v>89.778959614425787</c:v>
                </c:pt>
                <c:pt idx="19">
                  <c:v>88.247727753117729</c:v>
                </c:pt>
                <c:pt idx="20">
                  <c:v>92.194777699364863</c:v>
                </c:pt>
                <c:pt idx="21">
                  <c:v>56.695270405108758</c:v>
                </c:pt>
                <c:pt idx="22">
                  <c:v>86.5114411882778</c:v>
                </c:pt>
                <c:pt idx="23">
                  <c:v>71.201814058956913</c:v>
                </c:pt>
                <c:pt idx="24">
                  <c:v>13.095238095238097</c:v>
                </c:pt>
                <c:pt idx="25">
                  <c:v>99.852507374631273</c:v>
                </c:pt>
                <c:pt idx="26">
                  <c:v>57.503696402168558</c:v>
                </c:pt>
                <c:pt idx="27">
                  <c:v>91.588188347964888</c:v>
                </c:pt>
                <c:pt idx="28">
                  <c:v>94.075144508670519</c:v>
                </c:pt>
              </c:numCache>
            </c:numRef>
          </c:val>
        </c:ser>
        <c:ser>
          <c:idx val="1"/>
          <c:order val="2"/>
          <c:tx>
            <c:v>% Rehab SU</c:v>
          </c:tx>
          <c:spPr>
            <a:solidFill>
              <a:srgbClr val="993366"/>
            </a:solidFill>
            <a:ln>
              <a:solidFill>
                <a:prstClr val="black"/>
              </a:solidFill>
            </a:ln>
          </c:spPr>
          <c:dPt>
            <c:idx val="0"/>
            <c:spPr>
              <a:solidFill>
                <a:srgbClr val="FFC000"/>
              </a:solidFill>
              <a:ln>
                <a:solidFill>
                  <a:prstClr val="black"/>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DATA'!$R$3:$R$31</c:f>
              <c:numCache>
                <c:formatCode>0</c:formatCode>
                <c:ptCount val="29"/>
                <c:pt idx="0">
                  <c:v>29.547053314992628</c:v>
                </c:pt>
                <c:pt idx="1">
                  <c:v>51.948861864671038</c:v>
                </c:pt>
                <c:pt idx="2">
                  <c:v>50.74886462460141</c:v>
                </c:pt>
                <c:pt idx="3">
                  <c:v>4.5699461185392138</c:v>
                </c:pt>
                <c:pt idx="4">
                  <c:v>31.338582677165356</c:v>
                </c:pt>
                <c:pt idx="5">
                  <c:v>63.333333333333329</c:v>
                </c:pt>
                <c:pt idx="6">
                  <c:v>54.645203679369246</c:v>
                </c:pt>
                <c:pt idx="7">
                  <c:v>23.026956804157194</c:v>
                </c:pt>
                <c:pt idx="8">
                  <c:v>61.622574955908291</c:v>
                </c:pt>
                <c:pt idx="9">
                  <c:v>5.0467289719626169</c:v>
                </c:pt>
                <c:pt idx="10">
                  <c:v>37.553700251276645</c:v>
                </c:pt>
                <c:pt idx="11">
                  <c:v>6.6214319138979878</c:v>
                </c:pt>
                <c:pt idx="12">
                  <c:v>28.205128205128204</c:v>
                </c:pt>
                <c:pt idx="13">
                  <c:v>7.4208539064769097</c:v>
                </c:pt>
                <c:pt idx="14">
                  <c:v>45.087483176312247</c:v>
                </c:pt>
                <c:pt idx="15">
                  <c:v>73.982442138866716</c:v>
                </c:pt>
                <c:pt idx="16">
                  <c:v>2.4125452352231602</c:v>
                </c:pt>
                <c:pt idx="17">
                  <c:v>2.4159056756444341</c:v>
                </c:pt>
                <c:pt idx="18">
                  <c:v>1.1799900282532825</c:v>
                </c:pt>
                <c:pt idx="19">
                  <c:v>0</c:v>
                </c:pt>
                <c:pt idx="20">
                  <c:v>0</c:v>
                </c:pt>
                <c:pt idx="21">
                  <c:v>29.918180003991218</c:v>
                </c:pt>
                <c:pt idx="22">
                  <c:v>0</c:v>
                </c:pt>
                <c:pt idx="23">
                  <c:v>10.060866451843896</c:v>
                </c:pt>
                <c:pt idx="24">
                  <c:v>81.547619047619051</c:v>
                </c:pt>
                <c:pt idx="25">
                  <c:v>0</c:v>
                </c:pt>
                <c:pt idx="26">
                  <c:v>35.448496796451458</c:v>
                </c:pt>
                <c:pt idx="27">
                  <c:v>0.41500399042298486</c:v>
                </c:pt>
                <c:pt idx="28">
                  <c:v>0</c:v>
                </c:pt>
              </c:numCache>
            </c:numRef>
          </c:val>
        </c:ser>
        <c:ser>
          <c:idx val="2"/>
          <c:order val="3"/>
          <c:tx>
            <c:v>% Post SU</c:v>
          </c:tx>
          <c:spPr>
            <a:solidFill>
              <a:srgbClr val="FFFCCC"/>
            </a:solidFill>
            <a:ln>
              <a:solidFill>
                <a:schemeClr val="tx1"/>
              </a:solidFill>
            </a:ln>
          </c:spPr>
          <c:dPt>
            <c:idx val="0"/>
            <c:spPr>
              <a:solidFill>
                <a:srgbClr val="99CC00"/>
              </a:solidFill>
              <a:ln>
                <a:solidFill>
                  <a:schemeClr val="tx1"/>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DATA'!$T$3:$T$31</c:f>
              <c:numCache>
                <c:formatCode>0</c:formatCode>
                <c:ptCount val="29"/>
                <c:pt idx="0">
                  <c:v>1.8455706751858343</c:v>
                </c:pt>
                <c:pt idx="1">
                  <c:v>0.46772684752104771</c:v>
                </c:pt>
                <c:pt idx="2">
                  <c:v>0</c:v>
                </c:pt>
                <c:pt idx="3">
                  <c:v>42.1273198962283</c:v>
                </c:pt>
                <c:pt idx="4">
                  <c:v>1.0761154855643045</c:v>
                </c:pt>
                <c:pt idx="5">
                  <c:v>2.3456790123456792</c:v>
                </c:pt>
                <c:pt idx="6">
                  <c:v>1.8528252299605783</c:v>
                </c:pt>
                <c:pt idx="7">
                  <c:v>0.52776875608963947</c:v>
                </c:pt>
                <c:pt idx="8">
                  <c:v>3.0452674897119345</c:v>
                </c:pt>
                <c:pt idx="9">
                  <c:v>0</c:v>
                </c:pt>
                <c:pt idx="10">
                  <c:v>0.27559374240090784</c:v>
                </c:pt>
                <c:pt idx="11">
                  <c:v>1.7547964436125409</c:v>
                </c:pt>
                <c:pt idx="12">
                  <c:v>0.46114599686028257</c:v>
                </c:pt>
                <c:pt idx="13">
                  <c:v>0.47923322683706071</c:v>
                </c:pt>
                <c:pt idx="14">
                  <c:v>2.4226110363391657</c:v>
                </c:pt>
                <c:pt idx="15">
                  <c:v>7.9808459696727854E-2</c:v>
                </c:pt>
                <c:pt idx="16">
                  <c:v>0</c:v>
                </c:pt>
                <c:pt idx="17">
                  <c:v>1.0056640850768697</c:v>
                </c:pt>
                <c:pt idx="18">
                  <c:v>0.21605451221538974</c:v>
                </c:pt>
                <c:pt idx="19">
                  <c:v>0</c:v>
                </c:pt>
                <c:pt idx="20">
                  <c:v>4.2342978122794639E-2</c:v>
                </c:pt>
                <c:pt idx="21">
                  <c:v>3.192975454001197E-2</c:v>
                </c:pt>
                <c:pt idx="22">
                  <c:v>3.3052321691422457</c:v>
                </c:pt>
                <c:pt idx="23">
                  <c:v>0.60866451843895453</c:v>
                </c:pt>
                <c:pt idx="24">
                  <c:v>0</c:v>
                </c:pt>
                <c:pt idx="25">
                  <c:v>0</c:v>
                </c:pt>
                <c:pt idx="26">
                  <c:v>0.50517496303597831</c:v>
                </c:pt>
                <c:pt idx="27">
                  <c:v>0.33519553072625696</c:v>
                </c:pt>
                <c:pt idx="28">
                  <c:v>2.8901734104046244</c:v>
                </c:pt>
              </c:numCache>
            </c:numRef>
          </c:val>
        </c:ser>
        <c:ser>
          <c:idx val="4"/>
          <c:order val="4"/>
          <c:tx>
            <c:v>% Not SU</c:v>
          </c:tx>
          <c:spPr>
            <a:solidFill>
              <a:srgbClr val="CCFFFF"/>
            </a:solidFill>
            <a:ln>
              <a:solidFill>
                <a:schemeClr val="tx1"/>
              </a:solidFill>
            </a:ln>
          </c:spPr>
          <c:dPt>
            <c:idx val="0"/>
            <c:spPr>
              <a:solidFill>
                <a:srgbClr val="969696"/>
              </a:solidFill>
              <a:ln>
                <a:solidFill>
                  <a:schemeClr val="tx1"/>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DATA'!$V$3:$V$31</c:f>
              <c:numCache>
                <c:formatCode>0</c:formatCode>
                <c:ptCount val="29"/>
                <c:pt idx="0">
                  <c:v>3.9546022770551517</c:v>
                </c:pt>
                <c:pt idx="1">
                  <c:v>1.7461802307452448</c:v>
                </c:pt>
                <c:pt idx="2">
                  <c:v>1.3817760170064741</c:v>
                </c:pt>
                <c:pt idx="3">
                  <c:v>1.7162243065256437</c:v>
                </c:pt>
                <c:pt idx="4">
                  <c:v>7.5328083989501318</c:v>
                </c:pt>
                <c:pt idx="5">
                  <c:v>0</c:v>
                </c:pt>
                <c:pt idx="6">
                  <c:v>2.3390275952693824</c:v>
                </c:pt>
                <c:pt idx="7">
                  <c:v>2.4114972393634297</c:v>
                </c:pt>
                <c:pt idx="8">
                  <c:v>10.064667842445619</c:v>
                </c:pt>
                <c:pt idx="9">
                  <c:v>5.4205607476635516</c:v>
                </c:pt>
                <c:pt idx="10">
                  <c:v>1.1104806679095403</c:v>
                </c:pt>
                <c:pt idx="11">
                  <c:v>0.58493214787084702</c:v>
                </c:pt>
                <c:pt idx="12">
                  <c:v>0.78819989534275259</c:v>
                </c:pt>
                <c:pt idx="13">
                  <c:v>4.3566656985187337E-2</c:v>
                </c:pt>
                <c:pt idx="14">
                  <c:v>0.80753701211305517</c:v>
                </c:pt>
                <c:pt idx="15">
                  <c:v>0</c:v>
                </c:pt>
                <c:pt idx="16">
                  <c:v>0</c:v>
                </c:pt>
                <c:pt idx="17">
                  <c:v>8.8197896196971453</c:v>
                </c:pt>
                <c:pt idx="18">
                  <c:v>0.88083762672428123</c:v>
                </c:pt>
                <c:pt idx="19">
                  <c:v>3.128302684421898</c:v>
                </c:pt>
                <c:pt idx="20">
                  <c:v>0.81863091037402969</c:v>
                </c:pt>
                <c:pt idx="21">
                  <c:v>8.0662542406705242</c:v>
                </c:pt>
                <c:pt idx="22">
                  <c:v>4.8708684597885723</c:v>
                </c:pt>
                <c:pt idx="23">
                  <c:v>8.8435374149659864</c:v>
                </c:pt>
                <c:pt idx="24">
                  <c:v>2.7380952380952381</c:v>
                </c:pt>
                <c:pt idx="25">
                  <c:v>0</c:v>
                </c:pt>
                <c:pt idx="26">
                  <c:v>1.8605224248398227</c:v>
                </c:pt>
                <c:pt idx="27">
                  <c:v>2.4900239425379089</c:v>
                </c:pt>
                <c:pt idx="28">
                  <c:v>0</c:v>
                </c:pt>
              </c:numCache>
            </c:numRef>
          </c:val>
        </c:ser>
        <c:overlap val="100"/>
        <c:axId val="97747328"/>
        <c:axId val="97749248"/>
      </c:barChart>
      <c:lineChart>
        <c:grouping val="standard"/>
        <c:ser>
          <c:idx val="5"/>
          <c:order val="5"/>
          <c:tx>
            <c:v>% Stayed in SU</c:v>
          </c:tx>
          <c:spPr>
            <a:ln>
              <a:noFill/>
            </a:ln>
          </c:spPr>
          <c:marker>
            <c:symbol val="square"/>
            <c:size val="8"/>
            <c:spPr>
              <a:noFill/>
              <a:ln>
                <a:solidFill>
                  <a:schemeClr val="tx1"/>
                </a:solidFill>
              </a:ln>
            </c:spPr>
          </c:marker>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DATA'!$E$3:$E$31</c:f>
              <c:numCache>
                <c:formatCode>#\ ###\ ##0</c:formatCode>
                <c:ptCount val="29"/>
                <c:pt idx="0">
                  <c:v>88.156004861341287</c:v>
                </c:pt>
                <c:pt idx="1">
                  <c:v>94.160583941605836</c:v>
                </c:pt>
                <c:pt idx="2">
                  <c:v>97.402597402597408</c:v>
                </c:pt>
                <c:pt idx="3">
                  <c:v>86.574074074074076</c:v>
                </c:pt>
                <c:pt idx="4">
                  <c:v>82.995951417004051</c:v>
                </c:pt>
                <c:pt idx="5">
                  <c:v>100</c:v>
                </c:pt>
                <c:pt idx="6">
                  <c:v>80.223285486443388</c:v>
                </c:pt>
                <c:pt idx="7">
                  <c:v>92.687385740402192</c:v>
                </c:pt>
                <c:pt idx="8">
                  <c:v>75.808720112517577</c:v>
                </c:pt>
                <c:pt idx="9">
                  <c:v>81.679389312977108</c:v>
                </c:pt>
                <c:pt idx="10">
                  <c:v>97.292069632495156</c:v>
                </c:pt>
                <c:pt idx="11">
                  <c:v>99.074074074074076</c:v>
                </c:pt>
                <c:pt idx="12">
                  <c:v>98.066783831282962</c:v>
                </c:pt>
                <c:pt idx="13">
                  <c:v>99.704142011834321</c:v>
                </c:pt>
                <c:pt idx="14">
                  <c:v>96.666666666666671</c:v>
                </c:pt>
                <c:pt idx="15">
                  <c:v>100</c:v>
                </c:pt>
                <c:pt idx="16">
                  <c:v>100</c:v>
                </c:pt>
                <c:pt idx="17">
                  <c:v>59.090909090909093</c:v>
                </c:pt>
                <c:pt idx="18">
                  <c:v>98.327759197324411</c:v>
                </c:pt>
                <c:pt idx="19">
                  <c:v>93.538461538461533</c:v>
                </c:pt>
                <c:pt idx="20">
                  <c:v>96.706586826347305</c:v>
                </c:pt>
                <c:pt idx="21">
                  <c:v>74.893617021276597</c:v>
                </c:pt>
                <c:pt idx="22">
                  <c:v>83.400809716599184</c:v>
                </c:pt>
                <c:pt idx="23">
                  <c:v>72.452830188679243</c:v>
                </c:pt>
                <c:pt idx="24">
                  <c:v>76.744186046511629</c:v>
                </c:pt>
                <c:pt idx="25">
                  <c:v>100</c:v>
                </c:pt>
                <c:pt idx="26">
                  <c:v>98.017621145374449</c:v>
                </c:pt>
                <c:pt idx="27">
                  <c:v>86.702127659574472</c:v>
                </c:pt>
                <c:pt idx="28">
                  <c:v>100</c:v>
                </c:pt>
              </c:numCache>
            </c:numRef>
          </c:val>
        </c:ser>
        <c:marker val="1"/>
        <c:axId val="97747328"/>
        <c:axId val="97749248"/>
      </c:lineChart>
      <c:catAx>
        <c:axId val="97747328"/>
        <c:scaling>
          <c:orientation val="minMax"/>
        </c:scaling>
        <c:axPos val="b"/>
        <c:tickLblPos val="nextTo"/>
        <c:txPr>
          <a:bodyPr rot="-5400000" vert="horz"/>
          <a:lstStyle/>
          <a:p>
            <a:pPr>
              <a:defRPr sz="800"/>
            </a:pPr>
            <a:endParaRPr lang="en-US"/>
          </a:p>
        </c:txPr>
        <c:crossAx val="97749248"/>
        <c:crosses val="autoZero"/>
        <c:auto val="1"/>
        <c:lblAlgn val="ctr"/>
        <c:lblOffset val="100"/>
      </c:catAx>
      <c:valAx>
        <c:axId val="97749248"/>
        <c:scaling>
          <c:orientation val="minMax"/>
          <c:max val="100"/>
        </c:scaling>
        <c:axPos val="l"/>
        <c:title>
          <c:tx>
            <c:rich>
              <a:bodyPr rot="0" vert="horz"/>
              <a:lstStyle/>
              <a:p>
                <a:pPr>
                  <a:defRPr b="0"/>
                </a:pPr>
                <a:r>
                  <a:rPr lang="en-GB" b="0"/>
                  <a:t>%</a:t>
                </a:r>
              </a:p>
            </c:rich>
          </c:tx>
        </c:title>
        <c:numFmt formatCode="0" sourceLinked="0"/>
        <c:tickLblPos val="nextTo"/>
        <c:txPr>
          <a:bodyPr/>
          <a:lstStyle/>
          <a:p>
            <a:pPr>
              <a:defRPr sz="800"/>
            </a:pPr>
            <a:endParaRPr lang="en-US"/>
          </a:p>
        </c:txPr>
        <c:crossAx val="97747328"/>
        <c:crosses val="autoZero"/>
        <c:crossBetween val="between"/>
      </c:valAx>
      <c:spPr>
        <a:ln>
          <a:solidFill>
            <a:schemeClr val="tx1"/>
          </a:solidFill>
        </a:ln>
      </c:spPr>
    </c:plotArea>
    <c:legend>
      <c:legendPos val="r"/>
      <c:layout>
        <c:manualLayout>
          <c:xMode val="edge"/>
          <c:yMode val="edge"/>
          <c:x val="0.87215981214028737"/>
          <c:y val="0.33652773666450142"/>
          <c:w val="0.11801170839046538"/>
          <c:h val="0.32694452667100832"/>
        </c:manualLayout>
      </c:layout>
      <c:spPr>
        <a:ln>
          <a:solidFill>
            <a:schemeClr val="tx1"/>
          </a:solidFill>
        </a:ln>
      </c:spPr>
      <c:txPr>
        <a:bodyPr/>
        <a:lstStyle/>
        <a:p>
          <a:pPr>
            <a:defRPr sz="8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955" l="0.70000000000000062" r="0.70000000000000062" t="0.7500000000000095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966187727520134E-2"/>
          <c:y val="6.2753036437250123E-2"/>
          <c:w val="0.78983138002224185"/>
          <c:h val="0.76113360323890356"/>
        </c:manualLayout>
      </c:layout>
      <c:barChart>
        <c:barDir val="col"/>
        <c:grouping val="percentStacked"/>
        <c:ser>
          <c:idx val="0"/>
          <c:order val="0"/>
          <c:tx>
            <c:strRef>
              <c:f>'Chart 14a (2016) DATA'!$C$2</c:f>
              <c:strCache>
                <c:ptCount val="1"/>
                <c:pt idx="0">
                  <c:v>Initial Only</c:v>
                </c:pt>
              </c:strCache>
            </c:strRef>
          </c:tx>
          <c:spPr>
            <a:solidFill>
              <a:srgbClr val="9999FF"/>
            </a:solidFill>
            <a:ln w="12700">
              <a:solidFill>
                <a:srgbClr val="000000"/>
              </a:solidFill>
              <a:prstDash val="solid"/>
            </a:ln>
          </c:spPr>
          <c:dPt>
            <c:idx val="0"/>
            <c:spPr>
              <a:solidFill>
                <a:srgbClr val="008000"/>
              </a:solidFill>
              <a:ln w="12700">
                <a:solidFill>
                  <a:srgbClr val="000000"/>
                </a:solidFill>
                <a:prstDash val="solid"/>
              </a:ln>
            </c:spPr>
          </c:dPt>
          <c:dPt>
            <c:idx val="31"/>
            <c:spPr>
              <a:solidFill>
                <a:srgbClr val="008000"/>
              </a:solidFill>
              <a:ln w="12700">
                <a:solidFill>
                  <a:srgbClr val="000000"/>
                </a:solidFill>
                <a:prstDash val="solid"/>
              </a:ln>
            </c:spPr>
          </c:dPt>
          <c:cat>
            <c:strRef>
              <c:f>'Chart 14a (2016) DATA'!$A$3:$A$31</c:f>
              <c:strCache>
                <c:ptCount val="29"/>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14a (2016) DATA'!$C$3:$C$31</c:f>
              <c:numCache>
                <c:formatCode>0</c:formatCode>
                <c:ptCount val="29"/>
                <c:pt idx="0">
                  <c:v>14.969247467438496</c:v>
                </c:pt>
                <c:pt idx="1">
                  <c:v>19.047619047619047</c:v>
                </c:pt>
                <c:pt idx="2">
                  <c:v>30.506993006993007</c:v>
                </c:pt>
                <c:pt idx="3">
                  <c:v>10.37344398340249</c:v>
                </c:pt>
                <c:pt idx="4">
                  <c:v>10.72961373390558</c:v>
                </c:pt>
                <c:pt idx="5">
                  <c:v>5.7142857142857144</c:v>
                </c:pt>
                <c:pt idx="6">
                  <c:v>11.360634081902246</c:v>
                </c:pt>
                <c:pt idx="7">
                  <c:v>15.670436187399032</c:v>
                </c:pt>
                <c:pt idx="8">
                  <c:v>11.170212765957446</c:v>
                </c:pt>
                <c:pt idx="9">
                  <c:v>3.4722222222222223</c:v>
                </c:pt>
                <c:pt idx="10">
                  <c:v>15.19674355495251</c:v>
                </c:pt>
                <c:pt idx="11">
                  <c:v>12.389380530973451</c:v>
                </c:pt>
                <c:pt idx="12">
                  <c:v>20.10832769126608</c:v>
                </c:pt>
                <c:pt idx="13">
                  <c:v>12.413793103448276</c:v>
                </c:pt>
                <c:pt idx="14">
                  <c:v>11.111111111111111</c:v>
                </c:pt>
                <c:pt idx="15">
                  <c:v>11.688311688311687</c:v>
                </c:pt>
                <c:pt idx="16">
                  <c:v>14.705882352941178</c:v>
                </c:pt>
                <c:pt idx="17">
                  <c:v>11.111111111111111</c:v>
                </c:pt>
                <c:pt idx="18">
                  <c:v>8.1632653061224492</c:v>
                </c:pt>
                <c:pt idx="19">
                  <c:v>1.6233766233766231</c:v>
                </c:pt>
                <c:pt idx="20">
                  <c:v>5.4495912806539506</c:v>
                </c:pt>
                <c:pt idx="21">
                  <c:v>19.495798319327733</c:v>
                </c:pt>
                <c:pt idx="22">
                  <c:v>3.2028469750889679</c:v>
                </c:pt>
                <c:pt idx="23">
                  <c:v>14.338235294117647</c:v>
                </c:pt>
                <c:pt idx="24">
                  <c:v>7.6923076923076925</c:v>
                </c:pt>
                <c:pt idx="25">
                  <c:v>4.6511627906976747</c:v>
                </c:pt>
                <c:pt idx="26">
                  <c:v>11.376146788990827</c:v>
                </c:pt>
                <c:pt idx="27">
                  <c:v>6.9672131147540979</c:v>
                </c:pt>
                <c:pt idx="28">
                  <c:v>0</c:v>
                </c:pt>
              </c:numCache>
            </c:numRef>
          </c:val>
        </c:ser>
        <c:ser>
          <c:idx val="1"/>
          <c:order val="1"/>
          <c:tx>
            <c:strRef>
              <c:f>'Chart 14a (2016) DATA'!$E$2</c:f>
              <c:strCache>
                <c:ptCount val="1"/>
                <c:pt idx="0">
                  <c:v>Initial AND Final</c:v>
                </c:pt>
              </c:strCache>
            </c:strRef>
          </c:tx>
          <c:spPr>
            <a:solidFill>
              <a:srgbClr val="993366"/>
            </a:solidFill>
            <a:ln>
              <a:solidFill>
                <a:schemeClr val="tx1"/>
              </a:solidFill>
            </a:ln>
          </c:spPr>
          <c:dPt>
            <c:idx val="0"/>
            <c:spPr>
              <a:solidFill>
                <a:srgbClr val="FF0000"/>
              </a:solidFill>
              <a:ln>
                <a:solidFill>
                  <a:schemeClr val="tx1"/>
                </a:solidFill>
              </a:ln>
            </c:spPr>
          </c:dPt>
          <c:cat>
            <c:strRef>
              <c:f>'Chart 14a (2016) DATA'!$A$3:$A$31</c:f>
              <c:strCache>
                <c:ptCount val="29"/>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14a (2016) DATA'!$E$3:$E$31</c:f>
              <c:numCache>
                <c:formatCode>0</c:formatCode>
                <c:ptCount val="29"/>
                <c:pt idx="0">
                  <c:v>72.575976845151956</c:v>
                </c:pt>
                <c:pt idx="1">
                  <c:v>50.793650793650791</c:v>
                </c:pt>
                <c:pt idx="2">
                  <c:v>58.56643356643356</c:v>
                </c:pt>
                <c:pt idx="3">
                  <c:v>81.742738589211612</c:v>
                </c:pt>
                <c:pt idx="4">
                  <c:v>69.957081545064383</c:v>
                </c:pt>
                <c:pt idx="5">
                  <c:v>82.857142857142861</c:v>
                </c:pt>
                <c:pt idx="6">
                  <c:v>83.091149273447812</c:v>
                </c:pt>
                <c:pt idx="7">
                  <c:v>66.882067851373179</c:v>
                </c:pt>
                <c:pt idx="8">
                  <c:v>77.659574468085097</c:v>
                </c:pt>
                <c:pt idx="9">
                  <c:v>88.194444444444443</c:v>
                </c:pt>
                <c:pt idx="10">
                  <c:v>74.491180461329719</c:v>
                </c:pt>
                <c:pt idx="11">
                  <c:v>75.221238938053091</c:v>
                </c:pt>
                <c:pt idx="12">
                  <c:v>70.074475287745429</c:v>
                </c:pt>
                <c:pt idx="13">
                  <c:v>77.011494252873561</c:v>
                </c:pt>
                <c:pt idx="14">
                  <c:v>88.888888888888886</c:v>
                </c:pt>
                <c:pt idx="15">
                  <c:v>88.311688311688314</c:v>
                </c:pt>
                <c:pt idx="16">
                  <c:v>75</c:v>
                </c:pt>
                <c:pt idx="17">
                  <c:v>88.603988603988597</c:v>
                </c:pt>
                <c:pt idx="18">
                  <c:v>67.638483965014572</c:v>
                </c:pt>
                <c:pt idx="19">
                  <c:v>73.376623376623371</c:v>
                </c:pt>
                <c:pt idx="20">
                  <c:v>76.566757493188007</c:v>
                </c:pt>
                <c:pt idx="21">
                  <c:v>66.218487394957975</c:v>
                </c:pt>
                <c:pt idx="22">
                  <c:v>81.494661921708186</c:v>
                </c:pt>
                <c:pt idx="23">
                  <c:v>73.529411764705884</c:v>
                </c:pt>
                <c:pt idx="24">
                  <c:v>76.923076923076934</c:v>
                </c:pt>
                <c:pt idx="25">
                  <c:v>88.372093023255815</c:v>
                </c:pt>
                <c:pt idx="26">
                  <c:v>72.293577981651381</c:v>
                </c:pt>
                <c:pt idx="27">
                  <c:v>75</c:v>
                </c:pt>
                <c:pt idx="28">
                  <c:v>93.103448275862064</c:v>
                </c:pt>
              </c:numCache>
            </c:numRef>
          </c:val>
        </c:ser>
        <c:ser>
          <c:idx val="2"/>
          <c:order val="2"/>
          <c:tx>
            <c:strRef>
              <c:f>'Chart 14a (2016) DATA'!$G$2</c:f>
              <c:strCache>
                <c:ptCount val="1"/>
                <c:pt idx="0">
                  <c:v>Final Only</c:v>
                </c:pt>
              </c:strCache>
            </c:strRef>
          </c:tx>
          <c:spPr>
            <a:solidFill>
              <a:srgbClr val="FFE29B"/>
            </a:solidFill>
            <a:ln>
              <a:solidFill>
                <a:schemeClr val="tx1"/>
              </a:solidFill>
            </a:ln>
          </c:spPr>
          <c:dPt>
            <c:idx val="0"/>
            <c:spPr>
              <a:solidFill>
                <a:srgbClr val="99CC00"/>
              </a:solidFill>
              <a:ln>
                <a:solidFill>
                  <a:schemeClr val="tx1"/>
                </a:solidFill>
              </a:ln>
            </c:spPr>
          </c:dPt>
          <c:cat>
            <c:strRef>
              <c:f>'Chart 14a (2016) DATA'!$A$3:$A$31</c:f>
              <c:strCache>
                <c:ptCount val="29"/>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14a (2016) DATA'!$G$3:$G$31</c:f>
              <c:numCache>
                <c:formatCode>0</c:formatCode>
                <c:ptCount val="29"/>
                <c:pt idx="0">
                  <c:v>12.454775687409551</c:v>
                </c:pt>
                <c:pt idx="1">
                  <c:v>30.158730158730158</c:v>
                </c:pt>
                <c:pt idx="2">
                  <c:v>10.926573426573427</c:v>
                </c:pt>
                <c:pt idx="3">
                  <c:v>7.8838174273858916</c:v>
                </c:pt>
                <c:pt idx="4">
                  <c:v>19.313304721030043</c:v>
                </c:pt>
                <c:pt idx="5">
                  <c:v>11.428571428571429</c:v>
                </c:pt>
                <c:pt idx="6">
                  <c:v>5.5482166446499335</c:v>
                </c:pt>
                <c:pt idx="7">
                  <c:v>17.447495961227787</c:v>
                </c:pt>
                <c:pt idx="8">
                  <c:v>11.170212765957446</c:v>
                </c:pt>
                <c:pt idx="9">
                  <c:v>8.3333333333333321</c:v>
                </c:pt>
                <c:pt idx="10">
                  <c:v>10.312075983717776</c:v>
                </c:pt>
                <c:pt idx="11">
                  <c:v>12.389380530973451</c:v>
                </c:pt>
                <c:pt idx="12">
                  <c:v>9.8171970209884893</c:v>
                </c:pt>
                <c:pt idx="13">
                  <c:v>10.574712643678161</c:v>
                </c:pt>
                <c:pt idx="14">
                  <c:v>0</c:v>
                </c:pt>
                <c:pt idx="15">
                  <c:v>0</c:v>
                </c:pt>
                <c:pt idx="16">
                  <c:v>10.294117647058822</c:v>
                </c:pt>
                <c:pt idx="17">
                  <c:v>0.28490028490028491</c:v>
                </c:pt>
                <c:pt idx="18">
                  <c:v>24.198250728862973</c:v>
                </c:pt>
                <c:pt idx="19">
                  <c:v>25</c:v>
                </c:pt>
                <c:pt idx="20">
                  <c:v>17.983651226158038</c:v>
                </c:pt>
                <c:pt idx="21">
                  <c:v>14.285714285714285</c:v>
                </c:pt>
                <c:pt idx="22">
                  <c:v>15.302491103202847</c:v>
                </c:pt>
                <c:pt idx="23">
                  <c:v>12.132352941176471</c:v>
                </c:pt>
                <c:pt idx="24">
                  <c:v>15.384615384615385</c:v>
                </c:pt>
                <c:pt idx="25">
                  <c:v>6.9767441860465116</c:v>
                </c:pt>
                <c:pt idx="26">
                  <c:v>16.330275229357799</c:v>
                </c:pt>
                <c:pt idx="27">
                  <c:v>18.032786885245901</c:v>
                </c:pt>
                <c:pt idx="28">
                  <c:v>6.8965517241379306</c:v>
                </c:pt>
              </c:numCache>
            </c:numRef>
          </c:val>
        </c:ser>
        <c:overlap val="100"/>
        <c:axId val="98981376"/>
        <c:axId val="98982912"/>
      </c:barChart>
      <c:catAx>
        <c:axId val="98981376"/>
        <c:scaling>
          <c:orientation val="minMax"/>
        </c:scaling>
        <c:axPos val="b"/>
        <c:numFmt formatCode="General" sourceLinked="1"/>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8982912"/>
        <c:crosses val="autoZero"/>
        <c:auto val="1"/>
        <c:lblAlgn val="ctr"/>
        <c:lblOffset val="100"/>
        <c:tickLblSkip val="1"/>
        <c:tickMarkSkip val="1"/>
      </c:catAx>
      <c:valAx>
        <c:axId val="98982912"/>
        <c:scaling>
          <c:orientation val="minMax"/>
          <c:max val="1"/>
        </c:scaling>
        <c:axPos val="l"/>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8981376"/>
        <c:crosses val="autoZero"/>
        <c:crossBetween val="between"/>
      </c:valAx>
      <c:spPr>
        <a:solidFill>
          <a:srgbClr val="FF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&amp;L&amp;8Scottish Stroke Care Audit 2011 National Report
Stroke Services in Scottish Hospitals, Data relating to 2010&amp;R&amp;8© NHS National Services Scotland/Crown Copyright</c:oddFooter>
    </c:headerFooter>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966187727520134E-2"/>
          <c:y val="6.2753036437250123E-2"/>
          <c:w val="0.7898313800222414"/>
          <c:h val="0.76113360323890389"/>
        </c:manualLayout>
      </c:layout>
      <c:barChart>
        <c:barDir val="col"/>
        <c:grouping val="percentStacked"/>
        <c:ser>
          <c:idx val="0"/>
          <c:order val="0"/>
          <c:tx>
            <c:strRef>
              <c:f>'Chart 14a (2015) DATA'!$C$2</c:f>
              <c:strCache>
                <c:ptCount val="1"/>
                <c:pt idx="0">
                  <c:v>Initial Only</c:v>
                </c:pt>
              </c:strCache>
            </c:strRef>
          </c:tx>
          <c:spPr>
            <a:solidFill>
              <a:srgbClr val="9999FF"/>
            </a:solidFill>
            <a:ln w="12700">
              <a:solidFill>
                <a:srgbClr val="000000"/>
              </a:solidFill>
              <a:prstDash val="solid"/>
            </a:ln>
          </c:spPr>
          <c:dPt>
            <c:idx val="0"/>
            <c:spPr>
              <a:solidFill>
                <a:srgbClr val="008000"/>
              </a:solidFill>
              <a:ln w="12700">
                <a:solidFill>
                  <a:srgbClr val="000000"/>
                </a:solidFill>
                <a:prstDash val="solid"/>
              </a:ln>
            </c:spPr>
          </c:dPt>
          <c:dPt>
            <c:idx val="31"/>
            <c:spPr>
              <a:solidFill>
                <a:srgbClr val="008000"/>
              </a:solidFill>
              <a:ln w="12700">
                <a:solidFill>
                  <a:srgbClr val="000000"/>
                </a:solidFill>
                <a:prstDash val="solid"/>
              </a:ln>
            </c:spPr>
          </c:dPt>
          <c:cat>
            <c:strRef>
              <c:f>'Chart 14a (2015)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14a (2015) DATA'!$C$3:$C$32</c:f>
              <c:numCache>
                <c:formatCode>0</c:formatCode>
                <c:ptCount val="30"/>
                <c:pt idx="0">
                  <c:v>13.2995506262549</c:v>
                </c:pt>
                <c:pt idx="1">
                  <c:v>23.714285714285715</c:v>
                </c:pt>
                <c:pt idx="2">
                  <c:v>30.782918149466195</c:v>
                </c:pt>
                <c:pt idx="3">
                  <c:v>7.7868852459016393</c:v>
                </c:pt>
                <c:pt idx="4">
                  <c:v>9.2936802973977688</c:v>
                </c:pt>
                <c:pt idx="5">
                  <c:v>11.111111111111111</c:v>
                </c:pt>
                <c:pt idx="6">
                  <c:v>9.8150782361308675</c:v>
                </c:pt>
                <c:pt idx="7">
                  <c:v>13.65079365079365</c:v>
                </c:pt>
                <c:pt idx="8">
                  <c:v>11.320754716981133</c:v>
                </c:pt>
                <c:pt idx="9">
                  <c:v>0</c:v>
                </c:pt>
                <c:pt idx="10">
                  <c:v>18.209876543209877</c:v>
                </c:pt>
                <c:pt idx="11">
                  <c:v>15.936254980079681</c:v>
                </c:pt>
                <c:pt idx="12">
                  <c:v>18.005738880918219</c:v>
                </c:pt>
                <c:pt idx="13">
                  <c:v>16.467780429594274</c:v>
                </c:pt>
                <c:pt idx="14">
                  <c:v>15.151515151515152</c:v>
                </c:pt>
                <c:pt idx="15">
                  <c:v>17.241379310344829</c:v>
                </c:pt>
                <c:pt idx="16">
                  <c:v>9.8039215686274517</c:v>
                </c:pt>
                <c:pt idx="17">
                  <c:v>12.128712871287128</c:v>
                </c:pt>
                <c:pt idx="18">
                  <c:v>3.215434083601286</c:v>
                </c:pt>
                <c:pt idx="19">
                  <c:v>2.4096385542168677</c:v>
                </c:pt>
                <c:pt idx="20">
                  <c:v>5.444126074498568</c:v>
                </c:pt>
                <c:pt idx="21">
                  <c:v>12.314814814814815</c:v>
                </c:pt>
                <c:pt idx="22">
                  <c:v>1.1857707509881421</c:v>
                </c:pt>
                <c:pt idx="23">
                  <c:v>13.698630136986301</c:v>
                </c:pt>
                <c:pt idx="24">
                  <c:v>37.878787878787875</c:v>
                </c:pt>
                <c:pt idx="25">
                  <c:v>7.8947368421052628</c:v>
                </c:pt>
                <c:pt idx="26">
                  <c:v>8.146639511201629</c:v>
                </c:pt>
                <c:pt idx="27">
                  <c:v>4.0816326530612246</c:v>
                </c:pt>
                <c:pt idx="28">
                  <c:v>0</c:v>
                </c:pt>
                <c:pt idx="29">
                  <c:v>0</c:v>
                </c:pt>
              </c:numCache>
            </c:numRef>
          </c:val>
        </c:ser>
        <c:ser>
          <c:idx val="1"/>
          <c:order val="1"/>
          <c:tx>
            <c:strRef>
              <c:f>'Chart 14a (2015) DATA'!$E$2</c:f>
              <c:strCache>
                <c:ptCount val="1"/>
                <c:pt idx="0">
                  <c:v>Initial AND Final</c:v>
                </c:pt>
              </c:strCache>
            </c:strRef>
          </c:tx>
          <c:spPr>
            <a:solidFill>
              <a:srgbClr val="993366"/>
            </a:solidFill>
            <a:ln>
              <a:solidFill>
                <a:schemeClr val="tx1"/>
              </a:solidFill>
            </a:ln>
          </c:spPr>
          <c:dPt>
            <c:idx val="0"/>
            <c:spPr>
              <a:solidFill>
                <a:srgbClr val="FF0000"/>
              </a:solidFill>
              <a:ln>
                <a:solidFill>
                  <a:schemeClr val="tx1"/>
                </a:solidFill>
              </a:ln>
            </c:spPr>
          </c:dPt>
          <c:cat>
            <c:strRef>
              <c:f>'Chart 14a (2015)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14a (2015) DATA'!$E$3:$E$32</c:f>
              <c:numCache>
                <c:formatCode>0</c:formatCode>
                <c:ptCount val="30"/>
                <c:pt idx="0">
                  <c:v>72.387417535137203</c:v>
                </c:pt>
                <c:pt idx="1">
                  <c:v>62.285714285714292</c:v>
                </c:pt>
                <c:pt idx="2">
                  <c:v>54.62633451957295</c:v>
                </c:pt>
                <c:pt idx="3">
                  <c:v>78.688524590163937</c:v>
                </c:pt>
                <c:pt idx="4">
                  <c:v>72.118959107806688</c:v>
                </c:pt>
                <c:pt idx="5">
                  <c:v>75.555555555555557</c:v>
                </c:pt>
                <c:pt idx="6">
                  <c:v>83.214793741109531</c:v>
                </c:pt>
                <c:pt idx="7">
                  <c:v>69.365079365079367</c:v>
                </c:pt>
                <c:pt idx="8">
                  <c:v>70.062893081761004</c:v>
                </c:pt>
                <c:pt idx="9">
                  <c:v>85.496183206106863</c:v>
                </c:pt>
                <c:pt idx="10">
                  <c:v>71.759259259259252</c:v>
                </c:pt>
                <c:pt idx="11">
                  <c:v>71.713147410358573</c:v>
                </c:pt>
                <c:pt idx="12">
                  <c:v>73.744619799139173</c:v>
                </c:pt>
                <c:pt idx="13">
                  <c:v>71.360381861575178</c:v>
                </c:pt>
                <c:pt idx="14">
                  <c:v>81.818181818181827</c:v>
                </c:pt>
                <c:pt idx="15">
                  <c:v>75.862068965517238</c:v>
                </c:pt>
                <c:pt idx="16">
                  <c:v>82.35294117647058</c:v>
                </c:pt>
                <c:pt idx="17">
                  <c:v>83.910891089108901</c:v>
                </c:pt>
                <c:pt idx="18">
                  <c:v>68.488745980707392</c:v>
                </c:pt>
                <c:pt idx="19">
                  <c:v>75</c:v>
                </c:pt>
                <c:pt idx="20">
                  <c:v>78.796561604584525</c:v>
                </c:pt>
                <c:pt idx="21">
                  <c:v>66.111111111111114</c:v>
                </c:pt>
                <c:pt idx="22">
                  <c:v>81.422924901185766</c:v>
                </c:pt>
                <c:pt idx="23">
                  <c:v>71.575342465753423</c:v>
                </c:pt>
                <c:pt idx="24">
                  <c:v>59.090909090909093</c:v>
                </c:pt>
                <c:pt idx="25">
                  <c:v>84.210526315789465</c:v>
                </c:pt>
                <c:pt idx="26">
                  <c:v>76.578411405295313</c:v>
                </c:pt>
                <c:pt idx="27">
                  <c:v>72.448979591836732</c:v>
                </c:pt>
                <c:pt idx="28">
                  <c:v>100</c:v>
                </c:pt>
                <c:pt idx="29">
                  <c:v>97.058823529411768</c:v>
                </c:pt>
              </c:numCache>
            </c:numRef>
          </c:val>
        </c:ser>
        <c:ser>
          <c:idx val="2"/>
          <c:order val="2"/>
          <c:tx>
            <c:strRef>
              <c:f>'Chart 14a (2015) DATA'!$G$2</c:f>
              <c:strCache>
                <c:ptCount val="1"/>
                <c:pt idx="0">
                  <c:v>Final Only</c:v>
                </c:pt>
              </c:strCache>
            </c:strRef>
          </c:tx>
          <c:spPr>
            <a:solidFill>
              <a:srgbClr val="FFE29B"/>
            </a:solidFill>
            <a:ln>
              <a:solidFill>
                <a:schemeClr val="tx1"/>
              </a:solidFill>
            </a:ln>
          </c:spPr>
          <c:dPt>
            <c:idx val="0"/>
            <c:spPr>
              <a:solidFill>
                <a:srgbClr val="99CC00"/>
              </a:solidFill>
              <a:ln>
                <a:solidFill>
                  <a:schemeClr val="tx1"/>
                </a:solidFill>
              </a:ln>
            </c:spPr>
          </c:dPt>
          <c:cat>
            <c:strRef>
              <c:f>'Chart 14a (2015)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14a (2015) DATA'!$G$3:$G$32</c:f>
              <c:numCache>
                <c:formatCode>0</c:formatCode>
                <c:ptCount val="30"/>
                <c:pt idx="0">
                  <c:v>14.313031838607898</c:v>
                </c:pt>
                <c:pt idx="1">
                  <c:v>14.000000000000002</c:v>
                </c:pt>
                <c:pt idx="2">
                  <c:v>14.590747330960854</c:v>
                </c:pt>
                <c:pt idx="3">
                  <c:v>13.524590163934427</c:v>
                </c:pt>
                <c:pt idx="4">
                  <c:v>18.587360594795538</c:v>
                </c:pt>
                <c:pt idx="5">
                  <c:v>13.333333333333334</c:v>
                </c:pt>
                <c:pt idx="6">
                  <c:v>6.9701280227596012</c:v>
                </c:pt>
                <c:pt idx="7">
                  <c:v>16.984126984126984</c:v>
                </c:pt>
                <c:pt idx="8">
                  <c:v>18.616352201257861</c:v>
                </c:pt>
                <c:pt idx="9">
                  <c:v>14.503816793893129</c:v>
                </c:pt>
                <c:pt idx="10">
                  <c:v>10.030864197530864</c:v>
                </c:pt>
                <c:pt idx="11">
                  <c:v>12.350597609561753</c:v>
                </c:pt>
                <c:pt idx="12">
                  <c:v>8.2496413199426097</c:v>
                </c:pt>
                <c:pt idx="13">
                  <c:v>12.17183770883055</c:v>
                </c:pt>
                <c:pt idx="14">
                  <c:v>3.0303030303030303</c:v>
                </c:pt>
                <c:pt idx="15">
                  <c:v>6.8965517241379306</c:v>
                </c:pt>
                <c:pt idx="16">
                  <c:v>7.8431372549019605</c:v>
                </c:pt>
                <c:pt idx="17">
                  <c:v>3.9603960396039604</c:v>
                </c:pt>
                <c:pt idx="18">
                  <c:v>28.29581993569132</c:v>
                </c:pt>
                <c:pt idx="19">
                  <c:v>22.590361445783135</c:v>
                </c:pt>
                <c:pt idx="20">
                  <c:v>15.759312320916905</c:v>
                </c:pt>
                <c:pt idx="21">
                  <c:v>21.574074074074073</c:v>
                </c:pt>
                <c:pt idx="22">
                  <c:v>17.391304347826086</c:v>
                </c:pt>
                <c:pt idx="23">
                  <c:v>14.726027397260275</c:v>
                </c:pt>
                <c:pt idx="24">
                  <c:v>3.0303030303030303</c:v>
                </c:pt>
                <c:pt idx="25">
                  <c:v>7.8947368421052628</c:v>
                </c:pt>
                <c:pt idx="26">
                  <c:v>15.274949083503056</c:v>
                </c:pt>
                <c:pt idx="27">
                  <c:v>23.469387755102041</c:v>
                </c:pt>
                <c:pt idx="28">
                  <c:v>0</c:v>
                </c:pt>
                <c:pt idx="29">
                  <c:v>2.9411764705882351</c:v>
                </c:pt>
              </c:numCache>
            </c:numRef>
          </c:val>
        </c:ser>
        <c:overlap val="100"/>
        <c:axId val="99826688"/>
        <c:axId val="99828480"/>
      </c:barChart>
      <c:catAx>
        <c:axId val="99826688"/>
        <c:scaling>
          <c:orientation val="minMax"/>
        </c:scaling>
        <c:axPos val="b"/>
        <c:numFmt formatCode="General" sourceLinked="1"/>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9828480"/>
        <c:crosses val="autoZero"/>
        <c:auto val="1"/>
        <c:lblAlgn val="ctr"/>
        <c:lblOffset val="100"/>
        <c:tickLblSkip val="1"/>
        <c:tickMarkSkip val="1"/>
      </c:catAx>
      <c:valAx>
        <c:axId val="99828480"/>
        <c:scaling>
          <c:orientation val="minMax"/>
          <c:max val="1"/>
        </c:scaling>
        <c:axPos val="l"/>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826688"/>
        <c:crosses val="autoZero"/>
        <c:crossBetween val="between"/>
      </c:valAx>
      <c:spPr>
        <a:solidFill>
          <a:srgbClr val="FF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&amp;L&amp;8Scottish Stroke Care Audit 2011 National Report
Stroke Services in Scottish Hospitals, Data relating to 2010&amp;R&amp;8© NHS National Services Scotland/Crown Copyright</c:oddFooter>
    </c:headerFooter>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4188309980183428E-2"/>
          <c:y val="4.9200492004920104E-2"/>
          <c:w val="0.80960606538881974"/>
          <c:h val="0.60131214225528051"/>
        </c:manualLayout>
      </c:layout>
      <c:barChart>
        <c:barDir val="col"/>
        <c:grouping val="clustered"/>
        <c:ser>
          <c:idx val="1"/>
          <c:order val="0"/>
          <c:tx>
            <c:v>Repeat Scans</c:v>
          </c:tx>
          <c:spPr>
            <a:solidFill>
              <a:srgbClr val="993366"/>
            </a:solidFill>
            <a:ln>
              <a:solidFill>
                <a:srgbClr val="000000"/>
              </a:solidFill>
            </a:ln>
          </c:spPr>
          <c:dPt>
            <c:idx val="0"/>
            <c:spPr>
              <a:solidFill>
                <a:srgbClr val="99CC00"/>
              </a:solidFill>
              <a:ln>
                <a:solidFill>
                  <a:srgbClr val="000000"/>
                </a:solidFill>
              </a:ln>
            </c:spPr>
          </c:dPt>
          <c:dPt>
            <c:idx val="29"/>
            <c:spPr>
              <a:solidFill>
                <a:srgbClr val="99CC00"/>
              </a:solidFill>
              <a:ln>
                <a:solidFill>
                  <a:srgbClr val="000000"/>
                </a:solidFill>
              </a:ln>
            </c:spPr>
          </c:dPt>
          <c:cat>
            <c:strRef>
              <c:f>'Chart 15 (2016)'!$B$46:$B$73</c:f>
              <c:strCache>
                <c:ptCount val="28"/>
                <c:pt idx="0">
                  <c:v>Scotland</c:v>
                </c:pt>
                <c:pt idx="1">
                  <c:v>Ayr</c:v>
                </c:pt>
                <c:pt idx="2">
                  <c:v>RAH</c:v>
                </c:pt>
                <c:pt idx="3">
                  <c:v>Borders</c:v>
                </c:pt>
                <c:pt idx="4">
                  <c:v>DGRI</c:v>
                </c:pt>
                <c:pt idx="5">
                  <c:v>GCH</c:v>
                </c:pt>
                <c:pt idx="6">
                  <c:v>FVRH</c:v>
                </c:pt>
                <c:pt idx="7">
                  <c:v>GRI</c:v>
                </c:pt>
                <c:pt idx="8">
                  <c:v>L&amp;I</c:v>
                </c:pt>
                <c:pt idx="9">
                  <c:v>Monklands</c:v>
                </c:pt>
                <c:pt idx="10">
                  <c:v>WGH</c:v>
                </c:pt>
                <c:pt idx="11">
                  <c:v>Balfour</c:v>
                </c:pt>
                <c:pt idx="12">
                  <c:v>Ninewells</c:v>
                </c:pt>
                <c:pt idx="13">
                  <c:v>PRI</c:v>
                </c:pt>
                <c:pt idx="14">
                  <c:v>Western Isles</c:v>
                </c:pt>
                <c:pt idx="15">
                  <c:v>QEUH</c:v>
                </c:pt>
                <c:pt idx="16">
                  <c:v>VHK</c:v>
                </c:pt>
                <c:pt idx="17">
                  <c:v>ARI</c:v>
                </c:pt>
                <c:pt idx="18">
                  <c:v>Crosshouse</c:v>
                </c:pt>
                <c:pt idx="19">
                  <c:v>Wishaw</c:v>
                </c:pt>
                <c:pt idx="20">
                  <c:v>SJH</c:v>
                </c:pt>
                <c:pt idx="21">
                  <c:v>Hairmyres</c:v>
                </c:pt>
                <c:pt idx="22">
                  <c:v>RIE</c:v>
                </c:pt>
                <c:pt idx="23">
                  <c:v>Dr Grays</c:v>
                </c:pt>
                <c:pt idx="24">
                  <c:v>Belford</c:v>
                </c:pt>
                <c:pt idx="25">
                  <c:v>Gilbert Bain</c:v>
                </c:pt>
                <c:pt idx="26">
                  <c:v>Caithness</c:v>
                </c:pt>
                <c:pt idx="27">
                  <c:v>Raigmore</c:v>
                </c:pt>
              </c:strCache>
            </c:strRef>
          </c:cat>
          <c:val>
            <c:numRef>
              <c:f>'Chart 15 (2016)'!$I$46:$I$73</c:f>
              <c:numCache>
                <c:formatCode>0</c:formatCode>
                <c:ptCount val="28"/>
                <c:pt idx="0">
                  <c:v>95.81497797356829</c:v>
                </c:pt>
                <c:pt idx="1">
                  <c:v>0</c:v>
                </c:pt>
                <c:pt idx="2">
                  <c:v>0</c:v>
                </c:pt>
                <c:pt idx="3">
                  <c:v>100</c:v>
                </c:pt>
                <c:pt idx="4">
                  <c:v>100</c:v>
                </c:pt>
                <c:pt idx="5">
                  <c:v>100</c:v>
                </c:pt>
                <c:pt idx="6">
                  <c:v>100</c:v>
                </c:pt>
                <c:pt idx="7">
                  <c:v>100</c:v>
                </c:pt>
                <c:pt idx="8">
                  <c:v>100</c:v>
                </c:pt>
                <c:pt idx="9">
                  <c:v>100</c:v>
                </c:pt>
                <c:pt idx="10">
                  <c:v>100</c:v>
                </c:pt>
                <c:pt idx="11">
                  <c:v>100</c:v>
                </c:pt>
                <c:pt idx="12">
                  <c:v>100</c:v>
                </c:pt>
                <c:pt idx="13">
                  <c:v>100</c:v>
                </c:pt>
                <c:pt idx="14">
                  <c:v>100</c:v>
                </c:pt>
                <c:pt idx="15">
                  <c:v>98.924731182795696</c:v>
                </c:pt>
                <c:pt idx="16">
                  <c:v>98.666666666666671</c:v>
                </c:pt>
                <c:pt idx="17">
                  <c:v>97.47899159663865</c:v>
                </c:pt>
                <c:pt idx="18">
                  <c:v>97.101449275362313</c:v>
                </c:pt>
                <c:pt idx="19">
                  <c:v>96.875</c:v>
                </c:pt>
                <c:pt idx="20">
                  <c:v>96</c:v>
                </c:pt>
                <c:pt idx="21">
                  <c:v>95.833333333333343</c:v>
                </c:pt>
                <c:pt idx="22">
                  <c:v>94.117647058823522</c:v>
                </c:pt>
                <c:pt idx="23">
                  <c:v>90.476190476190482</c:v>
                </c:pt>
                <c:pt idx="24">
                  <c:v>50</c:v>
                </c:pt>
                <c:pt idx="25">
                  <c:v>50</c:v>
                </c:pt>
                <c:pt idx="26">
                  <c:v>25</c:v>
                </c:pt>
                <c:pt idx="27">
                  <c:v>22.222222222222221</c:v>
                </c:pt>
              </c:numCache>
            </c:numRef>
          </c:val>
        </c:ser>
        <c:ser>
          <c:idx val="0"/>
          <c:order val="1"/>
          <c:tx>
            <c:v>Evidence Haemorrhage*</c:v>
          </c:tx>
          <c:spPr>
            <a:solidFill>
              <a:srgbClr val="9999FF"/>
            </a:solidFill>
            <a:ln>
              <a:solidFill>
                <a:schemeClr val="tx1"/>
              </a:solidFill>
            </a:ln>
          </c:spPr>
          <c:dPt>
            <c:idx val="0"/>
            <c:spPr>
              <a:solidFill>
                <a:srgbClr val="008000"/>
              </a:solidFill>
              <a:ln>
                <a:solidFill>
                  <a:schemeClr val="tx1"/>
                </a:solidFill>
              </a:ln>
            </c:spPr>
          </c:dPt>
          <c:dPt>
            <c:idx val="29"/>
            <c:spPr>
              <a:solidFill>
                <a:srgbClr val="008000"/>
              </a:solidFill>
              <a:ln>
                <a:solidFill>
                  <a:schemeClr val="tx1"/>
                </a:solidFill>
              </a:ln>
            </c:spPr>
          </c:dPt>
          <c:cat>
            <c:strRef>
              <c:f>'Chart 15 (2016)'!$B$46:$B$73</c:f>
              <c:strCache>
                <c:ptCount val="28"/>
                <c:pt idx="0">
                  <c:v>Scotland</c:v>
                </c:pt>
                <c:pt idx="1">
                  <c:v>Ayr</c:v>
                </c:pt>
                <c:pt idx="2">
                  <c:v>RAH</c:v>
                </c:pt>
                <c:pt idx="3">
                  <c:v>Borders</c:v>
                </c:pt>
                <c:pt idx="4">
                  <c:v>DGRI</c:v>
                </c:pt>
                <c:pt idx="5">
                  <c:v>GCH</c:v>
                </c:pt>
                <c:pt idx="6">
                  <c:v>FVRH</c:v>
                </c:pt>
                <c:pt idx="7">
                  <c:v>GRI</c:v>
                </c:pt>
                <c:pt idx="8">
                  <c:v>L&amp;I</c:v>
                </c:pt>
                <c:pt idx="9">
                  <c:v>Monklands</c:v>
                </c:pt>
                <c:pt idx="10">
                  <c:v>WGH</c:v>
                </c:pt>
                <c:pt idx="11">
                  <c:v>Balfour</c:v>
                </c:pt>
                <c:pt idx="12">
                  <c:v>Ninewells</c:v>
                </c:pt>
                <c:pt idx="13">
                  <c:v>PRI</c:v>
                </c:pt>
                <c:pt idx="14">
                  <c:v>Western Isles</c:v>
                </c:pt>
                <c:pt idx="15">
                  <c:v>QEUH</c:v>
                </c:pt>
                <c:pt idx="16">
                  <c:v>VHK</c:v>
                </c:pt>
                <c:pt idx="17">
                  <c:v>ARI</c:v>
                </c:pt>
                <c:pt idx="18">
                  <c:v>Crosshouse</c:v>
                </c:pt>
                <c:pt idx="19">
                  <c:v>Wishaw</c:v>
                </c:pt>
                <c:pt idx="20">
                  <c:v>SJH</c:v>
                </c:pt>
                <c:pt idx="21">
                  <c:v>Hairmyres</c:v>
                </c:pt>
                <c:pt idx="22">
                  <c:v>RIE</c:v>
                </c:pt>
                <c:pt idx="23">
                  <c:v>Dr Grays</c:v>
                </c:pt>
                <c:pt idx="24">
                  <c:v>Belford</c:v>
                </c:pt>
                <c:pt idx="25">
                  <c:v>Gilbert Bain</c:v>
                </c:pt>
                <c:pt idx="26">
                  <c:v>Caithness</c:v>
                </c:pt>
                <c:pt idx="27">
                  <c:v>Raigmore</c:v>
                </c:pt>
              </c:strCache>
            </c:strRef>
          </c:cat>
          <c:val>
            <c:numRef>
              <c:f>'Chart 15 (2016)'!$M$46:$M$73</c:f>
              <c:numCache>
                <c:formatCode>0.0</c:formatCode>
                <c:ptCount val="28"/>
                <c:pt idx="0">
                  <c:v>11.724137931034482</c:v>
                </c:pt>
                <c:pt idx="1">
                  <c:v>0</c:v>
                </c:pt>
                <c:pt idx="2">
                  <c:v>0</c:v>
                </c:pt>
                <c:pt idx="3">
                  <c:v>11.111111111111111</c:v>
                </c:pt>
                <c:pt idx="4">
                  <c:v>4</c:v>
                </c:pt>
                <c:pt idx="5">
                  <c:v>14.285714285714285</c:v>
                </c:pt>
                <c:pt idx="6">
                  <c:v>9.2592592592592595</c:v>
                </c:pt>
                <c:pt idx="7">
                  <c:v>11.111111111111111</c:v>
                </c:pt>
                <c:pt idx="8">
                  <c:v>22.222222222222221</c:v>
                </c:pt>
                <c:pt idx="9">
                  <c:v>8.695652173913043</c:v>
                </c:pt>
                <c:pt idx="10">
                  <c:v>10</c:v>
                </c:pt>
                <c:pt idx="11">
                  <c:v>20</c:v>
                </c:pt>
                <c:pt idx="12">
                  <c:v>13.953488372093023</c:v>
                </c:pt>
                <c:pt idx="13">
                  <c:v>8.695652173913043</c:v>
                </c:pt>
                <c:pt idx="14">
                  <c:v>33.333333333333329</c:v>
                </c:pt>
                <c:pt idx="15">
                  <c:v>14.130434782608695</c:v>
                </c:pt>
                <c:pt idx="16">
                  <c:v>9.4594594594594597</c:v>
                </c:pt>
                <c:pt idx="17">
                  <c:v>12.068965517241379</c:v>
                </c:pt>
                <c:pt idx="18">
                  <c:v>8.9552238805970141</c:v>
                </c:pt>
                <c:pt idx="19">
                  <c:v>9.67741935483871</c:v>
                </c:pt>
                <c:pt idx="20">
                  <c:v>8.3333333333333321</c:v>
                </c:pt>
                <c:pt idx="21">
                  <c:v>17.391304347826086</c:v>
                </c:pt>
                <c:pt idx="22">
                  <c:v>11.458333333333332</c:v>
                </c:pt>
                <c:pt idx="23">
                  <c:v>15.789473684210526</c:v>
                </c:pt>
                <c:pt idx="24">
                  <c:v>0</c:v>
                </c:pt>
                <c:pt idx="25">
                  <c:v>0</c:v>
                </c:pt>
                <c:pt idx="26">
                  <c:v>0</c:v>
                </c:pt>
                <c:pt idx="27">
                  <c:v>25</c:v>
                </c:pt>
              </c:numCache>
            </c:numRef>
          </c:val>
        </c:ser>
        <c:gapWidth val="50"/>
        <c:axId val="100031488"/>
        <c:axId val="100041472"/>
      </c:barChart>
      <c:catAx>
        <c:axId val="100031488"/>
        <c:scaling>
          <c:orientation val="minMax"/>
        </c:scaling>
        <c:axPos val="b"/>
        <c:tickLblPos val="nextTo"/>
        <c:txPr>
          <a:bodyPr rot="-5400000" vert="horz"/>
          <a:lstStyle/>
          <a:p>
            <a:pPr>
              <a:defRPr sz="800">
                <a:latin typeface="Arial" pitchFamily="34" charset="0"/>
                <a:cs typeface="Arial" pitchFamily="34" charset="0"/>
              </a:defRPr>
            </a:pPr>
            <a:endParaRPr lang="en-US"/>
          </a:p>
        </c:txPr>
        <c:crossAx val="100041472"/>
        <c:crosses val="autoZero"/>
        <c:auto val="1"/>
        <c:lblAlgn val="ctr"/>
        <c:lblOffset val="100"/>
      </c:catAx>
      <c:valAx>
        <c:axId val="100041472"/>
        <c:scaling>
          <c:orientation val="minMax"/>
          <c:max val="100"/>
        </c:scaling>
        <c:axPos val="l"/>
        <c:title>
          <c:tx>
            <c:rich>
              <a:bodyPr rot="0" vert="wordArtVert"/>
              <a:lstStyle/>
              <a:p>
                <a:pPr>
                  <a:defRPr/>
                </a:pPr>
                <a:r>
                  <a:rPr lang="en-GB"/>
                  <a:t>%</a:t>
                </a:r>
              </a:p>
            </c:rich>
          </c:tx>
        </c:title>
        <c:numFmt formatCode="0" sourceLinked="1"/>
        <c:tickLblPos val="nextTo"/>
        <c:txPr>
          <a:bodyPr/>
          <a:lstStyle/>
          <a:p>
            <a:pPr>
              <a:defRPr sz="800">
                <a:latin typeface="Arial" pitchFamily="34" charset="0"/>
                <a:cs typeface="Arial" pitchFamily="34" charset="0"/>
              </a:defRPr>
            </a:pPr>
            <a:endParaRPr lang="en-US"/>
          </a:p>
        </c:txPr>
        <c:crossAx val="100031488"/>
        <c:crosses val="autoZero"/>
        <c:crossBetween val="between"/>
      </c:valAx>
      <c:spPr>
        <a:ln>
          <a:solidFill>
            <a:srgbClr val="000000"/>
          </a:solidFill>
        </a:ln>
      </c:spPr>
    </c:plotArea>
    <c:legend>
      <c:legendPos val="r"/>
      <c:layout>
        <c:manualLayout>
          <c:xMode val="edge"/>
          <c:yMode val="edge"/>
          <c:x val="0.88998287240820961"/>
          <c:y val="0.27159756321973288"/>
          <c:w val="0.11001712759179035"/>
          <c:h val="0.12224152792709179"/>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4188309980183428E-2"/>
          <c:y val="4.9200492004920104E-2"/>
          <c:w val="0.80960606538881974"/>
          <c:h val="0.60131214225528051"/>
        </c:manualLayout>
      </c:layout>
      <c:barChart>
        <c:barDir val="col"/>
        <c:grouping val="clustered"/>
        <c:ser>
          <c:idx val="1"/>
          <c:order val="0"/>
          <c:tx>
            <c:v>Repeat Scans</c:v>
          </c:tx>
          <c:spPr>
            <a:solidFill>
              <a:srgbClr val="993366"/>
            </a:solidFill>
            <a:ln>
              <a:solidFill>
                <a:srgbClr val="000000"/>
              </a:solidFill>
            </a:ln>
          </c:spPr>
          <c:dPt>
            <c:idx val="0"/>
            <c:spPr>
              <a:solidFill>
                <a:srgbClr val="99CC00"/>
              </a:solidFill>
              <a:ln>
                <a:solidFill>
                  <a:srgbClr val="000000"/>
                </a:solidFill>
              </a:ln>
            </c:spPr>
          </c:dPt>
          <c:dPt>
            <c:idx val="29"/>
            <c:spPr>
              <a:solidFill>
                <a:srgbClr val="99CC00"/>
              </a:solidFill>
              <a:ln>
                <a:solidFill>
                  <a:srgbClr val="000000"/>
                </a:solidFill>
              </a:ln>
            </c:spPr>
          </c:dPt>
          <c:cat>
            <c:strRef>
              <c:f>'Chart 15 (2015)'!$B$45:$B$72</c:f>
              <c:strCache>
                <c:ptCount val="28"/>
                <c:pt idx="0">
                  <c:v>Scotland</c:v>
                </c:pt>
                <c:pt idx="1">
                  <c:v>Ayr</c:v>
                </c:pt>
                <c:pt idx="2">
                  <c:v>RAH</c:v>
                </c:pt>
                <c:pt idx="3">
                  <c:v>Borders</c:v>
                </c:pt>
                <c:pt idx="4">
                  <c:v>DGRI</c:v>
                </c:pt>
                <c:pt idx="5">
                  <c:v>GCH</c:v>
                </c:pt>
                <c:pt idx="6">
                  <c:v>FVRH</c:v>
                </c:pt>
                <c:pt idx="7">
                  <c:v>GRI</c:v>
                </c:pt>
                <c:pt idx="8">
                  <c:v>L&amp;I</c:v>
                </c:pt>
                <c:pt idx="9">
                  <c:v>WGH</c:v>
                </c:pt>
                <c:pt idx="10">
                  <c:v>Balfour</c:v>
                </c:pt>
                <c:pt idx="11">
                  <c:v>Ninewells</c:v>
                </c:pt>
                <c:pt idx="12">
                  <c:v>PRI</c:v>
                </c:pt>
                <c:pt idx="13">
                  <c:v>SJH</c:v>
                </c:pt>
                <c:pt idx="14">
                  <c:v>Gilbert Bain</c:v>
                </c:pt>
                <c:pt idx="15">
                  <c:v>QEUH</c:v>
                </c:pt>
                <c:pt idx="16">
                  <c:v>VHK</c:v>
                </c:pt>
                <c:pt idx="17">
                  <c:v>Wishaw</c:v>
                </c:pt>
                <c:pt idx="18">
                  <c:v>ARI</c:v>
                </c:pt>
                <c:pt idx="19">
                  <c:v>Crosshouse</c:v>
                </c:pt>
                <c:pt idx="20">
                  <c:v>RIE</c:v>
                </c:pt>
                <c:pt idx="21">
                  <c:v>Hairmyres</c:v>
                </c:pt>
                <c:pt idx="22">
                  <c:v>Monklands</c:v>
                </c:pt>
                <c:pt idx="23">
                  <c:v>Western Isles</c:v>
                </c:pt>
                <c:pt idx="24">
                  <c:v>Dr Grays</c:v>
                </c:pt>
                <c:pt idx="25">
                  <c:v>Caithness</c:v>
                </c:pt>
                <c:pt idx="26">
                  <c:v>Raigmore</c:v>
                </c:pt>
                <c:pt idx="27">
                  <c:v>Belford</c:v>
                </c:pt>
              </c:strCache>
            </c:strRef>
          </c:cat>
          <c:val>
            <c:numRef>
              <c:f>'Chart 15 (2015)'!$H$45:$H$72</c:f>
              <c:numCache>
                <c:formatCode>0</c:formatCode>
                <c:ptCount val="28"/>
                <c:pt idx="0">
                  <c:v>95.068205666316899</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99.559471365638757</c:v>
                </c:pt>
                <c:pt idx="16">
                  <c:v>98.333333333333329</c:v>
                </c:pt>
                <c:pt idx="17">
                  <c:v>97.872340425531917</c:v>
                </c:pt>
                <c:pt idx="18">
                  <c:v>97.452229299363054</c:v>
                </c:pt>
                <c:pt idx="19">
                  <c:v>96.774193548387103</c:v>
                </c:pt>
                <c:pt idx="20">
                  <c:v>96.470588235294116</c:v>
                </c:pt>
                <c:pt idx="21">
                  <c:v>96.15384615384616</c:v>
                </c:pt>
                <c:pt idx="22">
                  <c:v>94.871794871794862</c:v>
                </c:pt>
                <c:pt idx="23">
                  <c:v>87.5</c:v>
                </c:pt>
                <c:pt idx="24">
                  <c:v>77.777777777777786</c:v>
                </c:pt>
                <c:pt idx="25">
                  <c:v>54.54545454545454</c:v>
                </c:pt>
                <c:pt idx="26">
                  <c:v>4.3478260869565215</c:v>
                </c:pt>
                <c:pt idx="27">
                  <c:v>0</c:v>
                </c:pt>
              </c:numCache>
            </c:numRef>
          </c:val>
        </c:ser>
        <c:ser>
          <c:idx val="0"/>
          <c:order val="1"/>
          <c:tx>
            <c:v>Evidence Haemorrhage*</c:v>
          </c:tx>
          <c:spPr>
            <a:solidFill>
              <a:srgbClr val="9999FF"/>
            </a:solidFill>
            <a:ln>
              <a:solidFill>
                <a:schemeClr val="tx1"/>
              </a:solidFill>
            </a:ln>
          </c:spPr>
          <c:dPt>
            <c:idx val="0"/>
            <c:spPr>
              <a:solidFill>
                <a:srgbClr val="008000"/>
              </a:solidFill>
              <a:ln>
                <a:solidFill>
                  <a:schemeClr val="tx1"/>
                </a:solidFill>
              </a:ln>
            </c:spPr>
          </c:dPt>
          <c:dPt>
            <c:idx val="29"/>
            <c:spPr>
              <a:solidFill>
                <a:srgbClr val="008000"/>
              </a:solidFill>
              <a:ln>
                <a:solidFill>
                  <a:schemeClr val="tx1"/>
                </a:solidFill>
              </a:ln>
            </c:spPr>
          </c:dPt>
          <c:cat>
            <c:strRef>
              <c:f>'Chart 15 (2015)'!$B$45:$B$72</c:f>
              <c:strCache>
                <c:ptCount val="28"/>
                <c:pt idx="0">
                  <c:v>Scotland</c:v>
                </c:pt>
                <c:pt idx="1">
                  <c:v>Ayr</c:v>
                </c:pt>
                <c:pt idx="2">
                  <c:v>RAH</c:v>
                </c:pt>
                <c:pt idx="3">
                  <c:v>Borders</c:v>
                </c:pt>
                <c:pt idx="4">
                  <c:v>DGRI</c:v>
                </c:pt>
                <c:pt idx="5">
                  <c:v>GCH</c:v>
                </c:pt>
                <c:pt idx="6">
                  <c:v>FVRH</c:v>
                </c:pt>
                <c:pt idx="7">
                  <c:v>GRI</c:v>
                </c:pt>
                <c:pt idx="8">
                  <c:v>L&amp;I</c:v>
                </c:pt>
                <c:pt idx="9">
                  <c:v>WGH</c:v>
                </c:pt>
                <c:pt idx="10">
                  <c:v>Balfour</c:v>
                </c:pt>
                <c:pt idx="11">
                  <c:v>Ninewells</c:v>
                </c:pt>
                <c:pt idx="12">
                  <c:v>PRI</c:v>
                </c:pt>
                <c:pt idx="13">
                  <c:v>SJH</c:v>
                </c:pt>
                <c:pt idx="14">
                  <c:v>Gilbert Bain</c:v>
                </c:pt>
                <c:pt idx="15">
                  <c:v>QEUH</c:v>
                </c:pt>
                <c:pt idx="16">
                  <c:v>VHK</c:v>
                </c:pt>
                <c:pt idx="17">
                  <c:v>Wishaw</c:v>
                </c:pt>
                <c:pt idx="18">
                  <c:v>ARI</c:v>
                </c:pt>
                <c:pt idx="19">
                  <c:v>Crosshouse</c:v>
                </c:pt>
                <c:pt idx="20">
                  <c:v>RIE</c:v>
                </c:pt>
                <c:pt idx="21">
                  <c:v>Hairmyres</c:v>
                </c:pt>
                <c:pt idx="22">
                  <c:v>Monklands</c:v>
                </c:pt>
                <c:pt idx="23">
                  <c:v>Western Isles</c:v>
                </c:pt>
                <c:pt idx="24">
                  <c:v>Dr Grays</c:v>
                </c:pt>
                <c:pt idx="25">
                  <c:v>Caithness</c:v>
                </c:pt>
                <c:pt idx="26">
                  <c:v>Raigmore</c:v>
                </c:pt>
                <c:pt idx="27">
                  <c:v>Belford</c:v>
                </c:pt>
              </c:strCache>
            </c:strRef>
          </c:cat>
          <c:val>
            <c:numRef>
              <c:f>'Chart 15 (2015)'!$L$45:$L$72</c:f>
              <c:numCache>
                <c:formatCode>0.0</c:formatCode>
                <c:ptCount val="28"/>
                <c:pt idx="0">
                  <c:v>9.8233995584988971</c:v>
                </c:pt>
                <c:pt idx="1">
                  <c:v>0</c:v>
                </c:pt>
                <c:pt idx="2">
                  <c:v>0</c:v>
                </c:pt>
                <c:pt idx="3">
                  <c:v>0</c:v>
                </c:pt>
                <c:pt idx="4">
                  <c:v>12.5</c:v>
                </c:pt>
                <c:pt idx="5">
                  <c:v>0</c:v>
                </c:pt>
                <c:pt idx="6">
                  <c:v>7.5</c:v>
                </c:pt>
                <c:pt idx="7">
                  <c:v>0</c:v>
                </c:pt>
                <c:pt idx="8">
                  <c:v>0</c:v>
                </c:pt>
                <c:pt idx="9">
                  <c:v>36.363636363636367</c:v>
                </c:pt>
                <c:pt idx="10">
                  <c:v>0</c:v>
                </c:pt>
                <c:pt idx="11">
                  <c:v>5.7692307692307692</c:v>
                </c:pt>
                <c:pt idx="12">
                  <c:v>3.7037037037037033</c:v>
                </c:pt>
                <c:pt idx="13">
                  <c:v>7.6923076923076925</c:v>
                </c:pt>
                <c:pt idx="14">
                  <c:v>0</c:v>
                </c:pt>
                <c:pt idx="15">
                  <c:v>13.716814159292035</c:v>
                </c:pt>
                <c:pt idx="16">
                  <c:v>11.864406779661017</c:v>
                </c:pt>
                <c:pt idx="17">
                  <c:v>10.869565217391305</c:v>
                </c:pt>
                <c:pt idx="18">
                  <c:v>11.76470588235294</c:v>
                </c:pt>
                <c:pt idx="19">
                  <c:v>6.666666666666667</c:v>
                </c:pt>
                <c:pt idx="20">
                  <c:v>7.3170731707317067</c:v>
                </c:pt>
                <c:pt idx="21">
                  <c:v>0</c:v>
                </c:pt>
                <c:pt idx="22">
                  <c:v>2.7027027027027026</c:v>
                </c:pt>
                <c:pt idx="23">
                  <c:v>0</c:v>
                </c:pt>
                <c:pt idx="24">
                  <c:v>14.285714285714285</c:v>
                </c:pt>
                <c:pt idx="25">
                  <c:v>0</c:v>
                </c:pt>
                <c:pt idx="26">
                  <c:v>100</c:v>
                </c:pt>
                <c:pt idx="27">
                  <c:v>0</c:v>
                </c:pt>
              </c:numCache>
            </c:numRef>
          </c:val>
        </c:ser>
        <c:gapWidth val="50"/>
        <c:axId val="100310400"/>
        <c:axId val="100312192"/>
      </c:barChart>
      <c:catAx>
        <c:axId val="100310400"/>
        <c:scaling>
          <c:orientation val="minMax"/>
        </c:scaling>
        <c:axPos val="b"/>
        <c:tickLblPos val="nextTo"/>
        <c:txPr>
          <a:bodyPr rot="-5400000" vert="horz"/>
          <a:lstStyle/>
          <a:p>
            <a:pPr>
              <a:defRPr sz="800">
                <a:latin typeface="Arial" pitchFamily="34" charset="0"/>
                <a:cs typeface="Arial" pitchFamily="34" charset="0"/>
              </a:defRPr>
            </a:pPr>
            <a:endParaRPr lang="en-US"/>
          </a:p>
        </c:txPr>
        <c:crossAx val="100312192"/>
        <c:crosses val="autoZero"/>
        <c:auto val="1"/>
        <c:lblAlgn val="ctr"/>
        <c:lblOffset val="100"/>
      </c:catAx>
      <c:valAx>
        <c:axId val="100312192"/>
        <c:scaling>
          <c:orientation val="minMax"/>
          <c:max val="100"/>
        </c:scaling>
        <c:axPos val="l"/>
        <c:title>
          <c:tx>
            <c:rich>
              <a:bodyPr rot="0" vert="wordArtVert"/>
              <a:lstStyle/>
              <a:p>
                <a:pPr>
                  <a:defRPr/>
                </a:pPr>
                <a:r>
                  <a:rPr lang="en-GB"/>
                  <a:t>%</a:t>
                </a:r>
              </a:p>
            </c:rich>
          </c:tx>
        </c:title>
        <c:numFmt formatCode="0" sourceLinked="1"/>
        <c:tickLblPos val="nextTo"/>
        <c:txPr>
          <a:bodyPr/>
          <a:lstStyle/>
          <a:p>
            <a:pPr>
              <a:defRPr sz="800">
                <a:latin typeface="Arial" pitchFamily="34" charset="0"/>
                <a:cs typeface="Arial" pitchFamily="34" charset="0"/>
              </a:defRPr>
            </a:pPr>
            <a:endParaRPr lang="en-US"/>
          </a:p>
        </c:txPr>
        <c:crossAx val="100310400"/>
        <c:crosses val="autoZero"/>
        <c:crossBetween val="between"/>
      </c:valAx>
      <c:spPr>
        <a:ln>
          <a:solidFill>
            <a:srgbClr val="000000"/>
          </a:solidFill>
        </a:ln>
      </c:spPr>
    </c:plotArea>
    <c:legend>
      <c:legendPos val="r"/>
      <c:layout>
        <c:manualLayout>
          <c:xMode val="edge"/>
          <c:yMode val="edge"/>
          <c:x val="0.88998287240820961"/>
          <c:y val="0.27159756321973288"/>
          <c:w val="0.11001712759179035"/>
          <c:h val="0.12224152792709179"/>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17a DATA'!$A$3</c:f>
              <c:strCache>
                <c:ptCount val="1"/>
                <c:pt idx="0">
                  <c:v>Scotland (+s)</c:v>
                </c:pt>
              </c:strCache>
            </c:strRef>
          </c:tx>
          <c:spPr>
            <a:ln w="63500">
              <a:solidFill>
                <a:schemeClr val="tx1"/>
              </a:solidFill>
            </a:ln>
          </c:spPr>
          <c:marker>
            <c:symbol val="none"/>
          </c:marker>
          <c:cat>
            <c:numRef>
              <c:f>'Chart 17a DATA'!$N$2:$S$2</c:f>
              <c:numCache>
                <c:formatCode>General</c:formatCode>
                <c:ptCount val="6"/>
                <c:pt idx="0">
                  <c:v>2011</c:v>
                </c:pt>
                <c:pt idx="1">
                  <c:v>2012</c:v>
                </c:pt>
                <c:pt idx="2">
                  <c:v>2013</c:v>
                </c:pt>
                <c:pt idx="3">
                  <c:v>2014</c:v>
                </c:pt>
                <c:pt idx="4">
                  <c:v>2015</c:v>
                </c:pt>
                <c:pt idx="5">
                  <c:v>2016</c:v>
                </c:pt>
              </c:numCache>
            </c:numRef>
          </c:cat>
          <c:val>
            <c:numRef>
              <c:f>'Chart 17a DATA'!$N$3:$S$3</c:f>
              <c:numCache>
                <c:formatCode>0</c:formatCode>
                <c:ptCount val="6"/>
                <c:pt idx="0">
                  <c:v>75.775054073540019</c:v>
                </c:pt>
                <c:pt idx="1">
                  <c:v>78.196461958866678</c:v>
                </c:pt>
                <c:pt idx="2">
                  <c:v>81.274208628289031</c:v>
                </c:pt>
                <c:pt idx="3">
                  <c:v>79.569023569023571</c:v>
                </c:pt>
                <c:pt idx="4">
                  <c:v>78.224867382585074</c:v>
                </c:pt>
                <c:pt idx="5">
                  <c:v>81.742946708463947</c:v>
                </c:pt>
              </c:numCache>
            </c:numRef>
          </c:val>
        </c:ser>
        <c:ser>
          <c:idx val="0"/>
          <c:order val="1"/>
          <c:tx>
            <c:strRef>
              <c:f>'Chart 17a DATA'!$A$4</c:f>
              <c:strCache>
                <c:ptCount val="1"/>
                <c:pt idx="0">
                  <c:v>Ayrshire &amp; Arran (+)</c:v>
                </c:pt>
              </c:strCache>
            </c:strRef>
          </c:tx>
          <c:spPr>
            <a:ln w="19050"/>
          </c:spPr>
          <c:marker>
            <c:symbol val="none"/>
          </c:marker>
          <c:cat>
            <c:numRef>
              <c:f>'Chart 17a DATA'!$N$2:$S$2</c:f>
              <c:numCache>
                <c:formatCode>General</c:formatCode>
                <c:ptCount val="6"/>
                <c:pt idx="0">
                  <c:v>2011</c:v>
                </c:pt>
                <c:pt idx="1">
                  <c:v>2012</c:v>
                </c:pt>
                <c:pt idx="2">
                  <c:v>2013</c:v>
                </c:pt>
                <c:pt idx="3">
                  <c:v>2014</c:v>
                </c:pt>
                <c:pt idx="4">
                  <c:v>2015</c:v>
                </c:pt>
                <c:pt idx="5">
                  <c:v>2016</c:v>
                </c:pt>
              </c:numCache>
            </c:numRef>
          </c:cat>
          <c:val>
            <c:numRef>
              <c:f>'Chart 17a DATA'!$N$4:$S$4</c:f>
              <c:numCache>
                <c:formatCode>0</c:formatCode>
                <c:ptCount val="6"/>
                <c:pt idx="0">
                  <c:v>90.757855822550837</c:v>
                </c:pt>
                <c:pt idx="1">
                  <c:v>87.921847246891645</c:v>
                </c:pt>
                <c:pt idx="2">
                  <c:v>91.457286432160799</c:v>
                </c:pt>
                <c:pt idx="3">
                  <c:v>87.758945386064042</c:v>
                </c:pt>
                <c:pt idx="4">
                  <c:v>89.02877697841727</c:v>
                </c:pt>
                <c:pt idx="5">
                  <c:v>93.535075653370015</c:v>
                </c:pt>
              </c:numCache>
            </c:numRef>
          </c:val>
        </c:ser>
        <c:ser>
          <c:idx val="2"/>
          <c:order val="2"/>
          <c:tx>
            <c:strRef>
              <c:f>'Chart 17a DATA'!$A$5</c:f>
              <c:strCache>
                <c:ptCount val="1"/>
                <c:pt idx="0">
                  <c:v>Borders (+s)</c:v>
                </c:pt>
              </c:strCache>
            </c:strRef>
          </c:tx>
          <c:spPr>
            <a:ln w="38100">
              <a:prstDash val="sysDot"/>
            </a:ln>
          </c:spPr>
          <c:marker>
            <c:symbol val="none"/>
          </c:marker>
          <c:cat>
            <c:numRef>
              <c:f>'Chart 17a DATA'!$N$2:$S$2</c:f>
              <c:numCache>
                <c:formatCode>General</c:formatCode>
                <c:ptCount val="6"/>
                <c:pt idx="0">
                  <c:v>2011</c:v>
                </c:pt>
                <c:pt idx="1">
                  <c:v>2012</c:v>
                </c:pt>
                <c:pt idx="2">
                  <c:v>2013</c:v>
                </c:pt>
                <c:pt idx="3">
                  <c:v>2014</c:v>
                </c:pt>
                <c:pt idx="4">
                  <c:v>2015</c:v>
                </c:pt>
                <c:pt idx="5">
                  <c:v>2016</c:v>
                </c:pt>
              </c:numCache>
            </c:numRef>
          </c:cat>
          <c:val>
            <c:numRef>
              <c:f>'Chart 17a DATA'!$N$5:$S$5</c:f>
              <c:numCache>
                <c:formatCode>0</c:formatCode>
                <c:ptCount val="6"/>
                <c:pt idx="0">
                  <c:v>66.310160427807489</c:v>
                </c:pt>
                <c:pt idx="1">
                  <c:v>82.320441988950279</c:v>
                </c:pt>
                <c:pt idx="2">
                  <c:v>97.282608695652172</c:v>
                </c:pt>
                <c:pt idx="3">
                  <c:v>90.751445086705203</c:v>
                </c:pt>
                <c:pt idx="4">
                  <c:v>81.725888324873097</c:v>
                </c:pt>
                <c:pt idx="5">
                  <c:v>85.380116959064324</c:v>
                </c:pt>
              </c:numCache>
            </c:numRef>
          </c:val>
        </c:ser>
        <c:ser>
          <c:idx val="3"/>
          <c:order val="3"/>
          <c:tx>
            <c:strRef>
              <c:f>'Chart 17a DATA'!$A$6</c:f>
              <c:strCache>
                <c:ptCount val="1"/>
                <c:pt idx="0">
                  <c:v>Dumfries &amp; Galloway (-)</c:v>
                </c:pt>
              </c:strCache>
            </c:strRef>
          </c:tx>
          <c:marker>
            <c:symbol val="none"/>
          </c:marker>
          <c:val>
            <c:numRef>
              <c:f>'Chart 17a DATA'!$N$6:$S$6</c:f>
              <c:numCache>
                <c:formatCode>0</c:formatCode>
                <c:ptCount val="6"/>
                <c:pt idx="0">
                  <c:v>81.057268722466958</c:v>
                </c:pt>
                <c:pt idx="1">
                  <c:v>81.818181818181827</c:v>
                </c:pt>
                <c:pt idx="2">
                  <c:v>85.546875</c:v>
                </c:pt>
                <c:pt idx="3">
                  <c:v>85.596707818930042</c:v>
                </c:pt>
                <c:pt idx="4">
                  <c:v>81.742738589211612</c:v>
                </c:pt>
                <c:pt idx="5">
                  <c:v>78.350515463917532</c:v>
                </c:pt>
              </c:numCache>
            </c:numRef>
          </c:val>
        </c:ser>
        <c:ser>
          <c:idx val="4"/>
          <c:order val="4"/>
          <c:tx>
            <c:strRef>
              <c:f>'Chart 17a DATA'!$A$7</c:f>
              <c:strCache>
                <c:ptCount val="1"/>
                <c:pt idx="0">
                  <c:v>Fife (+s)</c:v>
                </c:pt>
              </c:strCache>
            </c:strRef>
          </c:tx>
          <c:spPr>
            <a:ln>
              <a:prstDash val="dash"/>
            </a:ln>
          </c:spPr>
          <c:marker>
            <c:symbol val="none"/>
          </c:marker>
          <c:val>
            <c:numRef>
              <c:f>'Chart 17a DATA'!$N$7:$S$7</c:f>
              <c:numCache>
                <c:formatCode>0</c:formatCode>
                <c:ptCount val="6"/>
                <c:pt idx="0">
                  <c:v>77.097505668934247</c:v>
                </c:pt>
                <c:pt idx="1">
                  <c:v>78.863636363636374</c:v>
                </c:pt>
                <c:pt idx="2">
                  <c:v>90.496760259179268</c:v>
                </c:pt>
                <c:pt idx="3">
                  <c:v>86.04651162790698</c:v>
                </c:pt>
                <c:pt idx="4">
                  <c:v>84.63073852295409</c:v>
                </c:pt>
                <c:pt idx="5">
                  <c:v>87.571701720841304</c:v>
                </c:pt>
              </c:numCache>
            </c:numRef>
          </c:val>
        </c:ser>
        <c:ser>
          <c:idx val="5"/>
          <c:order val="5"/>
          <c:tx>
            <c:strRef>
              <c:f>'Chart 17a DATA'!$A$8</c:f>
              <c:strCache>
                <c:ptCount val="1"/>
                <c:pt idx="0">
                  <c:v>Forth Valley (+s)</c:v>
                </c:pt>
              </c:strCache>
            </c:strRef>
          </c:tx>
          <c:marker>
            <c:symbol val="none"/>
          </c:marker>
          <c:val>
            <c:numRef>
              <c:f>'Chart 17a DATA'!$N$8:$S$8</c:f>
              <c:numCache>
                <c:formatCode>0</c:formatCode>
                <c:ptCount val="6"/>
                <c:pt idx="0">
                  <c:v>63.615560640732262</c:v>
                </c:pt>
                <c:pt idx="1">
                  <c:v>82.816229116945109</c:v>
                </c:pt>
                <c:pt idx="2">
                  <c:v>72.681704260651628</c:v>
                </c:pt>
                <c:pt idx="3">
                  <c:v>81.149425287356323</c:v>
                </c:pt>
                <c:pt idx="4">
                  <c:v>76.374745417515271</c:v>
                </c:pt>
                <c:pt idx="5">
                  <c:v>85.477178423236509</c:v>
                </c:pt>
              </c:numCache>
            </c:numRef>
          </c:val>
        </c:ser>
        <c:ser>
          <c:idx val="6"/>
          <c:order val="6"/>
          <c:tx>
            <c:strRef>
              <c:f>'Chart 17a DATA'!$A$9</c:f>
              <c:strCache>
                <c:ptCount val="1"/>
                <c:pt idx="0">
                  <c:v>Grampian (-)</c:v>
                </c:pt>
              </c:strCache>
            </c:strRef>
          </c:tx>
          <c:marker>
            <c:symbol val="none"/>
          </c:marker>
          <c:val>
            <c:numRef>
              <c:f>'Chart 17a DATA'!$N$9:$S$9</c:f>
              <c:numCache>
                <c:formatCode>0</c:formatCode>
                <c:ptCount val="6"/>
                <c:pt idx="0">
                  <c:v>76.894639556377072</c:v>
                </c:pt>
                <c:pt idx="1">
                  <c:v>74.538745387453872</c:v>
                </c:pt>
                <c:pt idx="2">
                  <c:v>74.567474048442904</c:v>
                </c:pt>
                <c:pt idx="3">
                  <c:v>73.421926910299007</c:v>
                </c:pt>
                <c:pt idx="4">
                  <c:v>71.36498516320475</c:v>
                </c:pt>
                <c:pt idx="5">
                  <c:v>75.037593984962399</c:v>
                </c:pt>
              </c:numCache>
            </c:numRef>
          </c:val>
        </c:ser>
        <c:ser>
          <c:idx val="7"/>
          <c:order val="7"/>
          <c:tx>
            <c:strRef>
              <c:f>'Chart 17a DATA'!$A$10</c:f>
              <c:strCache>
                <c:ptCount val="1"/>
                <c:pt idx="0">
                  <c:v>Greater Glasgow &amp; Clyde (+s)</c:v>
                </c:pt>
              </c:strCache>
            </c:strRef>
          </c:tx>
          <c:spPr>
            <a:ln>
              <a:solidFill>
                <a:srgbClr val="C00000"/>
              </a:solidFill>
            </a:ln>
          </c:spPr>
          <c:marker>
            <c:symbol val="none"/>
          </c:marker>
          <c:val>
            <c:numRef>
              <c:f>'Chart 17a DATA'!$N$10:$S$10</c:f>
              <c:numCache>
                <c:formatCode>0</c:formatCode>
                <c:ptCount val="6"/>
                <c:pt idx="0">
                  <c:v>70.380434782608688</c:v>
                </c:pt>
                <c:pt idx="1">
                  <c:v>73.120955699352905</c:v>
                </c:pt>
                <c:pt idx="2">
                  <c:v>81.913827655310627</c:v>
                </c:pt>
                <c:pt idx="3">
                  <c:v>82.016890213611532</c:v>
                </c:pt>
                <c:pt idx="4">
                  <c:v>86.051080550098234</c:v>
                </c:pt>
                <c:pt idx="5">
                  <c:v>85.528756957328383</c:v>
                </c:pt>
              </c:numCache>
            </c:numRef>
          </c:val>
        </c:ser>
        <c:ser>
          <c:idx val="8"/>
          <c:order val="8"/>
          <c:tx>
            <c:strRef>
              <c:f>'Chart 17a DATA'!$A$11</c:f>
              <c:strCache>
                <c:ptCount val="1"/>
                <c:pt idx="0">
                  <c:v>Highland (+s)</c:v>
                </c:pt>
              </c:strCache>
            </c:strRef>
          </c:tx>
          <c:marker>
            <c:symbol val="none"/>
          </c:marker>
          <c:val>
            <c:numRef>
              <c:f>'Chart 17a DATA'!$N$11:$S$11</c:f>
              <c:numCache>
                <c:formatCode>0</c:formatCode>
                <c:ptCount val="6"/>
                <c:pt idx="0">
                  <c:v>47.074468085106389</c:v>
                </c:pt>
                <c:pt idx="1">
                  <c:v>68.15789473684211</c:v>
                </c:pt>
                <c:pt idx="2">
                  <c:v>73.68421052631578</c:v>
                </c:pt>
                <c:pt idx="3">
                  <c:v>74.870466321243526</c:v>
                </c:pt>
                <c:pt idx="4">
                  <c:v>60.742705570291776</c:v>
                </c:pt>
                <c:pt idx="5">
                  <c:v>66.480446927374302</c:v>
                </c:pt>
              </c:numCache>
            </c:numRef>
          </c:val>
        </c:ser>
        <c:ser>
          <c:idx val="9"/>
          <c:order val="9"/>
          <c:tx>
            <c:strRef>
              <c:f>'Chart 17a DATA'!$A$12</c:f>
              <c:strCache>
                <c:ptCount val="1"/>
                <c:pt idx="0">
                  <c:v>Lanarkshire (-)</c:v>
                </c:pt>
              </c:strCache>
            </c:strRef>
          </c:tx>
          <c:spPr>
            <a:ln>
              <a:solidFill>
                <a:schemeClr val="bg2">
                  <a:lumMod val="50000"/>
                </a:schemeClr>
              </a:solidFill>
            </a:ln>
          </c:spPr>
          <c:marker>
            <c:symbol val="none"/>
          </c:marker>
          <c:val>
            <c:numRef>
              <c:f>'Chart 17a DATA'!$N$12:$S$12</c:f>
              <c:numCache>
                <c:formatCode>0</c:formatCode>
                <c:ptCount val="6"/>
                <c:pt idx="0">
                  <c:v>84.409257003654076</c:v>
                </c:pt>
                <c:pt idx="1">
                  <c:v>91.517857142857139</c:v>
                </c:pt>
                <c:pt idx="2">
                  <c:v>89.5</c:v>
                </c:pt>
                <c:pt idx="3">
                  <c:v>89.382716049382722</c:v>
                </c:pt>
                <c:pt idx="4">
                  <c:v>81.093935790725325</c:v>
                </c:pt>
                <c:pt idx="5">
                  <c:v>86.674528301886795</c:v>
                </c:pt>
              </c:numCache>
            </c:numRef>
          </c:val>
        </c:ser>
        <c:ser>
          <c:idx val="10"/>
          <c:order val="10"/>
          <c:tx>
            <c:strRef>
              <c:f>'Chart 17a DATA'!$A$13</c:f>
              <c:strCache>
                <c:ptCount val="1"/>
                <c:pt idx="0">
                  <c:v>Lothian (-s)</c:v>
                </c:pt>
              </c:strCache>
            </c:strRef>
          </c:tx>
          <c:spPr>
            <a:ln>
              <a:prstDash val="lgDash"/>
            </a:ln>
          </c:spPr>
          <c:marker>
            <c:symbol val="none"/>
          </c:marker>
          <c:val>
            <c:numRef>
              <c:f>'Chart 17a DATA'!$N$13:$S$13</c:f>
              <c:numCache>
                <c:formatCode>0</c:formatCode>
                <c:ptCount val="6"/>
                <c:pt idx="0">
                  <c:v>78.794642857142861</c:v>
                </c:pt>
                <c:pt idx="1">
                  <c:v>70.301624129930389</c:v>
                </c:pt>
                <c:pt idx="2">
                  <c:v>68.035714285714292</c:v>
                </c:pt>
                <c:pt idx="3">
                  <c:v>61.764705882352942</c:v>
                </c:pt>
                <c:pt idx="4">
                  <c:v>63.208369659982566</c:v>
                </c:pt>
                <c:pt idx="5">
                  <c:v>68.648648648648646</c:v>
                </c:pt>
              </c:numCache>
            </c:numRef>
          </c:val>
        </c:ser>
        <c:ser>
          <c:idx val="11"/>
          <c:order val="11"/>
          <c:tx>
            <c:strRef>
              <c:f>'Chart 17a DATA'!$A$14</c:f>
              <c:strCache>
                <c:ptCount val="1"/>
                <c:pt idx="0">
                  <c:v>Orkney (+)</c:v>
                </c:pt>
              </c:strCache>
            </c:strRef>
          </c:tx>
          <c:spPr>
            <a:ln>
              <a:solidFill>
                <a:schemeClr val="bg1">
                  <a:lumMod val="65000"/>
                </a:schemeClr>
              </a:solidFill>
              <a:prstDash val="lgDash"/>
            </a:ln>
          </c:spPr>
          <c:marker>
            <c:symbol val="none"/>
          </c:marker>
          <c:val>
            <c:numRef>
              <c:f>'Chart 17a DATA'!$N$14:$S$14</c:f>
              <c:numCache>
                <c:formatCode>0</c:formatCode>
                <c:ptCount val="6"/>
                <c:pt idx="0">
                  <c:v>70.370370370370367</c:v>
                </c:pt>
                <c:pt idx="1">
                  <c:v>50</c:v>
                </c:pt>
                <c:pt idx="2">
                  <c:v>64.86486486486487</c:v>
                </c:pt>
                <c:pt idx="3">
                  <c:v>80.645161290322577</c:v>
                </c:pt>
                <c:pt idx="4">
                  <c:v>73.076923076923066</c:v>
                </c:pt>
                <c:pt idx="5">
                  <c:v>61.53846153846154</c:v>
                </c:pt>
              </c:numCache>
            </c:numRef>
          </c:val>
        </c:ser>
        <c:ser>
          <c:idx val="12"/>
          <c:order val="12"/>
          <c:tx>
            <c:strRef>
              <c:f>'Chart 17a DATA'!$A$15</c:f>
              <c:strCache>
                <c:ptCount val="1"/>
                <c:pt idx="0">
                  <c:v>Shetland (-)</c:v>
                </c:pt>
              </c:strCache>
            </c:strRef>
          </c:tx>
          <c:spPr>
            <a:ln w="38100">
              <a:prstDash val="lgDashDotDot"/>
            </a:ln>
          </c:spPr>
          <c:marker>
            <c:symbol val="none"/>
          </c:marker>
          <c:val>
            <c:numRef>
              <c:f>'Chart 17a DATA'!$N$15:$S$15</c:f>
              <c:numCache>
                <c:formatCode>0</c:formatCode>
                <c:ptCount val="6"/>
                <c:pt idx="0">
                  <c:v>100</c:v>
                </c:pt>
                <c:pt idx="1">
                  <c:v>100</c:v>
                </c:pt>
                <c:pt idx="2">
                  <c:v>100</c:v>
                </c:pt>
                <c:pt idx="3">
                  <c:v>100</c:v>
                </c:pt>
                <c:pt idx="4">
                  <c:v>100</c:v>
                </c:pt>
                <c:pt idx="5">
                  <c:v>97.222222222222214</c:v>
                </c:pt>
              </c:numCache>
            </c:numRef>
          </c:val>
        </c:ser>
        <c:ser>
          <c:idx val="13"/>
          <c:order val="13"/>
          <c:tx>
            <c:strRef>
              <c:f>'Chart 17a DATA'!$A$16</c:f>
              <c:strCache>
                <c:ptCount val="1"/>
                <c:pt idx="0">
                  <c:v>Tayside (-s)</c:v>
                </c:pt>
              </c:strCache>
            </c:strRef>
          </c:tx>
          <c:marker>
            <c:symbol val="none"/>
          </c:marker>
          <c:val>
            <c:numRef>
              <c:f>'Chart 17a DATA'!$N$16:$S$16</c:f>
              <c:numCache>
                <c:formatCode>0</c:formatCode>
                <c:ptCount val="6"/>
                <c:pt idx="0">
                  <c:v>87.54646840148699</c:v>
                </c:pt>
                <c:pt idx="1">
                  <c:v>86.145648312611016</c:v>
                </c:pt>
                <c:pt idx="2">
                  <c:v>85.714285714285708</c:v>
                </c:pt>
                <c:pt idx="3">
                  <c:v>80.961538461538467</c:v>
                </c:pt>
                <c:pt idx="4">
                  <c:v>77.068965517241381</c:v>
                </c:pt>
                <c:pt idx="5">
                  <c:v>79.115853658536579</c:v>
                </c:pt>
              </c:numCache>
            </c:numRef>
          </c:val>
        </c:ser>
        <c:ser>
          <c:idx val="14"/>
          <c:order val="14"/>
          <c:tx>
            <c:strRef>
              <c:f>'Chart 17a DATA'!$A$17</c:f>
              <c:strCache>
                <c:ptCount val="1"/>
                <c:pt idx="0">
                  <c:v>Western Isles (+)</c:v>
                </c:pt>
              </c:strCache>
            </c:strRef>
          </c:tx>
          <c:marker>
            <c:symbol val="none"/>
          </c:marker>
          <c:val>
            <c:numRef>
              <c:f>'Chart 17a DATA'!$N$17:$S$17</c:f>
              <c:numCache>
                <c:formatCode>0</c:formatCode>
                <c:ptCount val="6"/>
                <c:pt idx="0">
                  <c:v>93.103448275862064</c:v>
                </c:pt>
                <c:pt idx="1">
                  <c:v>75</c:v>
                </c:pt>
                <c:pt idx="2">
                  <c:v>91.304347826086953</c:v>
                </c:pt>
                <c:pt idx="3">
                  <c:v>95</c:v>
                </c:pt>
                <c:pt idx="4">
                  <c:v>90.625</c:v>
                </c:pt>
                <c:pt idx="5">
                  <c:v>100</c:v>
                </c:pt>
              </c:numCache>
            </c:numRef>
          </c:val>
        </c:ser>
        <c:marker val="1"/>
        <c:axId val="103504896"/>
        <c:axId val="103518976"/>
      </c:lineChart>
      <c:catAx>
        <c:axId val="103504896"/>
        <c:scaling>
          <c:orientation val="minMax"/>
        </c:scaling>
        <c:axPos val="b"/>
        <c:numFmt formatCode="General" sourceLinked="1"/>
        <c:tickLblPos val="nextTo"/>
        <c:crossAx val="103518976"/>
        <c:crosses val="autoZero"/>
        <c:auto val="1"/>
        <c:lblAlgn val="ctr"/>
        <c:lblOffset val="100"/>
      </c:catAx>
      <c:valAx>
        <c:axId val="103518976"/>
        <c:scaling>
          <c:orientation val="minMax"/>
          <c:max val="100"/>
        </c:scaling>
        <c:axPos val="l"/>
        <c:title>
          <c:tx>
            <c:rich>
              <a:bodyPr rot="0" vert="wordArtVert"/>
              <a:lstStyle/>
              <a:p>
                <a:pPr>
                  <a:defRPr/>
                </a:pPr>
                <a:r>
                  <a:rPr lang="en-GB"/>
                  <a:t>%</a:t>
                </a:r>
              </a:p>
            </c:rich>
          </c:tx>
        </c:title>
        <c:numFmt formatCode="0" sourceLinked="1"/>
        <c:tickLblPos val="nextTo"/>
        <c:crossAx val="103504896"/>
        <c:crosses val="autoZero"/>
        <c:crossBetween val="between"/>
      </c:valAx>
      <c:spPr>
        <a:ln>
          <a:solidFill>
            <a:sysClr val="windowText" lastClr="000000"/>
          </a:solidFill>
        </a:ln>
      </c:spPr>
    </c:plotArea>
    <c:legend>
      <c:legendPos val="r"/>
      <c:layout>
        <c:manualLayout>
          <c:xMode val="edge"/>
          <c:yMode val="edge"/>
          <c:x val="0.78317702474689999"/>
          <c:y val="6.4820728604140954E-2"/>
          <c:w val="0.20789440382452673"/>
          <c:h val="0.87035831205140135"/>
        </c:manualLayout>
      </c:layout>
      <c:spPr>
        <a:ln>
          <a:solidFill>
            <a:schemeClr val="tx1"/>
          </a:solidFill>
        </a:ln>
      </c:spPr>
      <c:txPr>
        <a:bodyPr/>
        <a:lstStyle/>
        <a:p>
          <a:pPr>
            <a:defRPr sz="900"/>
          </a:pPr>
          <a:endParaRPr lang="en-US"/>
        </a:p>
      </c:txPr>
    </c:legend>
    <c:plotVisOnly val="1"/>
  </c:chart>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17c DATA'!$A$3</c:f>
              <c:strCache>
                <c:ptCount val="1"/>
                <c:pt idx="0">
                  <c:v>Scotland (+s)</c:v>
                </c:pt>
              </c:strCache>
            </c:strRef>
          </c:tx>
          <c:spPr>
            <a:ln w="63500">
              <a:solidFill>
                <a:schemeClr val="tx1"/>
              </a:solidFill>
            </a:ln>
          </c:spPr>
          <c:marker>
            <c:symbol val="none"/>
          </c:marker>
          <c:cat>
            <c:numRef>
              <c:f>'Chart 17c DATA'!$N$2:$S$2</c:f>
              <c:numCache>
                <c:formatCode>General</c:formatCode>
                <c:ptCount val="6"/>
                <c:pt idx="0">
                  <c:v>2011</c:v>
                </c:pt>
                <c:pt idx="1">
                  <c:v>2012</c:v>
                </c:pt>
                <c:pt idx="2">
                  <c:v>2013</c:v>
                </c:pt>
                <c:pt idx="3">
                  <c:v>2014</c:v>
                </c:pt>
                <c:pt idx="4">
                  <c:v>2015</c:v>
                </c:pt>
                <c:pt idx="5">
                  <c:v>2016</c:v>
                </c:pt>
              </c:numCache>
            </c:numRef>
          </c:cat>
          <c:val>
            <c:numRef>
              <c:f>'Chart 17c DATA'!$N$3:$S$3</c:f>
              <c:numCache>
                <c:formatCode>0</c:formatCode>
                <c:ptCount val="6"/>
                <c:pt idx="0">
                  <c:v>79.33894377363093</c:v>
                </c:pt>
                <c:pt idx="1">
                  <c:v>82.826250942921803</c:v>
                </c:pt>
                <c:pt idx="2">
                  <c:v>87.40681270787934</c:v>
                </c:pt>
                <c:pt idx="3">
                  <c:v>89.715335169880632</c:v>
                </c:pt>
                <c:pt idx="4">
                  <c:v>91.378928729526336</c:v>
                </c:pt>
                <c:pt idx="5">
                  <c:v>92.761050608584242</c:v>
                </c:pt>
              </c:numCache>
            </c:numRef>
          </c:val>
        </c:ser>
        <c:ser>
          <c:idx val="0"/>
          <c:order val="1"/>
          <c:tx>
            <c:strRef>
              <c:f>'Chart 17c DATA'!$A$4</c:f>
              <c:strCache>
                <c:ptCount val="1"/>
                <c:pt idx="0">
                  <c:v>Ayrshire &amp; Arran (+s)</c:v>
                </c:pt>
              </c:strCache>
            </c:strRef>
          </c:tx>
          <c:spPr>
            <a:ln w="19050"/>
          </c:spPr>
          <c:marker>
            <c:symbol val="none"/>
          </c:marker>
          <c:cat>
            <c:numRef>
              <c:f>'Chart 17c DATA'!$N$2:$S$2</c:f>
              <c:numCache>
                <c:formatCode>General</c:formatCode>
                <c:ptCount val="6"/>
                <c:pt idx="0">
                  <c:v>2011</c:v>
                </c:pt>
                <c:pt idx="1">
                  <c:v>2012</c:v>
                </c:pt>
                <c:pt idx="2">
                  <c:v>2013</c:v>
                </c:pt>
                <c:pt idx="3">
                  <c:v>2014</c:v>
                </c:pt>
                <c:pt idx="4">
                  <c:v>2015</c:v>
                </c:pt>
                <c:pt idx="5">
                  <c:v>2016</c:v>
                </c:pt>
              </c:numCache>
            </c:numRef>
          </c:cat>
          <c:val>
            <c:numRef>
              <c:f>'Chart 17c DATA'!$N$4:$S$4</c:f>
              <c:numCache>
                <c:formatCode>0</c:formatCode>
                <c:ptCount val="6"/>
                <c:pt idx="0">
                  <c:v>62.5</c:v>
                </c:pt>
                <c:pt idx="1">
                  <c:v>68.006182380216387</c:v>
                </c:pt>
                <c:pt idx="2">
                  <c:v>77.939042089985492</c:v>
                </c:pt>
                <c:pt idx="3">
                  <c:v>83.280757097791806</c:v>
                </c:pt>
                <c:pt idx="4">
                  <c:v>84.122137404580158</c:v>
                </c:pt>
                <c:pt idx="5">
                  <c:v>91.715976331360949</c:v>
                </c:pt>
              </c:numCache>
            </c:numRef>
          </c:val>
        </c:ser>
        <c:ser>
          <c:idx val="2"/>
          <c:order val="2"/>
          <c:tx>
            <c:strRef>
              <c:f>'Chart 17c DATA'!$A$5</c:f>
              <c:strCache>
                <c:ptCount val="1"/>
                <c:pt idx="0">
                  <c:v>Borders (+s)</c:v>
                </c:pt>
              </c:strCache>
            </c:strRef>
          </c:tx>
          <c:spPr>
            <a:ln w="38100">
              <a:prstDash val="sysDot"/>
            </a:ln>
          </c:spPr>
          <c:marker>
            <c:symbol val="none"/>
          </c:marker>
          <c:cat>
            <c:numRef>
              <c:f>'Chart 17c DATA'!$N$2:$S$2</c:f>
              <c:numCache>
                <c:formatCode>General</c:formatCode>
                <c:ptCount val="6"/>
                <c:pt idx="0">
                  <c:v>2011</c:v>
                </c:pt>
                <c:pt idx="1">
                  <c:v>2012</c:v>
                </c:pt>
                <c:pt idx="2">
                  <c:v>2013</c:v>
                </c:pt>
                <c:pt idx="3">
                  <c:v>2014</c:v>
                </c:pt>
                <c:pt idx="4">
                  <c:v>2015</c:v>
                </c:pt>
                <c:pt idx="5">
                  <c:v>2016</c:v>
                </c:pt>
              </c:numCache>
            </c:numRef>
          </c:cat>
          <c:val>
            <c:numRef>
              <c:f>'Chart 17c DATA'!$N$5:$S$5</c:f>
              <c:numCache>
                <c:formatCode>0</c:formatCode>
                <c:ptCount val="6"/>
                <c:pt idx="0">
                  <c:v>87.44588744588745</c:v>
                </c:pt>
                <c:pt idx="1">
                  <c:v>95.794392523364493</c:v>
                </c:pt>
                <c:pt idx="2">
                  <c:v>94.090909090909093</c:v>
                </c:pt>
                <c:pt idx="3">
                  <c:v>98.543689320388353</c:v>
                </c:pt>
                <c:pt idx="4">
                  <c:v>99.111111111111114</c:v>
                </c:pt>
                <c:pt idx="5">
                  <c:v>98.611111111111114</c:v>
                </c:pt>
              </c:numCache>
            </c:numRef>
          </c:val>
        </c:ser>
        <c:ser>
          <c:idx val="3"/>
          <c:order val="3"/>
          <c:tx>
            <c:strRef>
              <c:f>'Chart 17c DATA'!$A$6</c:f>
              <c:strCache>
                <c:ptCount val="1"/>
                <c:pt idx="0">
                  <c:v>Dumfries &amp; Galloway (+s)</c:v>
                </c:pt>
              </c:strCache>
            </c:strRef>
          </c:tx>
          <c:marker>
            <c:symbol val="none"/>
          </c:marker>
          <c:val>
            <c:numRef>
              <c:f>'Chart 17c DATA'!$N$6:$S$6</c:f>
              <c:numCache>
                <c:formatCode>0</c:formatCode>
                <c:ptCount val="6"/>
                <c:pt idx="0">
                  <c:v>83.333333333333343</c:v>
                </c:pt>
                <c:pt idx="1">
                  <c:v>82.491582491582491</c:v>
                </c:pt>
                <c:pt idx="2">
                  <c:v>86.941580756013749</c:v>
                </c:pt>
                <c:pt idx="3">
                  <c:v>91.986062717770039</c:v>
                </c:pt>
                <c:pt idx="4">
                  <c:v>91.549295774647888</c:v>
                </c:pt>
                <c:pt idx="5">
                  <c:v>90.833333333333329</c:v>
                </c:pt>
              </c:numCache>
            </c:numRef>
          </c:val>
        </c:ser>
        <c:ser>
          <c:idx val="4"/>
          <c:order val="4"/>
          <c:tx>
            <c:strRef>
              <c:f>'Chart 17c DATA'!$A$7</c:f>
              <c:strCache>
                <c:ptCount val="1"/>
                <c:pt idx="0">
                  <c:v>Fife (+s)</c:v>
                </c:pt>
              </c:strCache>
            </c:strRef>
          </c:tx>
          <c:spPr>
            <a:ln>
              <a:prstDash val="dash"/>
            </a:ln>
          </c:spPr>
          <c:marker>
            <c:symbol val="none"/>
          </c:marker>
          <c:val>
            <c:numRef>
              <c:f>'Chart 17c DATA'!$N$7:$S$7</c:f>
              <c:numCache>
                <c:formatCode>0</c:formatCode>
                <c:ptCount val="6"/>
                <c:pt idx="0">
                  <c:v>79.292035398230084</c:v>
                </c:pt>
                <c:pt idx="1">
                  <c:v>91.320072332730561</c:v>
                </c:pt>
                <c:pt idx="2">
                  <c:v>94.398682042833599</c:v>
                </c:pt>
                <c:pt idx="3">
                  <c:v>93.699515347334412</c:v>
                </c:pt>
                <c:pt idx="4">
                  <c:v>95.721077654516634</c:v>
                </c:pt>
                <c:pt idx="5">
                  <c:v>95.187969924812037</c:v>
                </c:pt>
              </c:numCache>
            </c:numRef>
          </c:val>
        </c:ser>
        <c:ser>
          <c:idx val="5"/>
          <c:order val="5"/>
          <c:tx>
            <c:strRef>
              <c:f>'Chart 17c DATA'!$A$8</c:f>
              <c:strCache>
                <c:ptCount val="1"/>
                <c:pt idx="0">
                  <c:v>Forth Valley (+s)</c:v>
                </c:pt>
              </c:strCache>
            </c:strRef>
          </c:tx>
          <c:marker>
            <c:symbol val="none"/>
          </c:marker>
          <c:val>
            <c:numRef>
              <c:f>'Chart 17c DATA'!$N$8:$S$8</c:f>
              <c:numCache>
                <c:formatCode>0</c:formatCode>
                <c:ptCount val="6"/>
                <c:pt idx="0">
                  <c:v>86.94852941176471</c:v>
                </c:pt>
                <c:pt idx="1">
                  <c:v>89.075630252100851</c:v>
                </c:pt>
                <c:pt idx="2">
                  <c:v>92.016806722689068</c:v>
                </c:pt>
                <c:pt idx="3">
                  <c:v>94.642857142857139</c:v>
                </c:pt>
                <c:pt idx="4">
                  <c:v>96.316758747697975</c:v>
                </c:pt>
                <c:pt idx="5">
                  <c:v>95.009596928982717</c:v>
                </c:pt>
              </c:numCache>
            </c:numRef>
          </c:val>
        </c:ser>
        <c:ser>
          <c:idx val="6"/>
          <c:order val="6"/>
          <c:tx>
            <c:strRef>
              <c:f>'Chart 17c DATA'!$A$9</c:f>
              <c:strCache>
                <c:ptCount val="1"/>
                <c:pt idx="0">
                  <c:v>Grampian (+s)</c:v>
                </c:pt>
              </c:strCache>
            </c:strRef>
          </c:tx>
          <c:marker>
            <c:symbol val="none"/>
          </c:marker>
          <c:val>
            <c:numRef>
              <c:f>'Chart 17c DATA'!$N$9:$S$9</c:f>
              <c:numCache>
                <c:formatCode>0</c:formatCode>
                <c:ptCount val="6"/>
                <c:pt idx="0">
                  <c:v>79.0625</c:v>
                </c:pt>
                <c:pt idx="1">
                  <c:v>81.299524564183827</c:v>
                </c:pt>
                <c:pt idx="2">
                  <c:v>88.775510204081627</c:v>
                </c:pt>
                <c:pt idx="3">
                  <c:v>90.138888888888886</c:v>
                </c:pt>
                <c:pt idx="4">
                  <c:v>93.277310924369743</c:v>
                </c:pt>
                <c:pt idx="5">
                  <c:v>92.471769134253449</c:v>
                </c:pt>
              </c:numCache>
            </c:numRef>
          </c:val>
        </c:ser>
        <c:ser>
          <c:idx val="7"/>
          <c:order val="7"/>
          <c:tx>
            <c:strRef>
              <c:f>'Chart 17c DATA'!$A$10</c:f>
              <c:strCache>
                <c:ptCount val="1"/>
                <c:pt idx="0">
                  <c:v>Greater Glasgow &amp; Clyde (+s)</c:v>
                </c:pt>
              </c:strCache>
            </c:strRef>
          </c:tx>
          <c:spPr>
            <a:ln>
              <a:solidFill>
                <a:srgbClr val="C00000"/>
              </a:solidFill>
            </a:ln>
          </c:spPr>
          <c:marker>
            <c:symbol val="none"/>
          </c:marker>
          <c:val>
            <c:numRef>
              <c:f>'Chart 17c DATA'!$N$10:$S$10</c:f>
              <c:numCache>
                <c:formatCode>0</c:formatCode>
                <c:ptCount val="6"/>
                <c:pt idx="0">
                  <c:v>81.546489563567363</c:v>
                </c:pt>
                <c:pt idx="1">
                  <c:v>80.097734340293201</c:v>
                </c:pt>
                <c:pt idx="2">
                  <c:v>85.56792873051225</c:v>
                </c:pt>
                <c:pt idx="3">
                  <c:v>88.533333333333331</c:v>
                </c:pt>
                <c:pt idx="4">
                  <c:v>91.741472172351891</c:v>
                </c:pt>
                <c:pt idx="5">
                  <c:v>93.905002101723412</c:v>
                </c:pt>
              </c:numCache>
            </c:numRef>
          </c:val>
        </c:ser>
        <c:ser>
          <c:idx val="8"/>
          <c:order val="8"/>
          <c:tx>
            <c:strRef>
              <c:f>'Chart 17c DATA'!$A$11</c:f>
              <c:strCache>
                <c:ptCount val="1"/>
                <c:pt idx="0">
                  <c:v>Highland (+s)</c:v>
                </c:pt>
              </c:strCache>
            </c:strRef>
          </c:tx>
          <c:marker>
            <c:symbol val="none"/>
          </c:marker>
          <c:val>
            <c:numRef>
              <c:f>'Chart 17c DATA'!$N$11:$S$11</c:f>
              <c:numCache>
                <c:formatCode>0</c:formatCode>
                <c:ptCount val="6"/>
                <c:pt idx="0">
                  <c:v>62.178217821782177</c:v>
                </c:pt>
                <c:pt idx="1">
                  <c:v>75.764192139738</c:v>
                </c:pt>
                <c:pt idx="2">
                  <c:v>87.763713080168785</c:v>
                </c:pt>
                <c:pt idx="3">
                  <c:v>90.084388185654007</c:v>
                </c:pt>
                <c:pt idx="4">
                  <c:v>88</c:v>
                </c:pt>
                <c:pt idx="5">
                  <c:v>90.811965811965806</c:v>
                </c:pt>
              </c:numCache>
            </c:numRef>
          </c:val>
        </c:ser>
        <c:ser>
          <c:idx val="9"/>
          <c:order val="9"/>
          <c:tx>
            <c:strRef>
              <c:f>'Chart 17c DATA'!$A$12</c:f>
              <c:strCache>
                <c:ptCount val="1"/>
                <c:pt idx="0">
                  <c:v>Lanarkshire (+s)</c:v>
                </c:pt>
              </c:strCache>
            </c:strRef>
          </c:tx>
          <c:spPr>
            <a:ln>
              <a:solidFill>
                <a:schemeClr val="bg2">
                  <a:lumMod val="50000"/>
                </a:schemeClr>
              </a:solidFill>
            </a:ln>
          </c:spPr>
          <c:marker>
            <c:symbol val="none"/>
          </c:marker>
          <c:val>
            <c:numRef>
              <c:f>'Chart 17c DATA'!$N$12:$S$12</c:f>
              <c:numCache>
                <c:formatCode>0</c:formatCode>
                <c:ptCount val="6"/>
                <c:pt idx="0">
                  <c:v>77.402323125659976</c:v>
                </c:pt>
                <c:pt idx="1">
                  <c:v>86.297760210803688</c:v>
                </c:pt>
                <c:pt idx="2">
                  <c:v>89.877641824249167</c:v>
                </c:pt>
                <c:pt idx="3">
                  <c:v>92.399565689467963</c:v>
                </c:pt>
                <c:pt idx="4">
                  <c:v>92.444910807974807</c:v>
                </c:pt>
                <c:pt idx="5">
                  <c:v>92.538860103626945</c:v>
                </c:pt>
              </c:numCache>
            </c:numRef>
          </c:val>
        </c:ser>
        <c:ser>
          <c:idx val="10"/>
          <c:order val="10"/>
          <c:tx>
            <c:strRef>
              <c:f>'Chart 17c DATA'!$A$13</c:f>
              <c:strCache>
                <c:ptCount val="1"/>
                <c:pt idx="0">
                  <c:v>Lothian (-)</c:v>
                </c:pt>
              </c:strCache>
            </c:strRef>
          </c:tx>
          <c:spPr>
            <a:ln>
              <a:prstDash val="lgDash"/>
            </a:ln>
          </c:spPr>
          <c:marker>
            <c:symbol val="none"/>
          </c:marker>
          <c:val>
            <c:numRef>
              <c:f>'Chart 17c DATA'!$N$13:$S$13</c:f>
              <c:numCache>
                <c:formatCode>0</c:formatCode>
                <c:ptCount val="6"/>
                <c:pt idx="0">
                  <c:v>92.725509214355</c:v>
                </c:pt>
                <c:pt idx="1">
                  <c:v>92.5420168067227</c:v>
                </c:pt>
                <c:pt idx="2">
                  <c:v>90.808823529411768</c:v>
                </c:pt>
                <c:pt idx="3">
                  <c:v>90.710767065446873</c:v>
                </c:pt>
                <c:pt idx="4">
                  <c:v>91.573816155988865</c:v>
                </c:pt>
                <c:pt idx="5">
                  <c:v>92.365887207702883</c:v>
                </c:pt>
              </c:numCache>
            </c:numRef>
          </c:val>
        </c:ser>
        <c:ser>
          <c:idx val="11"/>
          <c:order val="11"/>
          <c:tx>
            <c:strRef>
              <c:f>'Chart 17c DATA'!$A$14</c:f>
              <c:strCache>
                <c:ptCount val="1"/>
                <c:pt idx="0">
                  <c:v>Orkney (+s)</c:v>
                </c:pt>
              </c:strCache>
            </c:strRef>
          </c:tx>
          <c:spPr>
            <a:ln>
              <a:solidFill>
                <a:schemeClr val="bg1">
                  <a:lumMod val="65000"/>
                </a:schemeClr>
              </a:solidFill>
              <a:prstDash val="lgDash"/>
            </a:ln>
          </c:spPr>
          <c:marker>
            <c:symbol val="none"/>
          </c:marker>
          <c:val>
            <c:numRef>
              <c:f>'Chart 17c DATA'!$N$14:$S$14</c:f>
              <c:numCache>
                <c:formatCode>0</c:formatCode>
                <c:ptCount val="6"/>
                <c:pt idx="0">
                  <c:v>37.037037037037038</c:v>
                </c:pt>
                <c:pt idx="1">
                  <c:v>18.181818181818183</c:v>
                </c:pt>
                <c:pt idx="2">
                  <c:v>30.952380952380953</c:v>
                </c:pt>
                <c:pt idx="3">
                  <c:v>27.500000000000004</c:v>
                </c:pt>
                <c:pt idx="4">
                  <c:v>73.170731707317074</c:v>
                </c:pt>
                <c:pt idx="5">
                  <c:v>88.888888888888886</c:v>
                </c:pt>
              </c:numCache>
            </c:numRef>
          </c:val>
        </c:ser>
        <c:ser>
          <c:idx val="12"/>
          <c:order val="12"/>
          <c:tx>
            <c:strRef>
              <c:f>'Chart 17c DATA'!$A$15</c:f>
              <c:strCache>
                <c:ptCount val="1"/>
                <c:pt idx="0">
                  <c:v>Shetland (+s)</c:v>
                </c:pt>
              </c:strCache>
            </c:strRef>
          </c:tx>
          <c:spPr>
            <a:ln w="38100">
              <a:prstDash val="lgDashDotDot"/>
            </a:ln>
          </c:spPr>
          <c:marker>
            <c:symbol val="none"/>
          </c:marker>
          <c:val>
            <c:numRef>
              <c:f>'Chart 17c DATA'!$N$15:$S$15</c:f>
              <c:numCache>
                <c:formatCode>0</c:formatCode>
                <c:ptCount val="6"/>
                <c:pt idx="0">
                  <c:v>50</c:v>
                </c:pt>
                <c:pt idx="1">
                  <c:v>73.076923076923066</c:v>
                </c:pt>
                <c:pt idx="2">
                  <c:v>62.857142857142854</c:v>
                </c:pt>
                <c:pt idx="3">
                  <c:v>80</c:v>
                </c:pt>
                <c:pt idx="4">
                  <c:v>85.714285714285708</c:v>
                </c:pt>
                <c:pt idx="5">
                  <c:v>92.682926829268297</c:v>
                </c:pt>
              </c:numCache>
            </c:numRef>
          </c:val>
        </c:ser>
        <c:ser>
          <c:idx val="13"/>
          <c:order val="13"/>
          <c:tx>
            <c:strRef>
              <c:f>'Chart 17c DATA'!$A$16</c:f>
              <c:strCache>
                <c:ptCount val="1"/>
                <c:pt idx="0">
                  <c:v>Tayside (+s)</c:v>
                </c:pt>
              </c:strCache>
            </c:strRef>
          </c:tx>
          <c:marker>
            <c:symbol val="none"/>
          </c:marker>
          <c:val>
            <c:numRef>
              <c:f>'Chart 17c DATA'!$N$16:$S$16</c:f>
              <c:numCache>
                <c:formatCode>0</c:formatCode>
                <c:ptCount val="6"/>
                <c:pt idx="0">
                  <c:v>75.829383886255926</c:v>
                </c:pt>
                <c:pt idx="1">
                  <c:v>82.103610675039249</c:v>
                </c:pt>
                <c:pt idx="2">
                  <c:v>84.812030075187977</c:v>
                </c:pt>
                <c:pt idx="3">
                  <c:v>85.66493955094991</c:v>
                </c:pt>
                <c:pt idx="4">
                  <c:v>85.714285714285708</c:v>
                </c:pt>
                <c:pt idx="5">
                  <c:v>87.74647887323944</c:v>
                </c:pt>
              </c:numCache>
            </c:numRef>
          </c:val>
        </c:ser>
        <c:ser>
          <c:idx val="14"/>
          <c:order val="14"/>
          <c:tx>
            <c:strRef>
              <c:f>'Chart 17c DATA'!$A$17</c:f>
              <c:strCache>
                <c:ptCount val="1"/>
                <c:pt idx="0">
                  <c:v>Western Isles (+)</c:v>
                </c:pt>
              </c:strCache>
            </c:strRef>
          </c:tx>
          <c:marker>
            <c:symbol val="none"/>
          </c:marker>
          <c:val>
            <c:numRef>
              <c:f>'Chart 17c DATA'!$N$17:$S$17</c:f>
              <c:numCache>
                <c:formatCode>0</c:formatCode>
                <c:ptCount val="6"/>
                <c:pt idx="0">
                  <c:v>96.666666666666671</c:v>
                </c:pt>
                <c:pt idx="1">
                  <c:v>77.41935483870968</c:v>
                </c:pt>
                <c:pt idx="2">
                  <c:v>83.333333333333343</c:v>
                </c:pt>
                <c:pt idx="3">
                  <c:v>95.454545454545453</c:v>
                </c:pt>
                <c:pt idx="4">
                  <c:v>94.285714285714278</c:v>
                </c:pt>
                <c:pt idx="5">
                  <c:v>100</c:v>
                </c:pt>
              </c:numCache>
            </c:numRef>
          </c:val>
        </c:ser>
        <c:marker val="1"/>
        <c:axId val="103940864"/>
        <c:axId val="103942400"/>
      </c:lineChart>
      <c:catAx>
        <c:axId val="103940864"/>
        <c:scaling>
          <c:orientation val="minMax"/>
        </c:scaling>
        <c:axPos val="b"/>
        <c:numFmt formatCode="General" sourceLinked="1"/>
        <c:tickLblPos val="nextTo"/>
        <c:crossAx val="103942400"/>
        <c:crosses val="autoZero"/>
        <c:auto val="1"/>
        <c:lblAlgn val="ctr"/>
        <c:lblOffset val="100"/>
      </c:catAx>
      <c:valAx>
        <c:axId val="103942400"/>
        <c:scaling>
          <c:orientation val="minMax"/>
          <c:max val="100"/>
        </c:scaling>
        <c:axPos val="l"/>
        <c:title>
          <c:tx>
            <c:rich>
              <a:bodyPr rot="0" vert="wordArtVert"/>
              <a:lstStyle/>
              <a:p>
                <a:pPr>
                  <a:defRPr/>
                </a:pPr>
                <a:r>
                  <a:rPr lang="en-GB"/>
                  <a:t>%</a:t>
                </a:r>
              </a:p>
            </c:rich>
          </c:tx>
        </c:title>
        <c:numFmt formatCode="0" sourceLinked="1"/>
        <c:tickLblPos val="nextTo"/>
        <c:crossAx val="103940864"/>
        <c:crosses val="autoZero"/>
        <c:crossBetween val="between"/>
      </c:valAx>
      <c:spPr>
        <a:ln>
          <a:solidFill>
            <a:sysClr val="windowText" lastClr="000000"/>
          </a:solidFill>
        </a:ln>
      </c:spPr>
    </c:plotArea>
    <c:legend>
      <c:legendPos val="r"/>
      <c:layout>
        <c:manualLayout>
          <c:xMode val="edge"/>
          <c:yMode val="edge"/>
          <c:x val="0.78317702474689999"/>
          <c:y val="6.4820728604140954E-2"/>
          <c:w val="0.20789440382452684"/>
          <c:h val="0.87035831205140191"/>
        </c:manualLayout>
      </c:layout>
      <c:spPr>
        <a:ln>
          <a:solidFill>
            <a:schemeClr val="tx1"/>
          </a:solidFill>
        </a:ln>
      </c:spPr>
      <c:txPr>
        <a:bodyPr/>
        <a:lstStyle/>
        <a:p>
          <a:pPr>
            <a:defRPr sz="900"/>
          </a:pPr>
          <a:endParaRPr lang="en-US"/>
        </a:p>
      </c:txPr>
    </c:legend>
    <c:plotVisOnly val="1"/>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8.418000263933488E-2"/>
          <c:y val="3.4668289414642839E-2"/>
          <c:w val="0.89706919041407662"/>
          <c:h val="0.75436635994268753"/>
        </c:manualLayout>
      </c:layout>
      <c:barChart>
        <c:barDir val="col"/>
        <c:grouping val="clustered"/>
        <c:ser>
          <c:idx val="1"/>
          <c:order val="0"/>
          <c:tx>
            <c:strRef>
              <c:f>'Chart 1c DATA'!$C$2</c:f>
              <c:strCache>
                <c:ptCount val="1"/>
                <c:pt idx="0">
                  <c:v>2016 (%)</c:v>
                </c:pt>
              </c:strCache>
            </c:strRef>
          </c:tx>
          <c:spPr>
            <a:solidFill>
              <a:srgbClr val="993366"/>
            </a:solidFill>
          </c:spPr>
          <c:dPt>
            <c:idx val="0"/>
            <c:spPr>
              <a:solidFill>
                <a:srgbClr val="008000"/>
              </a:solidFill>
            </c:spPr>
          </c:dPt>
          <c:dPt>
            <c:idx val="23"/>
            <c:spPr>
              <a:solidFill>
                <a:srgbClr val="993366"/>
              </a:solidFill>
              <a:ln w="25400">
                <a:noFill/>
              </a:ln>
            </c:spPr>
          </c:dPt>
          <c:cat>
            <c:strRef>
              <c:f>'Chart 1c DATA'!$A$3:$A$32</c:f>
              <c:strCache>
                <c:ptCount val="30"/>
                <c:pt idx="0">
                  <c:v>Scotland</c:v>
                </c:pt>
                <c:pt idx="1">
                  <c:v>Caithness*</c:v>
                </c:pt>
                <c:pt idx="2">
                  <c:v>Borders</c:v>
                </c:pt>
                <c:pt idx="3">
                  <c:v>Crosshouse</c:v>
                </c:pt>
                <c:pt idx="4">
                  <c:v>VHK</c:v>
                </c:pt>
                <c:pt idx="5">
                  <c:v>Hairmyres</c:v>
                </c:pt>
                <c:pt idx="6">
                  <c:v>FVRH</c:v>
                </c:pt>
                <c:pt idx="7">
                  <c:v>IRH</c:v>
                </c:pt>
                <c:pt idx="8">
                  <c:v>L&amp;I</c:v>
                </c:pt>
                <c:pt idx="9">
                  <c:v>Dr Grays</c:v>
                </c:pt>
                <c:pt idx="10">
                  <c:v>ARI</c:v>
                </c:pt>
                <c:pt idx="11">
                  <c:v>RIE</c:v>
                </c:pt>
                <c:pt idx="12">
                  <c:v>RAH</c:v>
                </c:pt>
                <c:pt idx="13">
                  <c:v>DGRI</c:v>
                </c:pt>
                <c:pt idx="14">
                  <c:v>Belford*</c:v>
                </c:pt>
                <c:pt idx="15">
                  <c:v>SJH</c:v>
                </c:pt>
                <c:pt idx="16">
                  <c:v>Ninewells</c:v>
                </c:pt>
                <c:pt idx="17">
                  <c:v>Monklands</c:v>
                </c:pt>
                <c:pt idx="18">
                  <c:v>WGH</c:v>
                </c:pt>
                <c:pt idx="19">
                  <c:v>PRI</c:v>
                </c:pt>
                <c:pt idx="20">
                  <c:v>Wishaw</c:v>
                </c:pt>
                <c:pt idx="21">
                  <c:v>GRI</c:v>
                </c:pt>
                <c:pt idx="22">
                  <c:v>Gilbert Bain*</c:v>
                </c:pt>
                <c:pt idx="23">
                  <c:v>QEUH</c:v>
                </c:pt>
                <c:pt idx="24">
                  <c:v>GCH*</c:v>
                </c:pt>
                <c:pt idx="25">
                  <c:v>Balfour</c:v>
                </c:pt>
                <c:pt idx="26">
                  <c:v>Raigmore</c:v>
                </c:pt>
                <c:pt idx="27">
                  <c:v>Western Isles</c:v>
                </c:pt>
                <c:pt idx="28">
                  <c:v>Ayr</c:v>
                </c:pt>
                <c:pt idx="29">
                  <c:v>Uist &amp; Barra</c:v>
                </c:pt>
              </c:strCache>
            </c:strRef>
          </c:cat>
          <c:val>
            <c:numRef>
              <c:f>'Chart 1c DATA'!$C$3:$C$32</c:f>
              <c:numCache>
                <c:formatCode>0</c:formatCode>
                <c:ptCount val="30"/>
                <c:pt idx="0">
                  <c:v>66.620803522289478</c:v>
                </c:pt>
                <c:pt idx="1">
                  <c:v>81.132075471698116</c:v>
                </c:pt>
                <c:pt idx="2">
                  <c:v>79.166666666666657</c:v>
                </c:pt>
                <c:pt idx="3">
                  <c:v>78.82352941176471</c:v>
                </c:pt>
                <c:pt idx="4">
                  <c:v>77.358490566037744</c:v>
                </c:pt>
                <c:pt idx="5">
                  <c:v>76.288659793814432</c:v>
                </c:pt>
                <c:pt idx="6">
                  <c:v>74.168797953964187</c:v>
                </c:pt>
                <c:pt idx="7">
                  <c:v>72.388059701492537</c:v>
                </c:pt>
                <c:pt idx="8">
                  <c:v>70.588235294117652</c:v>
                </c:pt>
                <c:pt idx="9">
                  <c:v>69.696969696969703</c:v>
                </c:pt>
                <c:pt idx="10">
                  <c:v>68.930041152263371</c:v>
                </c:pt>
                <c:pt idx="11">
                  <c:v>67.58169934640523</c:v>
                </c:pt>
                <c:pt idx="12">
                  <c:v>66.785714285714278</c:v>
                </c:pt>
                <c:pt idx="13">
                  <c:v>65.734265734265733</c:v>
                </c:pt>
                <c:pt idx="14">
                  <c:v>65.517241379310349</c:v>
                </c:pt>
                <c:pt idx="15">
                  <c:v>65.340909090909093</c:v>
                </c:pt>
                <c:pt idx="16">
                  <c:v>63.661971830985919</c:v>
                </c:pt>
                <c:pt idx="17">
                  <c:v>63.030303030303024</c:v>
                </c:pt>
                <c:pt idx="18">
                  <c:v>59.895833333333336</c:v>
                </c:pt>
                <c:pt idx="19">
                  <c:v>59.872611464968152</c:v>
                </c:pt>
                <c:pt idx="20">
                  <c:v>59.534883720930232</c:v>
                </c:pt>
                <c:pt idx="21">
                  <c:v>58.687258687258691</c:v>
                </c:pt>
                <c:pt idx="22">
                  <c:v>58.064516129032263</c:v>
                </c:pt>
                <c:pt idx="23">
                  <c:v>57.497517378351539</c:v>
                </c:pt>
                <c:pt idx="24">
                  <c:v>54.166666666666664</c:v>
                </c:pt>
                <c:pt idx="25">
                  <c:v>52</c:v>
                </c:pt>
                <c:pt idx="26">
                  <c:v>51.838235294117652</c:v>
                </c:pt>
                <c:pt idx="27">
                  <c:v>42.857142857142854</c:v>
                </c:pt>
                <c:pt idx="28">
                  <c:v>9.0909090909090917</c:v>
                </c:pt>
                <c:pt idx="29">
                  <c:v>0</c:v>
                </c:pt>
              </c:numCache>
            </c:numRef>
          </c:val>
        </c:ser>
        <c:axId val="41094528"/>
        <c:axId val="41100416"/>
      </c:barChart>
      <c:catAx>
        <c:axId val="41094528"/>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100416"/>
        <c:crosses val="autoZero"/>
        <c:auto val="1"/>
        <c:lblAlgn val="ctr"/>
        <c:lblOffset val="100"/>
      </c:catAx>
      <c:valAx>
        <c:axId val="41100416"/>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94528"/>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17d DATA'!$A$3</c:f>
              <c:strCache>
                <c:ptCount val="1"/>
                <c:pt idx="0">
                  <c:v>Scotland (+s)</c:v>
                </c:pt>
              </c:strCache>
            </c:strRef>
          </c:tx>
          <c:spPr>
            <a:ln w="63500">
              <a:solidFill>
                <a:schemeClr val="tx1"/>
              </a:solidFill>
            </a:ln>
          </c:spPr>
          <c:marker>
            <c:symbol val="none"/>
          </c:marker>
          <c:cat>
            <c:numRef>
              <c:f>'Chart 17d DATA'!$N$2:$S$2</c:f>
              <c:numCache>
                <c:formatCode>General</c:formatCode>
                <c:ptCount val="6"/>
                <c:pt idx="0">
                  <c:v>2011</c:v>
                </c:pt>
                <c:pt idx="1">
                  <c:v>2012</c:v>
                </c:pt>
                <c:pt idx="2">
                  <c:v>2013</c:v>
                </c:pt>
                <c:pt idx="3">
                  <c:v>2014</c:v>
                </c:pt>
                <c:pt idx="4">
                  <c:v>2015</c:v>
                </c:pt>
                <c:pt idx="5">
                  <c:v>2016</c:v>
                </c:pt>
              </c:numCache>
            </c:numRef>
          </c:cat>
          <c:val>
            <c:numRef>
              <c:f>'Chart 17d DATA'!$N$3:$S$3</c:f>
              <c:numCache>
                <c:formatCode>0</c:formatCode>
                <c:ptCount val="6"/>
                <c:pt idx="0">
                  <c:v>73.328964613368285</c:v>
                </c:pt>
                <c:pt idx="1">
                  <c:v>77.434392265193381</c:v>
                </c:pt>
                <c:pt idx="2">
                  <c:v>85.607071380920615</c:v>
                </c:pt>
                <c:pt idx="3">
                  <c:v>87.94063079777365</c:v>
                </c:pt>
                <c:pt idx="4">
                  <c:v>90</c:v>
                </c:pt>
                <c:pt idx="5">
                  <c:v>90.436854646544873</c:v>
                </c:pt>
              </c:numCache>
            </c:numRef>
          </c:val>
        </c:ser>
        <c:ser>
          <c:idx val="0"/>
          <c:order val="1"/>
          <c:tx>
            <c:strRef>
              <c:f>'Chart 17d DATA'!$A$4</c:f>
              <c:strCache>
                <c:ptCount val="1"/>
                <c:pt idx="0">
                  <c:v>Ayrshire &amp; Arran (+s)</c:v>
                </c:pt>
              </c:strCache>
            </c:strRef>
          </c:tx>
          <c:spPr>
            <a:ln w="19050"/>
          </c:spPr>
          <c:marker>
            <c:symbol val="none"/>
          </c:marker>
          <c:cat>
            <c:numRef>
              <c:f>'Chart 17d DATA'!$N$2:$S$2</c:f>
              <c:numCache>
                <c:formatCode>General</c:formatCode>
                <c:ptCount val="6"/>
                <c:pt idx="0">
                  <c:v>2011</c:v>
                </c:pt>
                <c:pt idx="1">
                  <c:v>2012</c:v>
                </c:pt>
                <c:pt idx="2">
                  <c:v>2013</c:v>
                </c:pt>
                <c:pt idx="3">
                  <c:v>2014</c:v>
                </c:pt>
                <c:pt idx="4">
                  <c:v>2015</c:v>
                </c:pt>
                <c:pt idx="5">
                  <c:v>2016</c:v>
                </c:pt>
              </c:numCache>
            </c:numRef>
          </c:cat>
          <c:val>
            <c:numRef>
              <c:f>'Chart 17d DATA'!$N$4:$S$4</c:f>
              <c:numCache>
                <c:formatCode>0</c:formatCode>
                <c:ptCount val="6"/>
                <c:pt idx="0">
                  <c:v>70.040485829959508</c:v>
                </c:pt>
                <c:pt idx="1">
                  <c:v>70.927835051546396</c:v>
                </c:pt>
                <c:pt idx="2">
                  <c:v>75.321888412017174</c:v>
                </c:pt>
                <c:pt idx="3">
                  <c:v>81.538461538461533</c:v>
                </c:pt>
                <c:pt idx="4">
                  <c:v>84.210526315789465</c:v>
                </c:pt>
                <c:pt idx="5">
                  <c:v>88.064516129032256</c:v>
                </c:pt>
              </c:numCache>
            </c:numRef>
          </c:val>
        </c:ser>
        <c:ser>
          <c:idx val="2"/>
          <c:order val="2"/>
          <c:tx>
            <c:strRef>
              <c:f>'Chart 17d DATA'!$A$5</c:f>
              <c:strCache>
                <c:ptCount val="1"/>
                <c:pt idx="0">
                  <c:v>Borders (+s)</c:v>
                </c:pt>
              </c:strCache>
            </c:strRef>
          </c:tx>
          <c:spPr>
            <a:ln w="38100">
              <a:prstDash val="sysDot"/>
            </a:ln>
          </c:spPr>
          <c:marker>
            <c:symbol val="none"/>
          </c:marker>
          <c:cat>
            <c:numRef>
              <c:f>'Chart 17d DATA'!$N$2:$S$2</c:f>
              <c:numCache>
                <c:formatCode>General</c:formatCode>
                <c:ptCount val="6"/>
                <c:pt idx="0">
                  <c:v>2011</c:v>
                </c:pt>
                <c:pt idx="1">
                  <c:v>2012</c:v>
                </c:pt>
                <c:pt idx="2">
                  <c:v>2013</c:v>
                </c:pt>
                <c:pt idx="3">
                  <c:v>2014</c:v>
                </c:pt>
                <c:pt idx="4">
                  <c:v>2015</c:v>
                </c:pt>
                <c:pt idx="5">
                  <c:v>2016</c:v>
                </c:pt>
              </c:numCache>
            </c:numRef>
          </c:cat>
          <c:val>
            <c:numRef>
              <c:f>'Chart 17d DATA'!$N$5:$S$5</c:f>
              <c:numCache>
                <c:formatCode>0</c:formatCode>
                <c:ptCount val="6"/>
                <c:pt idx="0">
                  <c:v>79.569892473118273</c:v>
                </c:pt>
                <c:pt idx="1">
                  <c:v>83.333333333333343</c:v>
                </c:pt>
                <c:pt idx="2">
                  <c:v>91.25</c:v>
                </c:pt>
                <c:pt idx="3">
                  <c:v>95.862068965517238</c:v>
                </c:pt>
                <c:pt idx="4">
                  <c:v>97.945205479452056</c:v>
                </c:pt>
                <c:pt idx="5">
                  <c:v>100</c:v>
                </c:pt>
              </c:numCache>
            </c:numRef>
          </c:val>
        </c:ser>
        <c:ser>
          <c:idx val="3"/>
          <c:order val="3"/>
          <c:tx>
            <c:strRef>
              <c:f>'Chart 17d DATA'!$A$6</c:f>
              <c:strCache>
                <c:ptCount val="1"/>
                <c:pt idx="0">
                  <c:v>Dumfries &amp; Galloway (+s)</c:v>
                </c:pt>
              </c:strCache>
            </c:strRef>
          </c:tx>
          <c:marker>
            <c:symbol val="none"/>
          </c:marker>
          <c:val>
            <c:numRef>
              <c:f>'Chart 17d DATA'!$N$6:$S$6</c:f>
              <c:numCache>
                <c:formatCode>0</c:formatCode>
                <c:ptCount val="6"/>
                <c:pt idx="0">
                  <c:v>74.594594594594597</c:v>
                </c:pt>
                <c:pt idx="1">
                  <c:v>73.170731707317074</c:v>
                </c:pt>
                <c:pt idx="2">
                  <c:v>90.449438202247194</c:v>
                </c:pt>
                <c:pt idx="3">
                  <c:v>93.081761006289312</c:v>
                </c:pt>
                <c:pt idx="4">
                  <c:v>93.023255813953483</c:v>
                </c:pt>
                <c:pt idx="5">
                  <c:v>89.78102189781022</c:v>
                </c:pt>
              </c:numCache>
            </c:numRef>
          </c:val>
        </c:ser>
        <c:ser>
          <c:idx val="4"/>
          <c:order val="4"/>
          <c:tx>
            <c:strRef>
              <c:f>'Chart 17d DATA'!$A$7</c:f>
              <c:strCache>
                <c:ptCount val="1"/>
                <c:pt idx="0">
                  <c:v>Fife (+s)</c:v>
                </c:pt>
              </c:strCache>
            </c:strRef>
          </c:tx>
          <c:spPr>
            <a:ln>
              <a:prstDash val="dash"/>
            </a:ln>
          </c:spPr>
          <c:marker>
            <c:symbol val="none"/>
          </c:marker>
          <c:val>
            <c:numRef>
              <c:f>'Chart 17d DATA'!$N$7:$S$7</c:f>
              <c:numCache>
                <c:formatCode>0</c:formatCode>
                <c:ptCount val="6"/>
                <c:pt idx="0">
                  <c:v>75.900900900900908</c:v>
                </c:pt>
                <c:pt idx="1">
                  <c:v>79.245283018867923</c:v>
                </c:pt>
                <c:pt idx="2">
                  <c:v>88.671023965141615</c:v>
                </c:pt>
                <c:pt idx="3">
                  <c:v>90.08620689655173</c:v>
                </c:pt>
                <c:pt idx="4">
                  <c:v>94.407158836689035</c:v>
                </c:pt>
                <c:pt idx="5">
                  <c:v>91.416309012875544</c:v>
                </c:pt>
              </c:numCache>
            </c:numRef>
          </c:val>
        </c:ser>
        <c:ser>
          <c:idx val="5"/>
          <c:order val="5"/>
          <c:tx>
            <c:strRef>
              <c:f>'Chart 17d DATA'!$A$8</c:f>
              <c:strCache>
                <c:ptCount val="1"/>
                <c:pt idx="0">
                  <c:v>Forth Valley (+s)</c:v>
                </c:pt>
              </c:strCache>
            </c:strRef>
          </c:tx>
          <c:marker>
            <c:symbol val="none"/>
          </c:marker>
          <c:val>
            <c:numRef>
              <c:f>'Chart 17d DATA'!$N$8:$S$8</c:f>
              <c:numCache>
                <c:formatCode>0</c:formatCode>
                <c:ptCount val="6"/>
                <c:pt idx="0">
                  <c:v>84.725536992840105</c:v>
                </c:pt>
                <c:pt idx="1">
                  <c:v>87.165775401069524</c:v>
                </c:pt>
                <c:pt idx="2">
                  <c:v>91.549295774647888</c:v>
                </c:pt>
                <c:pt idx="3">
                  <c:v>93.600000000000009</c:v>
                </c:pt>
                <c:pt idx="4">
                  <c:v>93.137254901960787</c:v>
                </c:pt>
                <c:pt idx="5">
                  <c:v>90.862944162436548</c:v>
                </c:pt>
              </c:numCache>
            </c:numRef>
          </c:val>
        </c:ser>
        <c:ser>
          <c:idx val="6"/>
          <c:order val="6"/>
          <c:tx>
            <c:strRef>
              <c:f>'Chart 17d DATA'!$A$9</c:f>
              <c:strCache>
                <c:ptCount val="1"/>
                <c:pt idx="0">
                  <c:v>Grampian (+s)</c:v>
                </c:pt>
              </c:strCache>
            </c:strRef>
          </c:tx>
          <c:marker>
            <c:symbol val="none"/>
          </c:marker>
          <c:val>
            <c:numRef>
              <c:f>'Chart 17d DATA'!$N$9:$S$9</c:f>
              <c:numCache>
                <c:formatCode>0</c:formatCode>
                <c:ptCount val="6"/>
                <c:pt idx="0">
                  <c:v>77.697841726618705</c:v>
                </c:pt>
                <c:pt idx="1">
                  <c:v>85.539215686274503</c:v>
                </c:pt>
                <c:pt idx="2">
                  <c:v>90.1565995525727</c:v>
                </c:pt>
                <c:pt idx="3">
                  <c:v>89.252336448598129</c:v>
                </c:pt>
                <c:pt idx="4">
                  <c:v>89.316239316239319</c:v>
                </c:pt>
                <c:pt idx="5">
                  <c:v>91.350210970464133</c:v>
                </c:pt>
              </c:numCache>
            </c:numRef>
          </c:val>
        </c:ser>
        <c:ser>
          <c:idx val="7"/>
          <c:order val="7"/>
          <c:tx>
            <c:strRef>
              <c:f>'Chart 17d DATA'!$A$10</c:f>
              <c:strCache>
                <c:ptCount val="1"/>
                <c:pt idx="0">
                  <c:v>Greater Glasgow &amp; Clyde (+s)</c:v>
                </c:pt>
              </c:strCache>
            </c:strRef>
          </c:tx>
          <c:spPr>
            <a:ln>
              <a:solidFill>
                <a:srgbClr val="C00000"/>
              </a:solidFill>
            </a:ln>
          </c:spPr>
          <c:marker>
            <c:symbol val="none"/>
          </c:marker>
          <c:val>
            <c:numRef>
              <c:f>'Chart 17d DATA'!$N$10:$S$10</c:f>
              <c:numCache>
                <c:formatCode>0</c:formatCode>
                <c:ptCount val="6"/>
                <c:pt idx="0">
                  <c:v>60.512483574244413</c:v>
                </c:pt>
                <c:pt idx="1">
                  <c:v>65.672550213024948</c:v>
                </c:pt>
                <c:pt idx="2">
                  <c:v>78.62547288776797</c:v>
                </c:pt>
                <c:pt idx="3">
                  <c:v>83.826305852737576</c:v>
                </c:pt>
                <c:pt idx="4">
                  <c:v>88.918380889183808</c:v>
                </c:pt>
                <c:pt idx="5">
                  <c:v>91.359516616314195</c:v>
                </c:pt>
              </c:numCache>
            </c:numRef>
          </c:val>
        </c:ser>
        <c:ser>
          <c:idx val="8"/>
          <c:order val="8"/>
          <c:tx>
            <c:strRef>
              <c:f>'Chart 17d DATA'!$A$11</c:f>
              <c:strCache>
                <c:ptCount val="1"/>
                <c:pt idx="0">
                  <c:v>Highland (+s)</c:v>
                </c:pt>
              </c:strCache>
            </c:strRef>
          </c:tx>
          <c:marker>
            <c:symbol val="none"/>
          </c:marker>
          <c:val>
            <c:numRef>
              <c:f>'Chart 17d DATA'!$N$11:$S$11</c:f>
              <c:numCache>
                <c:formatCode>0</c:formatCode>
                <c:ptCount val="6"/>
                <c:pt idx="0">
                  <c:v>67.428571428571431</c:v>
                </c:pt>
                <c:pt idx="1">
                  <c:v>76.051779935275079</c:v>
                </c:pt>
                <c:pt idx="2">
                  <c:v>94.871794871794862</c:v>
                </c:pt>
                <c:pt idx="3">
                  <c:v>86.486486486486484</c:v>
                </c:pt>
                <c:pt idx="4">
                  <c:v>92.810457516339866</c:v>
                </c:pt>
                <c:pt idx="5">
                  <c:v>92.882562277580078</c:v>
                </c:pt>
              </c:numCache>
            </c:numRef>
          </c:val>
        </c:ser>
        <c:ser>
          <c:idx val="9"/>
          <c:order val="9"/>
          <c:tx>
            <c:strRef>
              <c:f>'Chart 17d DATA'!$A$12</c:f>
              <c:strCache>
                <c:ptCount val="1"/>
                <c:pt idx="0">
                  <c:v>Lanarkshire (+s)</c:v>
                </c:pt>
              </c:strCache>
            </c:strRef>
          </c:tx>
          <c:spPr>
            <a:ln>
              <a:solidFill>
                <a:schemeClr val="bg2">
                  <a:lumMod val="50000"/>
                </a:schemeClr>
              </a:solidFill>
            </a:ln>
          </c:spPr>
          <c:marker>
            <c:symbol val="none"/>
          </c:marker>
          <c:val>
            <c:numRef>
              <c:f>'Chart 17d DATA'!$N$12:$S$12</c:f>
              <c:numCache>
                <c:formatCode>0</c:formatCode>
                <c:ptCount val="6"/>
                <c:pt idx="0">
                  <c:v>81.604938271604937</c:v>
                </c:pt>
                <c:pt idx="1">
                  <c:v>87.421383647798748</c:v>
                </c:pt>
                <c:pt idx="2">
                  <c:v>92.365269461077844</c:v>
                </c:pt>
                <c:pt idx="3">
                  <c:v>93.85474860335195</c:v>
                </c:pt>
                <c:pt idx="4">
                  <c:v>90.751445086705203</c:v>
                </c:pt>
                <c:pt idx="5">
                  <c:v>92.275280898876403</c:v>
                </c:pt>
              </c:numCache>
            </c:numRef>
          </c:val>
        </c:ser>
        <c:ser>
          <c:idx val="10"/>
          <c:order val="10"/>
          <c:tx>
            <c:strRef>
              <c:f>'Chart 17d DATA'!$A$13</c:f>
              <c:strCache>
                <c:ptCount val="1"/>
                <c:pt idx="0">
                  <c:v>Lothian (+s)</c:v>
                </c:pt>
              </c:strCache>
            </c:strRef>
          </c:tx>
          <c:spPr>
            <a:ln>
              <a:prstDash val="lgDash"/>
            </a:ln>
          </c:spPr>
          <c:marker>
            <c:symbol val="none"/>
          </c:marker>
          <c:val>
            <c:numRef>
              <c:f>'Chart 17d DATA'!$N$13:$S$13</c:f>
              <c:numCache>
                <c:formatCode>0</c:formatCode>
                <c:ptCount val="6"/>
                <c:pt idx="0">
                  <c:v>73.690932311621964</c:v>
                </c:pt>
                <c:pt idx="1">
                  <c:v>80.668604651162795</c:v>
                </c:pt>
                <c:pt idx="2">
                  <c:v>83.466362599771955</c:v>
                </c:pt>
                <c:pt idx="3">
                  <c:v>86.486486486486484</c:v>
                </c:pt>
                <c:pt idx="4">
                  <c:v>88</c:v>
                </c:pt>
                <c:pt idx="5">
                  <c:v>86.098130841121502</c:v>
                </c:pt>
              </c:numCache>
            </c:numRef>
          </c:val>
        </c:ser>
        <c:ser>
          <c:idx val="11"/>
          <c:order val="11"/>
          <c:tx>
            <c:strRef>
              <c:f>'Chart 17d DATA'!$A$14</c:f>
              <c:strCache>
                <c:ptCount val="1"/>
                <c:pt idx="0">
                  <c:v>Orkney (-)</c:v>
                </c:pt>
              </c:strCache>
            </c:strRef>
          </c:tx>
          <c:spPr>
            <a:ln>
              <a:solidFill>
                <a:schemeClr val="bg1">
                  <a:lumMod val="65000"/>
                </a:schemeClr>
              </a:solidFill>
              <a:prstDash val="lgDash"/>
            </a:ln>
          </c:spPr>
          <c:marker>
            <c:symbol val="none"/>
          </c:marker>
          <c:val>
            <c:numRef>
              <c:f>'Chart 17d DATA'!$N$14:$S$14</c:f>
              <c:numCache>
                <c:formatCode>0</c:formatCode>
                <c:ptCount val="6"/>
                <c:pt idx="0">
                  <c:v>93.75</c:v>
                </c:pt>
                <c:pt idx="1">
                  <c:v>85.714285714285708</c:v>
                </c:pt>
                <c:pt idx="2">
                  <c:v>83.333333333333343</c:v>
                </c:pt>
                <c:pt idx="3">
                  <c:v>81.818181818181827</c:v>
                </c:pt>
                <c:pt idx="4">
                  <c:v>80.769230769230774</c:v>
                </c:pt>
                <c:pt idx="5">
                  <c:v>77.777777777777786</c:v>
                </c:pt>
              </c:numCache>
            </c:numRef>
          </c:val>
        </c:ser>
        <c:ser>
          <c:idx val="12"/>
          <c:order val="12"/>
          <c:tx>
            <c:strRef>
              <c:f>'Chart 17d DATA'!$A$15</c:f>
              <c:strCache>
                <c:ptCount val="1"/>
                <c:pt idx="0">
                  <c:v>Shetland (+s)</c:v>
                </c:pt>
              </c:strCache>
            </c:strRef>
          </c:tx>
          <c:spPr>
            <a:ln w="38100">
              <a:prstDash val="lgDashDotDot"/>
            </a:ln>
          </c:spPr>
          <c:marker>
            <c:symbol val="none"/>
          </c:marker>
          <c:val>
            <c:numRef>
              <c:f>'Chart 17d DATA'!$N$15:$S$15</c:f>
              <c:numCache>
                <c:formatCode>0</c:formatCode>
                <c:ptCount val="6"/>
                <c:pt idx="0">
                  <c:v>73.333333333333329</c:v>
                </c:pt>
                <c:pt idx="1">
                  <c:v>94.73684210526315</c:v>
                </c:pt>
                <c:pt idx="2">
                  <c:v>90.909090909090907</c:v>
                </c:pt>
                <c:pt idx="3">
                  <c:v>87.5</c:v>
                </c:pt>
                <c:pt idx="4">
                  <c:v>92.592592592592595</c:v>
                </c:pt>
                <c:pt idx="5">
                  <c:v>93.75</c:v>
                </c:pt>
              </c:numCache>
            </c:numRef>
          </c:val>
        </c:ser>
        <c:ser>
          <c:idx val="13"/>
          <c:order val="13"/>
          <c:tx>
            <c:strRef>
              <c:f>'Chart 17d DATA'!$A$16</c:f>
              <c:strCache>
                <c:ptCount val="1"/>
                <c:pt idx="0">
                  <c:v>Tayside (-)</c:v>
                </c:pt>
              </c:strCache>
            </c:strRef>
          </c:tx>
          <c:marker>
            <c:symbol val="none"/>
          </c:marker>
          <c:val>
            <c:numRef>
              <c:f>'Chart 17d DATA'!$N$16:$S$16</c:f>
              <c:numCache>
                <c:formatCode>0</c:formatCode>
                <c:ptCount val="6"/>
                <c:pt idx="0">
                  <c:v>89.17647058823529</c:v>
                </c:pt>
                <c:pt idx="1">
                  <c:v>92.493946731234871</c:v>
                </c:pt>
                <c:pt idx="2">
                  <c:v>92.941176470588232</c:v>
                </c:pt>
                <c:pt idx="3">
                  <c:v>91.922005571030638</c:v>
                </c:pt>
                <c:pt idx="4">
                  <c:v>90.632911392405063</c:v>
                </c:pt>
                <c:pt idx="5">
                  <c:v>89.561586638830889</c:v>
                </c:pt>
              </c:numCache>
            </c:numRef>
          </c:val>
        </c:ser>
        <c:ser>
          <c:idx val="14"/>
          <c:order val="14"/>
          <c:tx>
            <c:strRef>
              <c:f>'Chart 17d DATA'!$A$17</c:f>
              <c:strCache>
                <c:ptCount val="1"/>
                <c:pt idx="0">
                  <c:v>Western Isles (+)</c:v>
                </c:pt>
              </c:strCache>
            </c:strRef>
          </c:tx>
          <c:marker>
            <c:symbol val="none"/>
          </c:marker>
          <c:val>
            <c:numRef>
              <c:f>'Chart 17d DATA'!$N$17:$S$17</c:f>
              <c:numCache>
                <c:formatCode>0</c:formatCode>
                <c:ptCount val="6"/>
                <c:pt idx="0">
                  <c:v>73.91304347826086</c:v>
                </c:pt>
                <c:pt idx="1">
                  <c:v>66.666666666666657</c:v>
                </c:pt>
                <c:pt idx="2">
                  <c:v>76.470588235294116</c:v>
                </c:pt>
                <c:pt idx="3">
                  <c:v>88.888888888888886</c:v>
                </c:pt>
                <c:pt idx="4">
                  <c:v>95</c:v>
                </c:pt>
                <c:pt idx="5">
                  <c:v>80.952380952380949</c:v>
                </c:pt>
              </c:numCache>
            </c:numRef>
          </c:val>
        </c:ser>
        <c:marker val="1"/>
        <c:axId val="104134912"/>
        <c:axId val="104275968"/>
      </c:lineChart>
      <c:catAx>
        <c:axId val="104134912"/>
        <c:scaling>
          <c:orientation val="minMax"/>
        </c:scaling>
        <c:axPos val="b"/>
        <c:numFmt formatCode="General" sourceLinked="1"/>
        <c:tickLblPos val="nextTo"/>
        <c:crossAx val="104275968"/>
        <c:crosses val="autoZero"/>
        <c:auto val="1"/>
        <c:lblAlgn val="ctr"/>
        <c:lblOffset val="100"/>
      </c:catAx>
      <c:valAx>
        <c:axId val="104275968"/>
        <c:scaling>
          <c:orientation val="minMax"/>
          <c:max val="100"/>
        </c:scaling>
        <c:axPos val="l"/>
        <c:title>
          <c:tx>
            <c:rich>
              <a:bodyPr rot="0" vert="wordArtVert"/>
              <a:lstStyle/>
              <a:p>
                <a:pPr>
                  <a:defRPr/>
                </a:pPr>
                <a:r>
                  <a:rPr lang="en-GB"/>
                  <a:t>%</a:t>
                </a:r>
              </a:p>
            </c:rich>
          </c:tx>
        </c:title>
        <c:numFmt formatCode="0" sourceLinked="1"/>
        <c:tickLblPos val="nextTo"/>
        <c:crossAx val="104134912"/>
        <c:crosses val="autoZero"/>
        <c:crossBetween val="between"/>
      </c:valAx>
      <c:spPr>
        <a:ln>
          <a:solidFill>
            <a:sysClr val="windowText" lastClr="000000"/>
          </a:solidFill>
        </a:ln>
      </c:spPr>
    </c:plotArea>
    <c:legend>
      <c:legendPos val="r"/>
      <c:layout>
        <c:manualLayout>
          <c:xMode val="edge"/>
          <c:yMode val="edge"/>
          <c:x val="0.78317702474689999"/>
          <c:y val="6.4820728604140954E-2"/>
          <c:w val="0.21051679675411791"/>
          <c:h val="0.74176326226223366"/>
        </c:manualLayout>
      </c:layout>
      <c:spPr>
        <a:ln>
          <a:solidFill>
            <a:schemeClr val="tx1"/>
          </a:solidFill>
        </a:ln>
      </c:spPr>
      <c:txPr>
        <a:bodyPr/>
        <a:lstStyle/>
        <a:p>
          <a:pPr>
            <a:defRPr sz="900"/>
          </a:pPr>
          <a:endParaRPr lang="en-US"/>
        </a:p>
      </c:txPr>
    </c:legend>
    <c:plotVisOnly val="1"/>
  </c:chart>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4188309980183428E-2"/>
          <c:y val="4.9200492004920104E-2"/>
          <c:w val="0.80960606538881974"/>
          <c:h val="0.60131214225528051"/>
        </c:manualLayout>
      </c:layout>
      <c:barChart>
        <c:barDir val="col"/>
        <c:grouping val="clustered"/>
        <c:ser>
          <c:idx val="0"/>
          <c:order val="0"/>
          <c:tx>
            <c:strRef>
              <c:f>'Chart N1data'!$H$2</c:f>
              <c:strCache>
                <c:ptCount val="1"/>
                <c:pt idx="0">
                  <c:v>2016</c:v>
                </c:pt>
              </c:strCache>
            </c:strRef>
          </c:tx>
          <c:spPr>
            <a:solidFill>
              <a:srgbClr val="9999FF"/>
            </a:solidFill>
            <a:ln>
              <a:solidFill>
                <a:schemeClr val="tx1"/>
              </a:solidFill>
            </a:ln>
          </c:spPr>
          <c:dPt>
            <c:idx val="0"/>
            <c:spPr>
              <a:solidFill>
                <a:srgbClr val="008000"/>
              </a:solidFill>
              <a:ln>
                <a:solidFill>
                  <a:schemeClr val="tx1"/>
                </a:solidFill>
              </a:ln>
            </c:spPr>
          </c:dPt>
          <c:dPt>
            <c:idx val="29"/>
            <c:spPr>
              <a:solidFill>
                <a:srgbClr val="008000"/>
              </a:solidFill>
              <a:ln>
                <a:solidFill>
                  <a:schemeClr val="tx1"/>
                </a:solidFill>
              </a:ln>
            </c:spPr>
          </c:dPt>
          <c:cat>
            <c:strRef>
              <c:f>'Chart N1data'!$A$3:$A$32</c:f>
              <c:strCache>
                <c:ptCount val="30"/>
                <c:pt idx="0">
                  <c:v>Scotland</c:v>
                </c:pt>
                <c:pt idx="1">
                  <c:v>Ayr</c:v>
                </c:pt>
                <c:pt idx="2">
                  <c:v>WGH</c:v>
                </c:pt>
                <c:pt idx="3">
                  <c:v>Dr Grays</c:v>
                </c:pt>
                <c:pt idx="4">
                  <c:v>ARI</c:v>
                </c:pt>
                <c:pt idx="5">
                  <c:v>RIE</c:v>
                </c:pt>
                <c:pt idx="6">
                  <c:v>L&amp;I</c:v>
                </c:pt>
                <c:pt idx="7">
                  <c:v>Western Isles</c:v>
                </c:pt>
                <c:pt idx="8">
                  <c:v>IRH</c:v>
                </c:pt>
                <c:pt idx="9">
                  <c:v>QEUH</c:v>
                </c:pt>
                <c:pt idx="10">
                  <c:v>RAH</c:v>
                </c:pt>
                <c:pt idx="11">
                  <c:v>Hairmyres</c:v>
                </c:pt>
                <c:pt idx="12">
                  <c:v>VHK</c:v>
                </c:pt>
                <c:pt idx="13">
                  <c:v>DGRI</c:v>
                </c:pt>
                <c:pt idx="14">
                  <c:v>GRI</c:v>
                </c:pt>
                <c:pt idx="15">
                  <c:v>Borders</c:v>
                </c:pt>
                <c:pt idx="16">
                  <c:v>SJH</c:v>
                </c:pt>
                <c:pt idx="17">
                  <c:v>Wishaw</c:v>
                </c:pt>
                <c:pt idx="18">
                  <c:v>Monklands</c:v>
                </c:pt>
                <c:pt idx="19">
                  <c:v>Raigmore</c:v>
                </c:pt>
                <c:pt idx="20">
                  <c:v>FVRH</c:v>
                </c:pt>
                <c:pt idx="21">
                  <c:v>Ninewells</c:v>
                </c:pt>
                <c:pt idx="22">
                  <c:v>Belford</c:v>
                </c:pt>
                <c:pt idx="23">
                  <c:v>Crosshouse</c:v>
                </c:pt>
                <c:pt idx="24">
                  <c:v>PRI</c:v>
                </c:pt>
                <c:pt idx="25">
                  <c:v>Gilbert Bain</c:v>
                </c:pt>
                <c:pt idx="26">
                  <c:v>GCH</c:v>
                </c:pt>
                <c:pt idx="27">
                  <c:v>Caithness</c:v>
                </c:pt>
                <c:pt idx="28">
                  <c:v>Balfour</c:v>
                </c:pt>
                <c:pt idx="29">
                  <c:v>Uist &amp; Barra</c:v>
                </c:pt>
              </c:strCache>
            </c:strRef>
          </c:cat>
          <c:val>
            <c:numRef>
              <c:f>'Chart N1data'!$H$3:$H$32</c:f>
              <c:numCache>
                <c:formatCode>0</c:formatCode>
                <c:ptCount val="30"/>
                <c:pt idx="0">
                  <c:v>5.2973087969364956</c:v>
                </c:pt>
                <c:pt idx="1">
                  <c:v>23.52941176470588</c:v>
                </c:pt>
                <c:pt idx="2">
                  <c:v>12.017167381974248</c:v>
                </c:pt>
                <c:pt idx="3">
                  <c:v>7.9136690647482011</c:v>
                </c:pt>
                <c:pt idx="4">
                  <c:v>7.4850299401197598</c:v>
                </c:pt>
                <c:pt idx="5">
                  <c:v>7.4112734864300629</c:v>
                </c:pt>
                <c:pt idx="6">
                  <c:v>6.8965517241379306</c:v>
                </c:pt>
                <c:pt idx="7">
                  <c:v>6.8965517241379306</c:v>
                </c:pt>
                <c:pt idx="8">
                  <c:v>6.0606060606060606</c:v>
                </c:pt>
                <c:pt idx="9">
                  <c:v>5.7627118644067794</c:v>
                </c:pt>
                <c:pt idx="10">
                  <c:v>5.5118110236220472</c:v>
                </c:pt>
                <c:pt idx="11">
                  <c:v>5.3968253968253972</c:v>
                </c:pt>
                <c:pt idx="12">
                  <c:v>5.3651266766020864</c:v>
                </c:pt>
                <c:pt idx="13">
                  <c:v>4.8076923076923084</c:v>
                </c:pt>
                <c:pt idx="14">
                  <c:v>4.8</c:v>
                </c:pt>
                <c:pt idx="15">
                  <c:v>4.6296296296296298</c:v>
                </c:pt>
                <c:pt idx="16">
                  <c:v>4.4117647058823533</c:v>
                </c:pt>
                <c:pt idx="17">
                  <c:v>4.3227665706051877</c:v>
                </c:pt>
                <c:pt idx="18">
                  <c:v>3.9603960396039604</c:v>
                </c:pt>
                <c:pt idx="19">
                  <c:v>3.8461538461538463</c:v>
                </c:pt>
                <c:pt idx="20">
                  <c:v>3.4482758620689653</c:v>
                </c:pt>
                <c:pt idx="21">
                  <c:v>3.3126293995859215</c:v>
                </c:pt>
                <c:pt idx="22">
                  <c:v>3.125</c:v>
                </c:pt>
                <c:pt idx="23">
                  <c:v>2.8930817610062896</c:v>
                </c:pt>
                <c:pt idx="24">
                  <c:v>2.643171806167401</c:v>
                </c:pt>
                <c:pt idx="25">
                  <c:v>2.4390243902439024</c:v>
                </c:pt>
                <c:pt idx="26">
                  <c:v>0</c:v>
                </c:pt>
                <c:pt idx="27">
                  <c:v>0</c:v>
                </c:pt>
                <c:pt idx="28">
                  <c:v>0</c:v>
                </c:pt>
                <c:pt idx="29">
                  <c:v>0</c:v>
                </c:pt>
              </c:numCache>
            </c:numRef>
          </c:val>
        </c:ser>
        <c:ser>
          <c:idx val="1"/>
          <c:order val="1"/>
          <c:tx>
            <c:strRef>
              <c:f>'Chart N1data'!$G$2</c:f>
              <c:strCache>
                <c:ptCount val="1"/>
                <c:pt idx="0">
                  <c:v>2015</c:v>
                </c:pt>
              </c:strCache>
            </c:strRef>
          </c:tx>
          <c:spPr>
            <a:solidFill>
              <a:srgbClr val="993366"/>
            </a:solidFill>
            <a:ln>
              <a:solidFill>
                <a:srgbClr val="000000"/>
              </a:solidFill>
            </a:ln>
          </c:spPr>
          <c:dPt>
            <c:idx val="0"/>
            <c:spPr>
              <a:solidFill>
                <a:srgbClr val="99CC00"/>
              </a:solidFill>
              <a:ln>
                <a:solidFill>
                  <a:srgbClr val="000000"/>
                </a:solidFill>
              </a:ln>
            </c:spPr>
          </c:dPt>
          <c:dPt>
            <c:idx val="29"/>
            <c:spPr>
              <a:solidFill>
                <a:srgbClr val="99CC00"/>
              </a:solidFill>
              <a:ln>
                <a:solidFill>
                  <a:srgbClr val="000000"/>
                </a:solidFill>
              </a:ln>
            </c:spPr>
          </c:dPt>
          <c:cat>
            <c:strRef>
              <c:f>'Chart N1data'!$A$3:$A$32</c:f>
              <c:strCache>
                <c:ptCount val="30"/>
                <c:pt idx="0">
                  <c:v>Scotland</c:v>
                </c:pt>
                <c:pt idx="1">
                  <c:v>Ayr</c:v>
                </c:pt>
                <c:pt idx="2">
                  <c:v>WGH</c:v>
                </c:pt>
                <c:pt idx="3">
                  <c:v>Dr Grays</c:v>
                </c:pt>
                <c:pt idx="4">
                  <c:v>ARI</c:v>
                </c:pt>
                <c:pt idx="5">
                  <c:v>RIE</c:v>
                </c:pt>
                <c:pt idx="6">
                  <c:v>L&amp;I</c:v>
                </c:pt>
                <c:pt idx="7">
                  <c:v>Western Isles</c:v>
                </c:pt>
                <c:pt idx="8">
                  <c:v>IRH</c:v>
                </c:pt>
                <c:pt idx="9">
                  <c:v>QEUH</c:v>
                </c:pt>
                <c:pt idx="10">
                  <c:v>RAH</c:v>
                </c:pt>
                <c:pt idx="11">
                  <c:v>Hairmyres</c:v>
                </c:pt>
                <c:pt idx="12">
                  <c:v>VHK</c:v>
                </c:pt>
                <c:pt idx="13">
                  <c:v>DGRI</c:v>
                </c:pt>
                <c:pt idx="14">
                  <c:v>GRI</c:v>
                </c:pt>
                <c:pt idx="15">
                  <c:v>Borders</c:v>
                </c:pt>
                <c:pt idx="16">
                  <c:v>SJH</c:v>
                </c:pt>
                <c:pt idx="17">
                  <c:v>Wishaw</c:v>
                </c:pt>
                <c:pt idx="18">
                  <c:v>Monklands</c:v>
                </c:pt>
                <c:pt idx="19">
                  <c:v>Raigmore</c:v>
                </c:pt>
                <c:pt idx="20">
                  <c:v>FVRH</c:v>
                </c:pt>
                <c:pt idx="21">
                  <c:v>Ninewells</c:v>
                </c:pt>
                <c:pt idx="22">
                  <c:v>Belford</c:v>
                </c:pt>
                <c:pt idx="23">
                  <c:v>Crosshouse</c:v>
                </c:pt>
                <c:pt idx="24">
                  <c:v>PRI</c:v>
                </c:pt>
                <c:pt idx="25">
                  <c:v>Gilbert Bain</c:v>
                </c:pt>
                <c:pt idx="26">
                  <c:v>GCH</c:v>
                </c:pt>
                <c:pt idx="27">
                  <c:v>Caithness</c:v>
                </c:pt>
                <c:pt idx="28">
                  <c:v>Balfour</c:v>
                </c:pt>
                <c:pt idx="29">
                  <c:v>Uist &amp; Barra</c:v>
                </c:pt>
              </c:strCache>
            </c:strRef>
          </c:cat>
          <c:val>
            <c:numRef>
              <c:f>'Chart N1data'!$G$3:$G$32</c:f>
              <c:numCache>
                <c:formatCode>0</c:formatCode>
                <c:ptCount val="30"/>
                <c:pt idx="0">
                  <c:v>5.4367004852227607</c:v>
                </c:pt>
                <c:pt idx="1">
                  <c:v>7.1161048689138573</c:v>
                </c:pt>
                <c:pt idx="2">
                  <c:v>15.476190476190476</c:v>
                </c:pt>
                <c:pt idx="3">
                  <c:v>5.343511450381679</c:v>
                </c:pt>
                <c:pt idx="4">
                  <c:v>8.085106382978724</c:v>
                </c:pt>
                <c:pt idx="5">
                  <c:v>7.1805702217529035</c:v>
                </c:pt>
                <c:pt idx="6">
                  <c:v>8.695652173913043</c:v>
                </c:pt>
                <c:pt idx="7">
                  <c:v>0</c:v>
                </c:pt>
                <c:pt idx="8">
                  <c:v>4.2654028436018958</c:v>
                </c:pt>
                <c:pt idx="9">
                  <c:v>4.4619422572178475</c:v>
                </c:pt>
                <c:pt idx="10">
                  <c:v>3.1428571428571432</c:v>
                </c:pt>
                <c:pt idx="11">
                  <c:v>9.6345514950166127</c:v>
                </c:pt>
                <c:pt idx="12">
                  <c:v>4.1009463722397479</c:v>
                </c:pt>
                <c:pt idx="13">
                  <c:v>5.7377049180327866</c:v>
                </c:pt>
                <c:pt idx="14">
                  <c:v>6.6037735849056602</c:v>
                </c:pt>
                <c:pt idx="15">
                  <c:v>1.7777777777777777</c:v>
                </c:pt>
                <c:pt idx="16">
                  <c:v>6.4</c:v>
                </c:pt>
                <c:pt idx="17">
                  <c:v>4.8484848484848486</c:v>
                </c:pt>
                <c:pt idx="18">
                  <c:v>6.7901234567901234</c:v>
                </c:pt>
                <c:pt idx="19">
                  <c:v>3.0985915492957745</c:v>
                </c:pt>
                <c:pt idx="20">
                  <c:v>4.4117647058823533</c:v>
                </c:pt>
                <c:pt idx="21">
                  <c:v>0.88691796008869184</c:v>
                </c:pt>
                <c:pt idx="22">
                  <c:v>0</c:v>
                </c:pt>
                <c:pt idx="23">
                  <c:v>4.3701799485861184</c:v>
                </c:pt>
                <c:pt idx="24">
                  <c:v>3.7234042553191489</c:v>
                </c:pt>
                <c:pt idx="25">
                  <c:v>0</c:v>
                </c:pt>
                <c:pt idx="26">
                  <c:v>7.5</c:v>
                </c:pt>
                <c:pt idx="27">
                  <c:v>0</c:v>
                </c:pt>
                <c:pt idx="28">
                  <c:v>0</c:v>
                </c:pt>
                <c:pt idx="29">
                  <c:v>0</c:v>
                </c:pt>
              </c:numCache>
            </c:numRef>
          </c:val>
        </c:ser>
        <c:gapWidth val="50"/>
        <c:axId val="104505344"/>
        <c:axId val="104506880"/>
      </c:barChart>
      <c:catAx>
        <c:axId val="104505344"/>
        <c:scaling>
          <c:orientation val="minMax"/>
        </c:scaling>
        <c:axPos val="b"/>
        <c:tickLblPos val="nextTo"/>
        <c:txPr>
          <a:bodyPr rot="-5400000" vert="horz"/>
          <a:lstStyle/>
          <a:p>
            <a:pPr>
              <a:defRPr sz="800">
                <a:latin typeface="Arial" pitchFamily="34" charset="0"/>
                <a:cs typeface="Arial" pitchFamily="34" charset="0"/>
              </a:defRPr>
            </a:pPr>
            <a:endParaRPr lang="en-US"/>
          </a:p>
        </c:txPr>
        <c:crossAx val="104506880"/>
        <c:crosses val="autoZero"/>
        <c:auto val="1"/>
        <c:lblAlgn val="ctr"/>
        <c:lblOffset val="100"/>
      </c:catAx>
      <c:valAx>
        <c:axId val="104506880"/>
        <c:scaling>
          <c:orientation val="minMax"/>
          <c:max val="100"/>
        </c:scaling>
        <c:axPos val="l"/>
        <c:title>
          <c:tx>
            <c:rich>
              <a:bodyPr rot="0" vert="wordArtVert"/>
              <a:lstStyle/>
              <a:p>
                <a:pPr>
                  <a:defRPr/>
                </a:pPr>
                <a:r>
                  <a:rPr lang="en-GB"/>
                  <a:t>%</a:t>
                </a:r>
              </a:p>
            </c:rich>
          </c:tx>
        </c:title>
        <c:numFmt formatCode="0" sourceLinked="1"/>
        <c:tickLblPos val="nextTo"/>
        <c:txPr>
          <a:bodyPr/>
          <a:lstStyle/>
          <a:p>
            <a:pPr>
              <a:defRPr sz="800">
                <a:latin typeface="Arial" pitchFamily="34" charset="0"/>
                <a:cs typeface="Arial" pitchFamily="34" charset="0"/>
              </a:defRPr>
            </a:pPr>
            <a:endParaRPr lang="en-US"/>
          </a:p>
        </c:txPr>
        <c:crossAx val="104505344"/>
        <c:crosses val="autoZero"/>
        <c:crossBetween val="between"/>
      </c:valAx>
      <c:spPr>
        <a:ln>
          <a:solidFill>
            <a:srgbClr val="000000"/>
          </a:solidFill>
        </a:ln>
      </c:spPr>
    </c:plotArea>
    <c:legend>
      <c:legendPos val="r"/>
      <c:layout>
        <c:manualLayout>
          <c:xMode val="edge"/>
          <c:yMode val="edge"/>
          <c:x val="0.91088624560227849"/>
          <c:y val="0.27159756321973288"/>
          <c:w val="6.9703526700819834E-2"/>
          <c:h val="0.12224152792709179"/>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429E-2"/>
          <c:y val="8.0232093304875005E-2"/>
          <c:w val="0.81007028782419765"/>
          <c:h val="0.72370482152729065"/>
        </c:manualLayout>
      </c:layout>
      <c:barChart>
        <c:barDir val="col"/>
        <c:grouping val="stacked"/>
        <c:ser>
          <c:idx val="3"/>
          <c:order val="0"/>
          <c:tx>
            <c:strRef>
              <c:f>'Chart N2 data'!$C$2</c:f>
              <c:strCache>
                <c:ptCount val="1"/>
                <c:pt idx="0">
                  <c:v>Same Day</c:v>
                </c:pt>
              </c:strCache>
            </c:strRef>
          </c:tx>
          <c:spPr>
            <a:solidFill>
              <a:srgbClr val="003366"/>
            </a:solidFill>
            <a:ln>
              <a:solidFill>
                <a:schemeClr val="tx1"/>
              </a:solidFill>
            </a:ln>
          </c:spPr>
          <c:dPt>
            <c:idx val="0"/>
            <c:spPr>
              <a:solidFill>
                <a:srgbClr val="008000"/>
              </a:solidFill>
              <a:ln>
                <a:solidFill>
                  <a:schemeClr val="tx1"/>
                </a:solidFill>
              </a:ln>
            </c:spPr>
          </c:dPt>
          <c:cat>
            <c:strRef>
              <c:f>'Chart N2 data'!$A$3:$A$31</c:f>
              <c:strCache>
                <c:ptCount val="29"/>
                <c:pt idx="0">
                  <c:v>Scotland</c:v>
                </c:pt>
                <c:pt idx="1">
                  <c:v>GCH</c:v>
                </c:pt>
                <c:pt idx="2">
                  <c:v>Belford</c:v>
                </c:pt>
                <c:pt idx="3">
                  <c:v>Caithness</c:v>
                </c:pt>
                <c:pt idx="4">
                  <c:v>Western Isles</c:v>
                </c:pt>
                <c:pt idx="5">
                  <c:v>Crosshouse</c:v>
                </c:pt>
                <c:pt idx="6">
                  <c:v>Wishaw</c:v>
                </c:pt>
                <c:pt idx="7">
                  <c:v>Gilbert Bain</c:v>
                </c:pt>
                <c:pt idx="8">
                  <c:v>IRH</c:v>
                </c:pt>
                <c:pt idx="9">
                  <c:v>Ninewells</c:v>
                </c:pt>
                <c:pt idx="10">
                  <c:v>L&amp;I</c:v>
                </c:pt>
                <c:pt idx="11">
                  <c:v>VHK</c:v>
                </c:pt>
                <c:pt idx="12">
                  <c:v>Hairmyres</c:v>
                </c:pt>
                <c:pt idx="13">
                  <c:v>FVRH</c:v>
                </c:pt>
                <c:pt idx="14">
                  <c:v>GRI</c:v>
                </c:pt>
                <c:pt idx="15">
                  <c:v>Monklands</c:v>
                </c:pt>
                <c:pt idx="16">
                  <c:v>Borders</c:v>
                </c:pt>
                <c:pt idx="17">
                  <c:v>RAH</c:v>
                </c:pt>
                <c:pt idx="18">
                  <c:v>DGRI</c:v>
                </c:pt>
                <c:pt idx="19">
                  <c:v>QEUH</c:v>
                </c:pt>
                <c:pt idx="20">
                  <c:v>Dr Grays</c:v>
                </c:pt>
                <c:pt idx="21">
                  <c:v>PRI</c:v>
                </c:pt>
                <c:pt idx="22">
                  <c:v>SJH</c:v>
                </c:pt>
                <c:pt idx="23">
                  <c:v>RIE</c:v>
                </c:pt>
                <c:pt idx="24">
                  <c:v>Balfour</c:v>
                </c:pt>
                <c:pt idx="25">
                  <c:v>ARI</c:v>
                </c:pt>
                <c:pt idx="26">
                  <c:v>WGH</c:v>
                </c:pt>
                <c:pt idx="27">
                  <c:v>Raigmore</c:v>
                </c:pt>
                <c:pt idx="28">
                  <c:v>Ayr</c:v>
                </c:pt>
              </c:strCache>
            </c:strRef>
          </c:cat>
          <c:val>
            <c:numRef>
              <c:f>'Chart N2 data'!$C$3:$C$31</c:f>
              <c:numCache>
                <c:formatCode>0</c:formatCode>
                <c:ptCount val="29"/>
                <c:pt idx="0">
                  <c:v>50.382445141065837</c:v>
                </c:pt>
                <c:pt idx="1">
                  <c:v>96.969696969696969</c:v>
                </c:pt>
                <c:pt idx="2">
                  <c:v>100</c:v>
                </c:pt>
                <c:pt idx="3">
                  <c:v>100</c:v>
                </c:pt>
                <c:pt idx="4">
                  <c:v>73.91304347826086</c:v>
                </c:pt>
                <c:pt idx="5">
                  <c:v>86.357039187227869</c:v>
                </c:pt>
                <c:pt idx="6">
                  <c:v>38.688524590163937</c:v>
                </c:pt>
                <c:pt idx="7">
                  <c:v>88.888888888888886</c:v>
                </c:pt>
                <c:pt idx="8">
                  <c:v>69.273743016759781</c:v>
                </c:pt>
                <c:pt idx="9">
                  <c:v>30.474040632054177</c:v>
                </c:pt>
                <c:pt idx="10">
                  <c:v>93.61702127659575</c:v>
                </c:pt>
                <c:pt idx="11">
                  <c:v>36.137667304015295</c:v>
                </c:pt>
                <c:pt idx="12">
                  <c:v>58.113207547169807</c:v>
                </c:pt>
                <c:pt idx="13">
                  <c:v>23.443983402489625</c:v>
                </c:pt>
                <c:pt idx="14">
                  <c:v>62.697022767075303</c:v>
                </c:pt>
                <c:pt idx="15">
                  <c:v>51.798561151079134</c:v>
                </c:pt>
                <c:pt idx="16">
                  <c:v>33.333333333333329</c:v>
                </c:pt>
                <c:pt idx="17">
                  <c:v>49.857549857549863</c:v>
                </c:pt>
                <c:pt idx="18">
                  <c:v>23.602484472049689</c:v>
                </c:pt>
                <c:pt idx="19">
                  <c:v>67.677725118483409</c:v>
                </c:pt>
                <c:pt idx="20">
                  <c:v>61.467889908256879</c:v>
                </c:pt>
                <c:pt idx="21">
                  <c:v>22.535211267605636</c:v>
                </c:pt>
                <c:pt idx="22">
                  <c:v>24.242424242424242</c:v>
                </c:pt>
                <c:pt idx="23">
                  <c:v>37.691237830319892</c:v>
                </c:pt>
                <c:pt idx="24">
                  <c:v>53.846153846153847</c:v>
                </c:pt>
                <c:pt idx="25">
                  <c:v>65.827338129496411</c:v>
                </c:pt>
                <c:pt idx="26">
                  <c:v>21.25</c:v>
                </c:pt>
                <c:pt idx="27">
                  <c:v>22.672064777327936</c:v>
                </c:pt>
                <c:pt idx="28">
                  <c:v>7.8947368421052628</c:v>
                </c:pt>
              </c:numCache>
            </c:numRef>
          </c:val>
        </c:ser>
        <c:ser>
          <c:idx val="1"/>
          <c:order val="2"/>
          <c:tx>
            <c:strRef>
              <c:f>'Chart N2 data'!$H$2</c:f>
              <c:strCache>
                <c:ptCount val="1"/>
                <c:pt idx="0">
                  <c:v>1 Day</c:v>
                </c:pt>
              </c:strCache>
            </c:strRef>
          </c:tx>
          <c:spPr>
            <a:solidFill>
              <a:srgbClr val="9999FF"/>
            </a:solidFill>
            <a:ln>
              <a:solidFill>
                <a:schemeClr val="tx1"/>
              </a:solidFill>
            </a:ln>
          </c:spPr>
          <c:dPt>
            <c:idx val="0"/>
            <c:spPr>
              <a:solidFill>
                <a:srgbClr val="FF0000"/>
              </a:solidFill>
              <a:ln>
                <a:solidFill>
                  <a:schemeClr val="tx1"/>
                </a:solidFill>
              </a:ln>
            </c:spPr>
          </c:dPt>
          <c:cat>
            <c:strRef>
              <c:f>'Chart N2 data'!$A$3:$A$31</c:f>
              <c:strCache>
                <c:ptCount val="29"/>
                <c:pt idx="0">
                  <c:v>Scotland</c:v>
                </c:pt>
                <c:pt idx="1">
                  <c:v>GCH</c:v>
                </c:pt>
                <c:pt idx="2">
                  <c:v>Belford</c:v>
                </c:pt>
                <c:pt idx="3">
                  <c:v>Caithness</c:v>
                </c:pt>
                <c:pt idx="4">
                  <c:v>Western Isles</c:v>
                </c:pt>
                <c:pt idx="5">
                  <c:v>Crosshouse</c:v>
                </c:pt>
                <c:pt idx="6">
                  <c:v>Wishaw</c:v>
                </c:pt>
                <c:pt idx="7">
                  <c:v>Gilbert Bain</c:v>
                </c:pt>
                <c:pt idx="8">
                  <c:v>IRH</c:v>
                </c:pt>
                <c:pt idx="9">
                  <c:v>Ninewells</c:v>
                </c:pt>
                <c:pt idx="10">
                  <c:v>L&amp;I</c:v>
                </c:pt>
                <c:pt idx="11">
                  <c:v>VHK</c:v>
                </c:pt>
                <c:pt idx="12">
                  <c:v>Hairmyres</c:v>
                </c:pt>
                <c:pt idx="13">
                  <c:v>FVRH</c:v>
                </c:pt>
                <c:pt idx="14">
                  <c:v>GRI</c:v>
                </c:pt>
                <c:pt idx="15">
                  <c:v>Monklands</c:v>
                </c:pt>
                <c:pt idx="16">
                  <c:v>Borders</c:v>
                </c:pt>
                <c:pt idx="17">
                  <c:v>RAH</c:v>
                </c:pt>
                <c:pt idx="18">
                  <c:v>DGRI</c:v>
                </c:pt>
                <c:pt idx="19">
                  <c:v>QEUH</c:v>
                </c:pt>
                <c:pt idx="20">
                  <c:v>Dr Grays</c:v>
                </c:pt>
                <c:pt idx="21">
                  <c:v>PRI</c:v>
                </c:pt>
                <c:pt idx="22">
                  <c:v>SJH</c:v>
                </c:pt>
                <c:pt idx="23">
                  <c:v>RIE</c:v>
                </c:pt>
                <c:pt idx="24">
                  <c:v>Balfour</c:v>
                </c:pt>
                <c:pt idx="25">
                  <c:v>ARI</c:v>
                </c:pt>
                <c:pt idx="26">
                  <c:v>WGH</c:v>
                </c:pt>
                <c:pt idx="27">
                  <c:v>Raigmore</c:v>
                </c:pt>
                <c:pt idx="28">
                  <c:v>Ayr</c:v>
                </c:pt>
              </c:strCache>
            </c:strRef>
          </c:cat>
          <c:val>
            <c:numRef>
              <c:f>'Chart N2 data'!$H$3:$H$31</c:f>
              <c:numCache>
                <c:formatCode>0</c:formatCode>
                <c:ptCount val="29"/>
                <c:pt idx="0">
                  <c:v>31.36050156739811</c:v>
                </c:pt>
                <c:pt idx="1">
                  <c:v>3.0303030303030312</c:v>
                </c:pt>
                <c:pt idx="2">
                  <c:v>0</c:v>
                </c:pt>
                <c:pt idx="3">
                  <c:v>0</c:v>
                </c:pt>
                <c:pt idx="4">
                  <c:v>26.08695652173914</c:v>
                </c:pt>
                <c:pt idx="5">
                  <c:v>10.449927431059507</c:v>
                </c:pt>
                <c:pt idx="6">
                  <c:v>46.557377049180317</c:v>
                </c:pt>
                <c:pt idx="7">
                  <c:v>8.3333333333333286</c:v>
                </c:pt>
                <c:pt idx="8">
                  <c:v>22.346368715083798</c:v>
                </c:pt>
                <c:pt idx="9">
                  <c:v>53.724604966139957</c:v>
                </c:pt>
                <c:pt idx="10">
                  <c:v>2.1276595744680833</c:v>
                </c:pt>
                <c:pt idx="11">
                  <c:v>51.434034416826009</c:v>
                </c:pt>
                <c:pt idx="12">
                  <c:v>29.811320754716988</c:v>
                </c:pt>
                <c:pt idx="13">
                  <c:v>62.033195020746888</c:v>
                </c:pt>
                <c:pt idx="14">
                  <c:v>24.16812609457093</c:v>
                </c:pt>
                <c:pt idx="15">
                  <c:v>35.251798561151084</c:v>
                </c:pt>
                <c:pt idx="16">
                  <c:v>52.046783625730995</c:v>
                </c:pt>
                <c:pt idx="17">
                  <c:v>30.769230769230766</c:v>
                </c:pt>
                <c:pt idx="18">
                  <c:v>50.310559006211172</c:v>
                </c:pt>
                <c:pt idx="19">
                  <c:v>17.725118483412331</c:v>
                </c:pt>
                <c:pt idx="20">
                  <c:v>16.513761467889907</c:v>
                </c:pt>
                <c:pt idx="21">
                  <c:v>46.009389671361504</c:v>
                </c:pt>
                <c:pt idx="22">
                  <c:v>46.753246753246763</c:v>
                </c:pt>
                <c:pt idx="23">
                  <c:v>33.657858136300405</c:v>
                </c:pt>
                <c:pt idx="24">
                  <c:v>7.6923076923076934</c:v>
                </c:pt>
                <c:pt idx="25">
                  <c:v>8.6330935251798451</c:v>
                </c:pt>
                <c:pt idx="26">
                  <c:v>31.875</c:v>
                </c:pt>
                <c:pt idx="27">
                  <c:v>29.554655870445348</c:v>
                </c:pt>
                <c:pt idx="28">
                  <c:v>26.315789473684209</c:v>
                </c:pt>
              </c:numCache>
            </c:numRef>
          </c:val>
        </c:ser>
        <c:ser>
          <c:idx val="2"/>
          <c:order val="3"/>
          <c:tx>
            <c:strRef>
              <c:f>'Chart N2 data'!$I$2</c:f>
              <c:strCache>
                <c:ptCount val="1"/>
                <c:pt idx="0">
                  <c:v>2 Days</c:v>
                </c:pt>
              </c:strCache>
            </c:strRef>
          </c:tx>
          <c:spPr>
            <a:solidFill>
              <a:srgbClr val="FFFF99"/>
            </a:solidFill>
            <a:ln>
              <a:solidFill>
                <a:schemeClr val="tx1"/>
              </a:solidFill>
            </a:ln>
          </c:spPr>
          <c:dPt>
            <c:idx val="0"/>
            <c:spPr>
              <a:solidFill>
                <a:srgbClr val="FFCC00"/>
              </a:solidFill>
              <a:ln>
                <a:solidFill>
                  <a:schemeClr val="tx1"/>
                </a:solidFill>
              </a:ln>
            </c:spPr>
          </c:dPt>
          <c:cat>
            <c:strRef>
              <c:f>'Chart N2 data'!$A$3:$A$31</c:f>
              <c:strCache>
                <c:ptCount val="29"/>
                <c:pt idx="0">
                  <c:v>Scotland</c:v>
                </c:pt>
                <c:pt idx="1">
                  <c:v>GCH</c:v>
                </c:pt>
                <c:pt idx="2">
                  <c:v>Belford</c:v>
                </c:pt>
                <c:pt idx="3">
                  <c:v>Caithness</c:v>
                </c:pt>
                <c:pt idx="4">
                  <c:v>Western Isles</c:v>
                </c:pt>
                <c:pt idx="5">
                  <c:v>Crosshouse</c:v>
                </c:pt>
                <c:pt idx="6">
                  <c:v>Wishaw</c:v>
                </c:pt>
                <c:pt idx="7">
                  <c:v>Gilbert Bain</c:v>
                </c:pt>
                <c:pt idx="8">
                  <c:v>IRH</c:v>
                </c:pt>
                <c:pt idx="9">
                  <c:v>Ninewells</c:v>
                </c:pt>
                <c:pt idx="10">
                  <c:v>L&amp;I</c:v>
                </c:pt>
                <c:pt idx="11">
                  <c:v>VHK</c:v>
                </c:pt>
                <c:pt idx="12">
                  <c:v>Hairmyres</c:v>
                </c:pt>
                <c:pt idx="13">
                  <c:v>FVRH</c:v>
                </c:pt>
                <c:pt idx="14">
                  <c:v>GRI</c:v>
                </c:pt>
                <c:pt idx="15">
                  <c:v>Monklands</c:v>
                </c:pt>
                <c:pt idx="16">
                  <c:v>Borders</c:v>
                </c:pt>
                <c:pt idx="17">
                  <c:v>RAH</c:v>
                </c:pt>
                <c:pt idx="18">
                  <c:v>DGRI</c:v>
                </c:pt>
                <c:pt idx="19">
                  <c:v>QEUH</c:v>
                </c:pt>
                <c:pt idx="20">
                  <c:v>Dr Grays</c:v>
                </c:pt>
                <c:pt idx="21">
                  <c:v>PRI</c:v>
                </c:pt>
                <c:pt idx="22">
                  <c:v>SJH</c:v>
                </c:pt>
                <c:pt idx="23">
                  <c:v>RIE</c:v>
                </c:pt>
                <c:pt idx="24">
                  <c:v>Balfour</c:v>
                </c:pt>
                <c:pt idx="25">
                  <c:v>ARI</c:v>
                </c:pt>
                <c:pt idx="26">
                  <c:v>WGH</c:v>
                </c:pt>
                <c:pt idx="27">
                  <c:v>Raigmore</c:v>
                </c:pt>
                <c:pt idx="28">
                  <c:v>Ayr</c:v>
                </c:pt>
              </c:strCache>
            </c:strRef>
          </c:cat>
          <c:val>
            <c:numRef>
              <c:f>'Chart N2 data'!$I$3:$I$31</c:f>
              <c:numCache>
                <c:formatCode>0</c:formatCode>
                <c:ptCount val="29"/>
                <c:pt idx="0">
                  <c:v>5.7554858934169317</c:v>
                </c:pt>
                <c:pt idx="1">
                  <c:v>0</c:v>
                </c:pt>
                <c:pt idx="2">
                  <c:v>0</c:v>
                </c:pt>
                <c:pt idx="3">
                  <c:v>0</c:v>
                </c:pt>
                <c:pt idx="4">
                  <c:v>0</c:v>
                </c:pt>
                <c:pt idx="5">
                  <c:v>0.87082728592162084</c:v>
                </c:pt>
                <c:pt idx="6">
                  <c:v>9.1803278688524728</c:v>
                </c:pt>
                <c:pt idx="7">
                  <c:v>0</c:v>
                </c:pt>
                <c:pt idx="8">
                  <c:v>2.2346368715083713</c:v>
                </c:pt>
                <c:pt idx="9">
                  <c:v>8.3521444695259532</c:v>
                </c:pt>
                <c:pt idx="10">
                  <c:v>0</c:v>
                </c:pt>
                <c:pt idx="11">
                  <c:v>6.3097514340344105</c:v>
                </c:pt>
                <c:pt idx="12">
                  <c:v>4.5283018867924483</c:v>
                </c:pt>
                <c:pt idx="13">
                  <c:v>7.6763485477178506</c:v>
                </c:pt>
                <c:pt idx="14">
                  <c:v>4.0280210157618228</c:v>
                </c:pt>
                <c:pt idx="15">
                  <c:v>5.3956834532374103</c:v>
                </c:pt>
                <c:pt idx="16">
                  <c:v>4.093567251461991</c:v>
                </c:pt>
                <c:pt idx="17">
                  <c:v>7.9772079772079678</c:v>
                </c:pt>
                <c:pt idx="18">
                  <c:v>11.801242236024848</c:v>
                </c:pt>
                <c:pt idx="19">
                  <c:v>4.2654028436018905</c:v>
                </c:pt>
                <c:pt idx="20">
                  <c:v>5.5045871559633071</c:v>
                </c:pt>
                <c:pt idx="21">
                  <c:v>11.737089201877936</c:v>
                </c:pt>
                <c:pt idx="22">
                  <c:v>7.3593073593073512</c:v>
                </c:pt>
                <c:pt idx="23">
                  <c:v>7.3713490959666359</c:v>
                </c:pt>
                <c:pt idx="24">
                  <c:v>11.538461538461526</c:v>
                </c:pt>
                <c:pt idx="25">
                  <c:v>3.4172661870503731</c:v>
                </c:pt>
                <c:pt idx="26">
                  <c:v>8.1250000000000071</c:v>
                </c:pt>
                <c:pt idx="27">
                  <c:v>10.121457489878537</c:v>
                </c:pt>
                <c:pt idx="28">
                  <c:v>10.526315789473685</c:v>
                </c:pt>
              </c:numCache>
            </c:numRef>
          </c:val>
        </c:ser>
        <c:ser>
          <c:idx val="4"/>
          <c:order val="4"/>
          <c:tx>
            <c:strRef>
              <c:f>'Chart N2 data'!$J$2</c:f>
              <c:strCache>
                <c:ptCount val="1"/>
                <c:pt idx="0">
                  <c:v>3  Days</c:v>
                </c:pt>
              </c:strCache>
            </c:strRef>
          </c:tx>
          <c:spPr>
            <a:solidFill>
              <a:srgbClr val="CCFFFF"/>
            </a:solidFill>
            <a:ln>
              <a:solidFill>
                <a:schemeClr val="tx1"/>
              </a:solidFill>
            </a:ln>
          </c:spPr>
          <c:dPt>
            <c:idx val="0"/>
            <c:spPr>
              <a:solidFill>
                <a:srgbClr val="99CC00"/>
              </a:solidFill>
              <a:ln>
                <a:solidFill>
                  <a:schemeClr val="tx1"/>
                </a:solidFill>
              </a:ln>
            </c:spPr>
          </c:dPt>
          <c:cat>
            <c:strRef>
              <c:f>'Chart N2 data'!$A$3:$A$31</c:f>
              <c:strCache>
                <c:ptCount val="29"/>
                <c:pt idx="0">
                  <c:v>Scotland</c:v>
                </c:pt>
                <c:pt idx="1">
                  <c:v>GCH</c:v>
                </c:pt>
                <c:pt idx="2">
                  <c:v>Belford</c:v>
                </c:pt>
                <c:pt idx="3">
                  <c:v>Caithness</c:v>
                </c:pt>
                <c:pt idx="4">
                  <c:v>Western Isles</c:v>
                </c:pt>
                <c:pt idx="5">
                  <c:v>Crosshouse</c:v>
                </c:pt>
                <c:pt idx="6">
                  <c:v>Wishaw</c:v>
                </c:pt>
                <c:pt idx="7">
                  <c:v>Gilbert Bain</c:v>
                </c:pt>
                <c:pt idx="8">
                  <c:v>IRH</c:v>
                </c:pt>
                <c:pt idx="9">
                  <c:v>Ninewells</c:v>
                </c:pt>
                <c:pt idx="10">
                  <c:v>L&amp;I</c:v>
                </c:pt>
                <c:pt idx="11">
                  <c:v>VHK</c:v>
                </c:pt>
                <c:pt idx="12">
                  <c:v>Hairmyres</c:v>
                </c:pt>
                <c:pt idx="13">
                  <c:v>FVRH</c:v>
                </c:pt>
                <c:pt idx="14">
                  <c:v>GRI</c:v>
                </c:pt>
                <c:pt idx="15">
                  <c:v>Monklands</c:v>
                </c:pt>
                <c:pt idx="16">
                  <c:v>Borders</c:v>
                </c:pt>
                <c:pt idx="17">
                  <c:v>RAH</c:v>
                </c:pt>
                <c:pt idx="18">
                  <c:v>DGRI</c:v>
                </c:pt>
                <c:pt idx="19">
                  <c:v>QEUH</c:v>
                </c:pt>
                <c:pt idx="20">
                  <c:v>Dr Grays</c:v>
                </c:pt>
                <c:pt idx="21">
                  <c:v>PRI</c:v>
                </c:pt>
                <c:pt idx="22">
                  <c:v>SJH</c:v>
                </c:pt>
                <c:pt idx="23">
                  <c:v>RIE</c:v>
                </c:pt>
                <c:pt idx="24">
                  <c:v>Balfour</c:v>
                </c:pt>
                <c:pt idx="25">
                  <c:v>ARI</c:v>
                </c:pt>
                <c:pt idx="26">
                  <c:v>WGH</c:v>
                </c:pt>
                <c:pt idx="27">
                  <c:v>Raigmore</c:v>
                </c:pt>
                <c:pt idx="28">
                  <c:v>Ayr</c:v>
                </c:pt>
              </c:strCache>
            </c:strRef>
          </c:cat>
          <c:val>
            <c:numRef>
              <c:f>'Chart N2 data'!$J$3:$J$31</c:f>
              <c:numCache>
                <c:formatCode>0</c:formatCode>
                <c:ptCount val="29"/>
                <c:pt idx="0">
                  <c:v>2.5078369905956066</c:v>
                </c:pt>
                <c:pt idx="1">
                  <c:v>0</c:v>
                </c:pt>
                <c:pt idx="2">
                  <c:v>0</c:v>
                </c:pt>
                <c:pt idx="3">
                  <c:v>0</c:v>
                </c:pt>
                <c:pt idx="4">
                  <c:v>0</c:v>
                </c:pt>
                <c:pt idx="5">
                  <c:v>0.87082728592163505</c:v>
                </c:pt>
                <c:pt idx="6">
                  <c:v>2.9508196721311464</c:v>
                </c:pt>
                <c:pt idx="7">
                  <c:v>0</c:v>
                </c:pt>
                <c:pt idx="8">
                  <c:v>2.7932960893854784</c:v>
                </c:pt>
                <c:pt idx="9">
                  <c:v>3.6117381489842018</c:v>
                </c:pt>
                <c:pt idx="10">
                  <c:v>0</c:v>
                </c:pt>
                <c:pt idx="11">
                  <c:v>1.7208413001911964</c:v>
                </c:pt>
                <c:pt idx="12">
                  <c:v>2.2641509433962312</c:v>
                </c:pt>
                <c:pt idx="13">
                  <c:v>1.0373443983402382</c:v>
                </c:pt>
                <c:pt idx="14">
                  <c:v>2.8021015761821388</c:v>
                </c:pt>
                <c:pt idx="15">
                  <c:v>1.0791366906474735</c:v>
                </c:pt>
                <c:pt idx="16">
                  <c:v>2.9239766081871323</c:v>
                </c:pt>
                <c:pt idx="17">
                  <c:v>3.7037037037037095</c:v>
                </c:pt>
                <c:pt idx="18">
                  <c:v>4.9689440993788878</c:v>
                </c:pt>
                <c:pt idx="19">
                  <c:v>0.94786729857820262</c:v>
                </c:pt>
                <c:pt idx="20">
                  <c:v>4.587155963302763</c:v>
                </c:pt>
                <c:pt idx="21">
                  <c:v>4.6948356807511828</c:v>
                </c:pt>
                <c:pt idx="22">
                  <c:v>4.3290043290043201</c:v>
                </c:pt>
                <c:pt idx="23">
                  <c:v>2.9207232267037426</c:v>
                </c:pt>
                <c:pt idx="24">
                  <c:v>7.6923076923077076</c:v>
                </c:pt>
                <c:pt idx="25">
                  <c:v>1.9784172661870372</c:v>
                </c:pt>
                <c:pt idx="26">
                  <c:v>8.7499999999999929</c:v>
                </c:pt>
                <c:pt idx="27">
                  <c:v>5.668016194331976</c:v>
                </c:pt>
                <c:pt idx="28">
                  <c:v>5.2631578947368425</c:v>
                </c:pt>
              </c:numCache>
            </c:numRef>
          </c:val>
        </c:ser>
        <c:overlap val="100"/>
        <c:axId val="108204800"/>
        <c:axId val="108206336"/>
      </c:barChart>
      <c:lineChart>
        <c:grouping val="standard"/>
        <c:ser>
          <c:idx val="0"/>
          <c:order val="1"/>
          <c:tx>
            <c:strRef>
              <c:f>'Chart N2 data'!$K$2</c:f>
              <c:strCache>
                <c:ptCount val="1"/>
                <c:pt idx="0">
                  <c:v>Stroke Standard (2013)</c:v>
                </c:pt>
              </c:strCache>
            </c:strRef>
          </c:tx>
          <c:marker>
            <c:symbol val="none"/>
          </c:marker>
          <c:cat>
            <c:strRef>
              <c:f>'Chart N2 data'!$A$3:$A$31</c:f>
              <c:strCache>
                <c:ptCount val="29"/>
                <c:pt idx="0">
                  <c:v>Scotland</c:v>
                </c:pt>
                <c:pt idx="1">
                  <c:v>GCH</c:v>
                </c:pt>
                <c:pt idx="2">
                  <c:v>Belford</c:v>
                </c:pt>
                <c:pt idx="3">
                  <c:v>Caithness</c:v>
                </c:pt>
                <c:pt idx="4">
                  <c:v>Western Isles</c:v>
                </c:pt>
                <c:pt idx="5">
                  <c:v>Crosshouse</c:v>
                </c:pt>
                <c:pt idx="6">
                  <c:v>Wishaw</c:v>
                </c:pt>
                <c:pt idx="7">
                  <c:v>Gilbert Bain</c:v>
                </c:pt>
                <c:pt idx="8">
                  <c:v>IRH</c:v>
                </c:pt>
                <c:pt idx="9">
                  <c:v>Ninewells</c:v>
                </c:pt>
                <c:pt idx="10">
                  <c:v>L&amp;I</c:v>
                </c:pt>
                <c:pt idx="11">
                  <c:v>VHK</c:v>
                </c:pt>
                <c:pt idx="12">
                  <c:v>Hairmyres</c:v>
                </c:pt>
                <c:pt idx="13">
                  <c:v>FVRH</c:v>
                </c:pt>
                <c:pt idx="14">
                  <c:v>GRI</c:v>
                </c:pt>
                <c:pt idx="15">
                  <c:v>Monklands</c:v>
                </c:pt>
                <c:pt idx="16">
                  <c:v>Borders</c:v>
                </c:pt>
                <c:pt idx="17">
                  <c:v>RAH</c:v>
                </c:pt>
                <c:pt idx="18">
                  <c:v>DGRI</c:v>
                </c:pt>
                <c:pt idx="19">
                  <c:v>QEUH</c:v>
                </c:pt>
                <c:pt idx="20">
                  <c:v>Dr Grays</c:v>
                </c:pt>
                <c:pt idx="21">
                  <c:v>PRI</c:v>
                </c:pt>
                <c:pt idx="22">
                  <c:v>SJH</c:v>
                </c:pt>
                <c:pt idx="23">
                  <c:v>RIE</c:v>
                </c:pt>
                <c:pt idx="24">
                  <c:v>Balfour</c:v>
                </c:pt>
                <c:pt idx="25">
                  <c:v>ARI</c:v>
                </c:pt>
                <c:pt idx="26">
                  <c:v>WGH</c:v>
                </c:pt>
                <c:pt idx="27">
                  <c:v>Raigmore</c:v>
                </c:pt>
                <c:pt idx="28">
                  <c:v>Ayr</c:v>
                </c:pt>
              </c:strCache>
            </c:strRef>
          </c:cat>
          <c:val>
            <c:numRef>
              <c:f>'Chart N2 data'!$K$3:$K$31</c:f>
              <c:numCache>
                <c:formatCode>0</c:formatCode>
                <c:ptCount val="29"/>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numCache>
            </c:numRef>
          </c:val>
        </c:ser>
        <c:marker val="1"/>
        <c:axId val="108204800"/>
        <c:axId val="108206336"/>
      </c:lineChart>
      <c:catAx>
        <c:axId val="108204800"/>
        <c:scaling>
          <c:orientation val="minMax"/>
        </c:scaling>
        <c:axPos val="b"/>
        <c:tickLblPos val="nextTo"/>
        <c:txPr>
          <a:bodyPr rot="-5400000" vert="horz"/>
          <a:lstStyle/>
          <a:p>
            <a:pPr>
              <a:defRPr sz="800"/>
            </a:pPr>
            <a:endParaRPr lang="en-US"/>
          </a:p>
        </c:txPr>
        <c:crossAx val="108206336"/>
        <c:crosses val="autoZero"/>
        <c:auto val="1"/>
        <c:lblAlgn val="ctr"/>
        <c:lblOffset val="100"/>
      </c:catAx>
      <c:valAx>
        <c:axId val="108206336"/>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108204800"/>
        <c:crosses val="autoZero"/>
        <c:crossBetween val="between"/>
      </c:valAx>
      <c:spPr>
        <a:ln>
          <a:solidFill>
            <a:schemeClr val="tx1"/>
          </a:solidFill>
        </a:ln>
      </c:spPr>
    </c:plotArea>
    <c:legend>
      <c:legendPos val="r"/>
      <c:layout>
        <c:manualLayout>
          <c:xMode val="edge"/>
          <c:yMode val="edge"/>
          <c:x val="0.87841302445890002"/>
          <c:y val="0.33786671402917651"/>
          <c:w val="0.10969548538874255"/>
          <c:h val="0.29751642886745266"/>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921" l="0.70000000000000062" r="0.70000000000000062" t="0.7500000000000092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464E-2"/>
          <c:y val="8.0232093304875005E-2"/>
          <c:w val="0.81007028782419765"/>
          <c:h val="0.72370482152729065"/>
        </c:manualLayout>
      </c:layout>
      <c:barChart>
        <c:barDir val="col"/>
        <c:grouping val="stacked"/>
        <c:ser>
          <c:idx val="3"/>
          <c:order val="0"/>
          <c:tx>
            <c:strRef>
              <c:f>'Chart N2 (2015) data'!$C$2</c:f>
              <c:strCache>
                <c:ptCount val="1"/>
                <c:pt idx="0">
                  <c:v>Same Day</c:v>
                </c:pt>
              </c:strCache>
            </c:strRef>
          </c:tx>
          <c:spPr>
            <a:solidFill>
              <a:srgbClr val="003366"/>
            </a:solidFill>
            <a:ln>
              <a:solidFill>
                <a:schemeClr val="tx1"/>
              </a:solidFill>
            </a:ln>
          </c:spPr>
          <c:dPt>
            <c:idx val="0"/>
            <c:spPr>
              <a:solidFill>
                <a:srgbClr val="008000"/>
              </a:solidFill>
              <a:ln>
                <a:solidFill>
                  <a:schemeClr val="tx1"/>
                </a:solidFill>
              </a:ln>
            </c:spPr>
          </c:dPt>
          <c:cat>
            <c:strRef>
              <c:f>'Chart N2 (2015) data'!$A$3:$A$32</c:f>
              <c:strCache>
                <c:ptCount val="30"/>
                <c:pt idx="0">
                  <c:v>Scotland</c:v>
                </c:pt>
                <c:pt idx="1">
                  <c:v>GCH</c:v>
                </c:pt>
                <c:pt idx="2">
                  <c:v>Caithness</c:v>
                </c:pt>
                <c:pt idx="3">
                  <c:v>L&amp;I</c:v>
                </c:pt>
                <c:pt idx="4">
                  <c:v>Gilbert Bain</c:v>
                </c:pt>
                <c:pt idx="5">
                  <c:v>Crosshouse</c:v>
                </c:pt>
                <c:pt idx="6">
                  <c:v>Belford</c:v>
                </c:pt>
                <c:pt idx="7">
                  <c:v>Ninewells</c:v>
                </c:pt>
                <c:pt idx="8">
                  <c:v>Monklands</c:v>
                </c:pt>
                <c:pt idx="9">
                  <c:v>Borders</c:v>
                </c:pt>
                <c:pt idx="10">
                  <c:v>IRH</c:v>
                </c:pt>
                <c:pt idx="11">
                  <c:v>RAH</c:v>
                </c:pt>
                <c:pt idx="12">
                  <c:v>Western Isles</c:v>
                </c:pt>
                <c:pt idx="13">
                  <c:v>FVRH</c:v>
                </c:pt>
                <c:pt idx="14">
                  <c:v>Hairmyres</c:v>
                </c:pt>
                <c:pt idx="15">
                  <c:v>QEUH</c:v>
                </c:pt>
                <c:pt idx="16">
                  <c:v>GRI</c:v>
                </c:pt>
                <c:pt idx="17">
                  <c:v>VHK</c:v>
                </c:pt>
                <c:pt idx="18">
                  <c:v>Ayr</c:v>
                </c:pt>
                <c:pt idx="19">
                  <c:v>DGRI</c:v>
                </c:pt>
                <c:pt idx="20">
                  <c:v>Wishaw</c:v>
                </c:pt>
                <c:pt idx="21">
                  <c:v>Dr Grays</c:v>
                </c:pt>
                <c:pt idx="22">
                  <c:v>SJH</c:v>
                </c:pt>
                <c:pt idx="23">
                  <c:v>Balfour</c:v>
                </c:pt>
                <c:pt idx="24">
                  <c:v>PRI</c:v>
                </c:pt>
                <c:pt idx="25">
                  <c:v>RIE</c:v>
                </c:pt>
                <c:pt idx="26">
                  <c:v>WGH</c:v>
                </c:pt>
                <c:pt idx="27">
                  <c:v>ARI</c:v>
                </c:pt>
                <c:pt idx="28">
                  <c:v>Raigmore</c:v>
                </c:pt>
                <c:pt idx="29">
                  <c:v>Uist &amp; Barra</c:v>
                </c:pt>
              </c:strCache>
            </c:strRef>
          </c:cat>
          <c:val>
            <c:numRef>
              <c:f>'Chart N2 (2015) data'!$C$3:$C$32</c:f>
              <c:numCache>
                <c:formatCode>0</c:formatCode>
                <c:ptCount val="30"/>
                <c:pt idx="0">
                  <c:v>45.969724414542632</c:v>
                </c:pt>
                <c:pt idx="1">
                  <c:v>97.222222222222214</c:v>
                </c:pt>
                <c:pt idx="2">
                  <c:v>98.076923076923066</c:v>
                </c:pt>
                <c:pt idx="3">
                  <c:v>100</c:v>
                </c:pt>
                <c:pt idx="4">
                  <c:v>100</c:v>
                </c:pt>
                <c:pt idx="5">
                  <c:v>78.899082568807344</c:v>
                </c:pt>
                <c:pt idx="6">
                  <c:v>91.666666666666657</c:v>
                </c:pt>
                <c:pt idx="7">
                  <c:v>36.982968369829685</c:v>
                </c:pt>
                <c:pt idx="8">
                  <c:v>39.57597173144876</c:v>
                </c:pt>
                <c:pt idx="9">
                  <c:v>32.487309644670049</c:v>
                </c:pt>
                <c:pt idx="10">
                  <c:v>74.611398963730565</c:v>
                </c:pt>
                <c:pt idx="11">
                  <c:v>45.426829268292686</c:v>
                </c:pt>
                <c:pt idx="12">
                  <c:v>61.29032258064516</c:v>
                </c:pt>
                <c:pt idx="13">
                  <c:v>25.45824847250509</c:v>
                </c:pt>
                <c:pt idx="14">
                  <c:v>54.826254826254825</c:v>
                </c:pt>
                <c:pt idx="15">
                  <c:v>73.288331726133066</c:v>
                </c:pt>
                <c:pt idx="16">
                  <c:v>37.656903765690373</c:v>
                </c:pt>
                <c:pt idx="17">
                  <c:v>31.736526946107784</c:v>
                </c:pt>
                <c:pt idx="18">
                  <c:v>64.62882096069869</c:v>
                </c:pt>
                <c:pt idx="19">
                  <c:v>30.73170731707317</c:v>
                </c:pt>
                <c:pt idx="20">
                  <c:v>38.127090301003349</c:v>
                </c:pt>
                <c:pt idx="21">
                  <c:v>60</c:v>
                </c:pt>
                <c:pt idx="22">
                  <c:v>21.12676056338028</c:v>
                </c:pt>
                <c:pt idx="23">
                  <c:v>50</c:v>
                </c:pt>
                <c:pt idx="24">
                  <c:v>21.893491124260358</c:v>
                </c:pt>
                <c:pt idx="25">
                  <c:v>27.836411609498679</c:v>
                </c:pt>
                <c:pt idx="26">
                  <c:v>22.15909090909091</c:v>
                </c:pt>
                <c:pt idx="27">
                  <c:v>58.333333333333336</c:v>
                </c:pt>
                <c:pt idx="28">
                  <c:v>17.938931297709924</c:v>
                </c:pt>
                <c:pt idx="29">
                  <c:v>0</c:v>
                </c:pt>
              </c:numCache>
            </c:numRef>
          </c:val>
        </c:ser>
        <c:ser>
          <c:idx val="1"/>
          <c:order val="2"/>
          <c:tx>
            <c:strRef>
              <c:f>'Chart N2 (2015) data'!$H$2</c:f>
              <c:strCache>
                <c:ptCount val="1"/>
                <c:pt idx="0">
                  <c:v>1 Day</c:v>
                </c:pt>
              </c:strCache>
            </c:strRef>
          </c:tx>
          <c:spPr>
            <a:solidFill>
              <a:srgbClr val="9999FF"/>
            </a:solidFill>
            <a:ln>
              <a:solidFill>
                <a:schemeClr val="tx1"/>
              </a:solidFill>
            </a:ln>
          </c:spPr>
          <c:dPt>
            <c:idx val="0"/>
            <c:spPr>
              <a:solidFill>
                <a:srgbClr val="FF0000"/>
              </a:solidFill>
              <a:ln>
                <a:solidFill>
                  <a:schemeClr val="tx1"/>
                </a:solidFill>
              </a:ln>
            </c:spPr>
          </c:dPt>
          <c:cat>
            <c:strRef>
              <c:f>'Chart N2 (2015) data'!$A$3:$A$32</c:f>
              <c:strCache>
                <c:ptCount val="30"/>
                <c:pt idx="0">
                  <c:v>Scotland</c:v>
                </c:pt>
                <c:pt idx="1">
                  <c:v>GCH</c:v>
                </c:pt>
                <c:pt idx="2">
                  <c:v>Caithness</c:v>
                </c:pt>
                <c:pt idx="3">
                  <c:v>L&amp;I</c:v>
                </c:pt>
                <c:pt idx="4">
                  <c:v>Gilbert Bain</c:v>
                </c:pt>
                <c:pt idx="5">
                  <c:v>Crosshouse</c:v>
                </c:pt>
                <c:pt idx="6">
                  <c:v>Belford</c:v>
                </c:pt>
                <c:pt idx="7">
                  <c:v>Ninewells</c:v>
                </c:pt>
                <c:pt idx="8">
                  <c:v>Monklands</c:v>
                </c:pt>
                <c:pt idx="9">
                  <c:v>Borders</c:v>
                </c:pt>
                <c:pt idx="10">
                  <c:v>IRH</c:v>
                </c:pt>
                <c:pt idx="11">
                  <c:v>RAH</c:v>
                </c:pt>
                <c:pt idx="12">
                  <c:v>Western Isles</c:v>
                </c:pt>
                <c:pt idx="13">
                  <c:v>FVRH</c:v>
                </c:pt>
                <c:pt idx="14">
                  <c:v>Hairmyres</c:v>
                </c:pt>
                <c:pt idx="15">
                  <c:v>QEUH</c:v>
                </c:pt>
                <c:pt idx="16">
                  <c:v>GRI</c:v>
                </c:pt>
                <c:pt idx="17">
                  <c:v>VHK</c:v>
                </c:pt>
                <c:pt idx="18">
                  <c:v>Ayr</c:v>
                </c:pt>
                <c:pt idx="19">
                  <c:v>DGRI</c:v>
                </c:pt>
                <c:pt idx="20">
                  <c:v>Wishaw</c:v>
                </c:pt>
                <c:pt idx="21">
                  <c:v>Dr Grays</c:v>
                </c:pt>
                <c:pt idx="22">
                  <c:v>SJH</c:v>
                </c:pt>
                <c:pt idx="23">
                  <c:v>Balfour</c:v>
                </c:pt>
                <c:pt idx="24">
                  <c:v>PRI</c:v>
                </c:pt>
                <c:pt idx="25">
                  <c:v>RIE</c:v>
                </c:pt>
                <c:pt idx="26">
                  <c:v>WGH</c:v>
                </c:pt>
                <c:pt idx="27">
                  <c:v>ARI</c:v>
                </c:pt>
                <c:pt idx="28">
                  <c:v>Raigmore</c:v>
                </c:pt>
                <c:pt idx="29">
                  <c:v>Uist &amp; Barra</c:v>
                </c:pt>
              </c:strCache>
            </c:strRef>
          </c:cat>
          <c:val>
            <c:numRef>
              <c:f>'Chart N2 (2015) data'!$H$3:$H$32</c:f>
              <c:numCache>
                <c:formatCode>0</c:formatCode>
                <c:ptCount val="30"/>
                <c:pt idx="0">
                  <c:v>32.242204683658947</c:v>
                </c:pt>
                <c:pt idx="1">
                  <c:v>2.7777777777777857</c:v>
                </c:pt>
                <c:pt idx="2">
                  <c:v>1.923076923076934</c:v>
                </c:pt>
                <c:pt idx="3">
                  <c:v>0</c:v>
                </c:pt>
                <c:pt idx="4">
                  <c:v>0</c:v>
                </c:pt>
                <c:pt idx="5">
                  <c:v>13.761467889908246</c:v>
                </c:pt>
                <c:pt idx="6">
                  <c:v>4.1666666666666856</c:v>
                </c:pt>
                <c:pt idx="7">
                  <c:v>45.498783454987837</c:v>
                </c:pt>
                <c:pt idx="8">
                  <c:v>46.643109540636047</c:v>
                </c:pt>
                <c:pt idx="9">
                  <c:v>49.238578680203048</c:v>
                </c:pt>
                <c:pt idx="10">
                  <c:v>13.47150259067358</c:v>
                </c:pt>
                <c:pt idx="11">
                  <c:v>36.280487804878042</c:v>
                </c:pt>
                <c:pt idx="12">
                  <c:v>32.258064516129032</c:v>
                </c:pt>
                <c:pt idx="13">
                  <c:v>50.916496945010181</c:v>
                </c:pt>
                <c:pt idx="14">
                  <c:v>25.868725868725875</c:v>
                </c:pt>
                <c:pt idx="15">
                  <c:v>14.464802314368384</c:v>
                </c:pt>
                <c:pt idx="16">
                  <c:v>46.861924686192467</c:v>
                </c:pt>
                <c:pt idx="17">
                  <c:v>52.894211576846303</c:v>
                </c:pt>
                <c:pt idx="18">
                  <c:v>19.213973799126634</c:v>
                </c:pt>
                <c:pt idx="19">
                  <c:v>47.804878048780495</c:v>
                </c:pt>
                <c:pt idx="20">
                  <c:v>38.461538461538467</c:v>
                </c:pt>
                <c:pt idx="21">
                  <c:v>22.727272727272734</c:v>
                </c:pt>
                <c:pt idx="22">
                  <c:v>47.417840375586856</c:v>
                </c:pt>
                <c:pt idx="23">
                  <c:v>19.230769230769226</c:v>
                </c:pt>
                <c:pt idx="24">
                  <c:v>42.011834319526628</c:v>
                </c:pt>
                <c:pt idx="25">
                  <c:v>36.01583113456465</c:v>
                </c:pt>
                <c:pt idx="26">
                  <c:v>31.818181818181817</c:v>
                </c:pt>
                <c:pt idx="27">
                  <c:v>10.815602836879442</c:v>
                </c:pt>
                <c:pt idx="28">
                  <c:v>25.954198473282442</c:v>
                </c:pt>
                <c:pt idx="29">
                  <c:v>0</c:v>
                </c:pt>
              </c:numCache>
            </c:numRef>
          </c:val>
        </c:ser>
        <c:ser>
          <c:idx val="2"/>
          <c:order val="3"/>
          <c:tx>
            <c:strRef>
              <c:f>'Chart N2 (2015) data'!$I$2</c:f>
              <c:strCache>
                <c:ptCount val="1"/>
                <c:pt idx="0">
                  <c:v>2 Days</c:v>
                </c:pt>
              </c:strCache>
            </c:strRef>
          </c:tx>
          <c:spPr>
            <a:solidFill>
              <a:srgbClr val="FFFF99"/>
            </a:solidFill>
            <a:ln>
              <a:solidFill>
                <a:schemeClr val="tx1"/>
              </a:solidFill>
            </a:ln>
          </c:spPr>
          <c:dPt>
            <c:idx val="0"/>
            <c:spPr>
              <a:solidFill>
                <a:srgbClr val="FFCC00"/>
              </a:solidFill>
              <a:ln>
                <a:solidFill>
                  <a:schemeClr val="tx1"/>
                </a:solidFill>
              </a:ln>
            </c:spPr>
          </c:dPt>
          <c:cat>
            <c:strRef>
              <c:f>'Chart N2 (2015) data'!$A$3:$A$32</c:f>
              <c:strCache>
                <c:ptCount val="30"/>
                <c:pt idx="0">
                  <c:v>Scotland</c:v>
                </c:pt>
                <c:pt idx="1">
                  <c:v>GCH</c:v>
                </c:pt>
                <c:pt idx="2">
                  <c:v>Caithness</c:v>
                </c:pt>
                <c:pt idx="3">
                  <c:v>L&amp;I</c:v>
                </c:pt>
                <c:pt idx="4">
                  <c:v>Gilbert Bain</c:v>
                </c:pt>
                <c:pt idx="5">
                  <c:v>Crosshouse</c:v>
                </c:pt>
                <c:pt idx="6">
                  <c:v>Belford</c:v>
                </c:pt>
                <c:pt idx="7">
                  <c:v>Ninewells</c:v>
                </c:pt>
                <c:pt idx="8">
                  <c:v>Monklands</c:v>
                </c:pt>
                <c:pt idx="9">
                  <c:v>Borders</c:v>
                </c:pt>
                <c:pt idx="10">
                  <c:v>IRH</c:v>
                </c:pt>
                <c:pt idx="11">
                  <c:v>RAH</c:v>
                </c:pt>
                <c:pt idx="12">
                  <c:v>Western Isles</c:v>
                </c:pt>
                <c:pt idx="13">
                  <c:v>FVRH</c:v>
                </c:pt>
                <c:pt idx="14">
                  <c:v>Hairmyres</c:v>
                </c:pt>
                <c:pt idx="15">
                  <c:v>QEUH</c:v>
                </c:pt>
                <c:pt idx="16">
                  <c:v>GRI</c:v>
                </c:pt>
                <c:pt idx="17">
                  <c:v>VHK</c:v>
                </c:pt>
                <c:pt idx="18">
                  <c:v>Ayr</c:v>
                </c:pt>
                <c:pt idx="19">
                  <c:v>DGRI</c:v>
                </c:pt>
                <c:pt idx="20">
                  <c:v>Wishaw</c:v>
                </c:pt>
                <c:pt idx="21">
                  <c:v>Dr Grays</c:v>
                </c:pt>
                <c:pt idx="22">
                  <c:v>SJH</c:v>
                </c:pt>
                <c:pt idx="23">
                  <c:v>Balfour</c:v>
                </c:pt>
                <c:pt idx="24">
                  <c:v>PRI</c:v>
                </c:pt>
                <c:pt idx="25">
                  <c:v>RIE</c:v>
                </c:pt>
                <c:pt idx="26">
                  <c:v>WGH</c:v>
                </c:pt>
                <c:pt idx="27">
                  <c:v>ARI</c:v>
                </c:pt>
                <c:pt idx="28">
                  <c:v>Raigmore</c:v>
                </c:pt>
                <c:pt idx="29">
                  <c:v>Uist &amp; Barra</c:v>
                </c:pt>
              </c:strCache>
            </c:strRef>
          </c:cat>
          <c:val>
            <c:numRef>
              <c:f>'Chart N2 (2015) data'!$I$3:$I$32</c:f>
              <c:numCache>
                <c:formatCode>0</c:formatCode>
                <c:ptCount val="30"/>
                <c:pt idx="0">
                  <c:v>6.8961055764005721</c:v>
                </c:pt>
                <c:pt idx="1">
                  <c:v>0</c:v>
                </c:pt>
                <c:pt idx="2">
                  <c:v>0</c:v>
                </c:pt>
                <c:pt idx="3">
                  <c:v>0</c:v>
                </c:pt>
                <c:pt idx="4">
                  <c:v>0</c:v>
                </c:pt>
                <c:pt idx="5">
                  <c:v>3.0581039755351753</c:v>
                </c:pt>
                <c:pt idx="6">
                  <c:v>0</c:v>
                </c:pt>
                <c:pt idx="7">
                  <c:v>9.2457420924574194</c:v>
                </c:pt>
                <c:pt idx="8">
                  <c:v>5.6537102473498209</c:v>
                </c:pt>
                <c:pt idx="9">
                  <c:v>5.5837563451776617</c:v>
                </c:pt>
                <c:pt idx="10">
                  <c:v>4.663212435233163</c:v>
                </c:pt>
                <c:pt idx="11">
                  <c:v>8.8414634146341484</c:v>
                </c:pt>
                <c:pt idx="12">
                  <c:v>0</c:v>
                </c:pt>
                <c:pt idx="13">
                  <c:v>13.238289205702657</c:v>
                </c:pt>
                <c:pt idx="14">
                  <c:v>8.4942084942084932</c:v>
                </c:pt>
                <c:pt idx="15">
                  <c:v>3.7608486017357734</c:v>
                </c:pt>
                <c:pt idx="16">
                  <c:v>6.4853556485355597</c:v>
                </c:pt>
                <c:pt idx="17">
                  <c:v>5.5888223552894232</c:v>
                </c:pt>
                <c:pt idx="18">
                  <c:v>5.2401746724890899</c:v>
                </c:pt>
                <c:pt idx="19">
                  <c:v>10.243902439024382</c:v>
                </c:pt>
                <c:pt idx="20">
                  <c:v>8.6956521739130324</c:v>
                </c:pt>
                <c:pt idx="21">
                  <c:v>4.5454545454545325</c:v>
                </c:pt>
                <c:pt idx="22">
                  <c:v>9.3896713615023515</c:v>
                </c:pt>
                <c:pt idx="23">
                  <c:v>7.6923076923077076</c:v>
                </c:pt>
                <c:pt idx="24">
                  <c:v>10.650887573964503</c:v>
                </c:pt>
                <c:pt idx="25">
                  <c:v>9.8944591029023812</c:v>
                </c:pt>
                <c:pt idx="26">
                  <c:v>14.772727272727273</c:v>
                </c:pt>
                <c:pt idx="27">
                  <c:v>1.9503546099290645</c:v>
                </c:pt>
                <c:pt idx="28">
                  <c:v>7.2519083969465612</c:v>
                </c:pt>
                <c:pt idx="29">
                  <c:v>0</c:v>
                </c:pt>
              </c:numCache>
            </c:numRef>
          </c:val>
        </c:ser>
        <c:ser>
          <c:idx val="4"/>
          <c:order val="4"/>
          <c:tx>
            <c:strRef>
              <c:f>'Chart N2 (2015) data'!$J$2</c:f>
              <c:strCache>
                <c:ptCount val="1"/>
                <c:pt idx="0">
                  <c:v>3  Days</c:v>
                </c:pt>
              </c:strCache>
            </c:strRef>
          </c:tx>
          <c:spPr>
            <a:solidFill>
              <a:srgbClr val="CCFFFF"/>
            </a:solidFill>
            <a:ln>
              <a:solidFill>
                <a:schemeClr val="tx1"/>
              </a:solidFill>
            </a:ln>
          </c:spPr>
          <c:dPt>
            <c:idx val="0"/>
            <c:spPr>
              <a:solidFill>
                <a:srgbClr val="99CC00"/>
              </a:solidFill>
              <a:ln>
                <a:solidFill>
                  <a:schemeClr val="tx1"/>
                </a:solidFill>
              </a:ln>
            </c:spPr>
          </c:dPt>
          <c:cat>
            <c:strRef>
              <c:f>'Chart N2 (2015) data'!$A$3:$A$32</c:f>
              <c:strCache>
                <c:ptCount val="30"/>
                <c:pt idx="0">
                  <c:v>Scotland</c:v>
                </c:pt>
                <c:pt idx="1">
                  <c:v>GCH</c:v>
                </c:pt>
                <c:pt idx="2">
                  <c:v>Caithness</c:v>
                </c:pt>
                <c:pt idx="3">
                  <c:v>L&amp;I</c:v>
                </c:pt>
                <c:pt idx="4">
                  <c:v>Gilbert Bain</c:v>
                </c:pt>
                <c:pt idx="5">
                  <c:v>Crosshouse</c:v>
                </c:pt>
                <c:pt idx="6">
                  <c:v>Belford</c:v>
                </c:pt>
                <c:pt idx="7">
                  <c:v>Ninewells</c:v>
                </c:pt>
                <c:pt idx="8">
                  <c:v>Monklands</c:v>
                </c:pt>
                <c:pt idx="9">
                  <c:v>Borders</c:v>
                </c:pt>
                <c:pt idx="10">
                  <c:v>IRH</c:v>
                </c:pt>
                <c:pt idx="11">
                  <c:v>RAH</c:v>
                </c:pt>
                <c:pt idx="12">
                  <c:v>Western Isles</c:v>
                </c:pt>
                <c:pt idx="13">
                  <c:v>FVRH</c:v>
                </c:pt>
                <c:pt idx="14">
                  <c:v>Hairmyres</c:v>
                </c:pt>
                <c:pt idx="15">
                  <c:v>QEUH</c:v>
                </c:pt>
                <c:pt idx="16">
                  <c:v>GRI</c:v>
                </c:pt>
                <c:pt idx="17">
                  <c:v>VHK</c:v>
                </c:pt>
                <c:pt idx="18">
                  <c:v>Ayr</c:v>
                </c:pt>
                <c:pt idx="19">
                  <c:v>DGRI</c:v>
                </c:pt>
                <c:pt idx="20">
                  <c:v>Wishaw</c:v>
                </c:pt>
                <c:pt idx="21">
                  <c:v>Dr Grays</c:v>
                </c:pt>
                <c:pt idx="22">
                  <c:v>SJH</c:v>
                </c:pt>
                <c:pt idx="23">
                  <c:v>Balfour</c:v>
                </c:pt>
                <c:pt idx="24">
                  <c:v>PRI</c:v>
                </c:pt>
                <c:pt idx="25">
                  <c:v>RIE</c:v>
                </c:pt>
                <c:pt idx="26">
                  <c:v>WGH</c:v>
                </c:pt>
                <c:pt idx="27">
                  <c:v>ARI</c:v>
                </c:pt>
                <c:pt idx="28">
                  <c:v>Raigmore</c:v>
                </c:pt>
                <c:pt idx="29">
                  <c:v>Uist &amp; Barra</c:v>
                </c:pt>
              </c:strCache>
            </c:strRef>
          </c:cat>
          <c:val>
            <c:numRef>
              <c:f>'Chart N2 (2015) data'!$J$3:$J$32</c:f>
              <c:numCache>
                <c:formatCode>0</c:formatCode>
                <c:ptCount val="30"/>
                <c:pt idx="0">
                  <c:v>2.7558545736835214</c:v>
                </c:pt>
                <c:pt idx="1">
                  <c:v>0</c:v>
                </c:pt>
                <c:pt idx="2">
                  <c:v>0</c:v>
                </c:pt>
                <c:pt idx="3">
                  <c:v>0</c:v>
                </c:pt>
                <c:pt idx="4">
                  <c:v>0</c:v>
                </c:pt>
                <c:pt idx="5">
                  <c:v>1.223241590214073</c:v>
                </c:pt>
                <c:pt idx="6">
                  <c:v>0</c:v>
                </c:pt>
                <c:pt idx="7">
                  <c:v>3.8929440389294427</c:v>
                </c:pt>
                <c:pt idx="8">
                  <c:v>2.8268551236749033</c:v>
                </c:pt>
                <c:pt idx="9">
                  <c:v>7.1065989847715798</c:v>
                </c:pt>
                <c:pt idx="10">
                  <c:v>1.5544041450777257</c:v>
                </c:pt>
                <c:pt idx="11">
                  <c:v>3.6585365853658516</c:v>
                </c:pt>
                <c:pt idx="12">
                  <c:v>0</c:v>
                </c:pt>
                <c:pt idx="13">
                  <c:v>3.2586558044806395</c:v>
                </c:pt>
                <c:pt idx="14">
                  <c:v>3.4749034749034706</c:v>
                </c:pt>
                <c:pt idx="15">
                  <c:v>1.0607521697203453</c:v>
                </c:pt>
                <c:pt idx="16">
                  <c:v>1.4644351464435346</c:v>
                </c:pt>
                <c:pt idx="17">
                  <c:v>1.3972055888223593</c:v>
                </c:pt>
                <c:pt idx="18">
                  <c:v>1.7467248908296966</c:v>
                </c:pt>
                <c:pt idx="19">
                  <c:v>1.9512195121951237</c:v>
                </c:pt>
                <c:pt idx="20">
                  <c:v>4.0133779264213985</c:v>
                </c:pt>
                <c:pt idx="21">
                  <c:v>0.90909090909092072</c:v>
                </c:pt>
                <c:pt idx="22">
                  <c:v>4.2253521126760489</c:v>
                </c:pt>
                <c:pt idx="23">
                  <c:v>3.8461538461538396</c:v>
                </c:pt>
                <c:pt idx="24">
                  <c:v>4.7337278106508762</c:v>
                </c:pt>
                <c:pt idx="25">
                  <c:v>4.3535620052770412</c:v>
                </c:pt>
                <c:pt idx="26">
                  <c:v>4.5454545454545467</c:v>
                </c:pt>
                <c:pt idx="27">
                  <c:v>1.0638297872340416</c:v>
                </c:pt>
                <c:pt idx="28">
                  <c:v>7.6335877862595467</c:v>
                </c:pt>
                <c:pt idx="29">
                  <c:v>0</c:v>
                </c:pt>
              </c:numCache>
            </c:numRef>
          </c:val>
        </c:ser>
        <c:overlap val="100"/>
        <c:axId val="108331392"/>
        <c:axId val="108332928"/>
      </c:barChart>
      <c:lineChart>
        <c:grouping val="standard"/>
        <c:ser>
          <c:idx val="0"/>
          <c:order val="1"/>
          <c:tx>
            <c:strRef>
              <c:f>'Chart N2 (2015) data'!$K$2</c:f>
              <c:strCache>
                <c:ptCount val="1"/>
                <c:pt idx="0">
                  <c:v>Stroke Standard (2013)</c:v>
                </c:pt>
              </c:strCache>
            </c:strRef>
          </c:tx>
          <c:marker>
            <c:symbol val="none"/>
          </c:marker>
          <c:cat>
            <c:strRef>
              <c:f>'Chart N2 (2015) data'!$A$3:$A$32</c:f>
              <c:strCache>
                <c:ptCount val="30"/>
                <c:pt idx="0">
                  <c:v>Scotland</c:v>
                </c:pt>
                <c:pt idx="1">
                  <c:v>GCH</c:v>
                </c:pt>
                <c:pt idx="2">
                  <c:v>Caithness</c:v>
                </c:pt>
                <c:pt idx="3">
                  <c:v>L&amp;I</c:v>
                </c:pt>
                <c:pt idx="4">
                  <c:v>Gilbert Bain</c:v>
                </c:pt>
                <c:pt idx="5">
                  <c:v>Crosshouse</c:v>
                </c:pt>
                <c:pt idx="6">
                  <c:v>Belford</c:v>
                </c:pt>
                <c:pt idx="7">
                  <c:v>Ninewells</c:v>
                </c:pt>
                <c:pt idx="8">
                  <c:v>Monklands</c:v>
                </c:pt>
                <c:pt idx="9">
                  <c:v>Borders</c:v>
                </c:pt>
                <c:pt idx="10">
                  <c:v>IRH</c:v>
                </c:pt>
                <c:pt idx="11">
                  <c:v>RAH</c:v>
                </c:pt>
                <c:pt idx="12">
                  <c:v>Western Isles</c:v>
                </c:pt>
                <c:pt idx="13">
                  <c:v>FVRH</c:v>
                </c:pt>
                <c:pt idx="14">
                  <c:v>Hairmyres</c:v>
                </c:pt>
                <c:pt idx="15">
                  <c:v>QEUH</c:v>
                </c:pt>
                <c:pt idx="16">
                  <c:v>GRI</c:v>
                </c:pt>
                <c:pt idx="17">
                  <c:v>VHK</c:v>
                </c:pt>
                <c:pt idx="18">
                  <c:v>Ayr</c:v>
                </c:pt>
                <c:pt idx="19">
                  <c:v>DGRI</c:v>
                </c:pt>
                <c:pt idx="20">
                  <c:v>Wishaw</c:v>
                </c:pt>
                <c:pt idx="21">
                  <c:v>Dr Grays</c:v>
                </c:pt>
                <c:pt idx="22">
                  <c:v>SJH</c:v>
                </c:pt>
                <c:pt idx="23">
                  <c:v>Balfour</c:v>
                </c:pt>
                <c:pt idx="24">
                  <c:v>PRI</c:v>
                </c:pt>
                <c:pt idx="25">
                  <c:v>RIE</c:v>
                </c:pt>
                <c:pt idx="26">
                  <c:v>WGH</c:v>
                </c:pt>
                <c:pt idx="27">
                  <c:v>ARI</c:v>
                </c:pt>
                <c:pt idx="28">
                  <c:v>Raigmore</c:v>
                </c:pt>
                <c:pt idx="29">
                  <c:v>Uist &amp; Barra</c:v>
                </c:pt>
              </c:strCache>
            </c:strRef>
          </c:cat>
          <c:val>
            <c:numRef>
              <c:f>'Chart N2 (2015) data'!$K$3:$K$32</c:f>
              <c:numCache>
                <c:formatCode>0</c:formatCode>
                <c:ptCount val="30"/>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numCache>
            </c:numRef>
          </c:val>
        </c:ser>
        <c:marker val="1"/>
        <c:axId val="108331392"/>
        <c:axId val="108332928"/>
      </c:lineChart>
      <c:catAx>
        <c:axId val="108331392"/>
        <c:scaling>
          <c:orientation val="minMax"/>
        </c:scaling>
        <c:axPos val="b"/>
        <c:tickLblPos val="nextTo"/>
        <c:txPr>
          <a:bodyPr rot="-5400000" vert="horz"/>
          <a:lstStyle/>
          <a:p>
            <a:pPr>
              <a:defRPr sz="800"/>
            </a:pPr>
            <a:endParaRPr lang="en-US"/>
          </a:p>
        </c:txPr>
        <c:crossAx val="108332928"/>
        <c:crosses val="autoZero"/>
        <c:auto val="1"/>
        <c:lblAlgn val="ctr"/>
        <c:lblOffset val="100"/>
      </c:catAx>
      <c:valAx>
        <c:axId val="108332928"/>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108331392"/>
        <c:crosses val="autoZero"/>
        <c:crossBetween val="between"/>
      </c:valAx>
      <c:spPr>
        <a:ln>
          <a:solidFill>
            <a:schemeClr val="tx1"/>
          </a:solidFill>
        </a:ln>
      </c:spPr>
    </c:plotArea>
    <c:legend>
      <c:legendPos val="r"/>
      <c:layout>
        <c:manualLayout>
          <c:xMode val="edge"/>
          <c:yMode val="edge"/>
          <c:x val="0.87841302445890002"/>
          <c:y val="0.33786671402917673"/>
          <c:w val="0.1096954853887426"/>
          <c:h val="0.29751642886745289"/>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944" l="0.70000000000000062" r="0.70000000000000062" t="0.7500000000000094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7.3357352793463212E-2"/>
          <c:y val="0.16607349081364828"/>
          <c:w val="0.89997160060971948"/>
          <c:h val="0.60598893888263949"/>
        </c:manualLayout>
      </c:layout>
      <c:lineChart>
        <c:grouping val="standard"/>
        <c:ser>
          <c:idx val="0"/>
          <c:order val="0"/>
          <c:tx>
            <c:v>Percentage offered IPC</c:v>
          </c:tx>
          <c:spPr>
            <a:ln w="31750">
              <a:solidFill>
                <a:srgbClr val="333399"/>
              </a:solidFill>
            </a:ln>
          </c:spPr>
          <c:marker>
            <c:symbol val="none"/>
          </c:marker>
          <c:dLbls>
            <c:dLbl>
              <c:idx val="0"/>
              <c:dLblPos val="b"/>
              <c:showVal val="1"/>
            </c:dLbl>
            <c:dLbl>
              <c:idx val="34"/>
              <c:dLblPos val="t"/>
              <c:showVal val="1"/>
            </c:dLbl>
            <c:delete val="1"/>
            <c:txPr>
              <a:bodyPr/>
              <a:lstStyle/>
              <a:p>
                <a:pPr>
                  <a:defRPr sz="800">
                    <a:latin typeface="Arial" pitchFamily="34" charset="0"/>
                    <a:cs typeface="Arial" pitchFamily="34" charset="0"/>
                  </a:defRPr>
                </a:pPr>
                <a:endParaRPr lang="en-US"/>
              </a:p>
            </c:txPr>
          </c:dLbls>
          <c:cat>
            <c:numRef>
              <c:f>'Chart N4 data'!$A$2:$A$36</c:f>
              <c:numCache>
                <c:formatCode>mmm\-yy</c:formatCode>
                <c:ptCount val="35"/>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numCache>
            </c:numRef>
          </c:cat>
          <c:val>
            <c:numRef>
              <c:f>'Chart N4 data'!$D$2:$D$36</c:f>
              <c:numCache>
                <c:formatCode>0.0</c:formatCode>
                <c:ptCount val="35"/>
                <c:pt idx="0">
                  <c:v>17.910447761194028</c:v>
                </c:pt>
                <c:pt idx="1">
                  <c:v>23.5</c:v>
                </c:pt>
                <c:pt idx="2">
                  <c:v>16.460905349794238</c:v>
                </c:pt>
                <c:pt idx="3">
                  <c:v>19.047619047619047</c:v>
                </c:pt>
                <c:pt idx="4">
                  <c:v>22.746781115879827</c:v>
                </c:pt>
                <c:pt idx="5">
                  <c:v>22.821576763485478</c:v>
                </c:pt>
                <c:pt idx="6">
                  <c:v>21.266968325791854</c:v>
                </c:pt>
                <c:pt idx="7">
                  <c:v>28.979591836734691</c:v>
                </c:pt>
                <c:pt idx="8">
                  <c:v>26.970954356846473</c:v>
                </c:pt>
                <c:pt idx="9">
                  <c:v>24.229074889867842</c:v>
                </c:pt>
                <c:pt idx="10">
                  <c:v>26.568265682656829</c:v>
                </c:pt>
                <c:pt idx="11">
                  <c:v>23.928571428571431</c:v>
                </c:pt>
                <c:pt idx="12">
                  <c:v>24.014336917562723</c:v>
                </c:pt>
                <c:pt idx="13">
                  <c:v>22.916666666666664</c:v>
                </c:pt>
                <c:pt idx="14">
                  <c:v>31.456953642384107</c:v>
                </c:pt>
                <c:pt idx="15">
                  <c:v>35.60371517027864</c:v>
                </c:pt>
                <c:pt idx="16">
                  <c:v>32.176656151419557</c:v>
                </c:pt>
                <c:pt idx="17">
                  <c:v>34.796238244514107</c:v>
                </c:pt>
                <c:pt idx="18">
                  <c:v>34.593023255813954</c:v>
                </c:pt>
                <c:pt idx="19">
                  <c:v>31.596091205211724</c:v>
                </c:pt>
                <c:pt idx="20">
                  <c:v>31.626506024096386</c:v>
                </c:pt>
                <c:pt idx="21">
                  <c:v>28.042328042328041</c:v>
                </c:pt>
                <c:pt idx="22">
                  <c:v>30.147058823529409</c:v>
                </c:pt>
                <c:pt idx="23">
                  <c:v>30.670103092783506</c:v>
                </c:pt>
                <c:pt idx="24">
                  <c:v>30.833333333333336</c:v>
                </c:pt>
                <c:pt idx="25">
                  <c:v>32.361516034985421</c:v>
                </c:pt>
                <c:pt idx="26">
                  <c:v>40.687679083094558</c:v>
                </c:pt>
                <c:pt idx="27">
                  <c:v>40.922190201729109</c:v>
                </c:pt>
                <c:pt idx="28">
                  <c:v>42.857142857142854</c:v>
                </c:pt>
                <c:pt idx="29">
                  <c:v>43.604651162790695</c:v>
                </c:pt>
                <c:pt idx="30">
                  <c:v>42.042042042042041</c:v>
                </c:pt>
                <c:pt idx="31">
                  <c:v>52.173913043478258</c:v>
                </c:pt>
                <c:pt idx="32">
                  <c:v>53.581661891117484</c:v>
                </c:pt>
                <c:pt idx="33">
                  <c:v>51.70454545454546</c:v>
                </c:pt>
                <c:pt idx="34">
                  <c:v>52.574525745257446</c:v>
                </c:pt>
              </c:numCache>
            </c:numRef>
          </c:val>
        </c:ser>
        <c:ser>
          <c:idx val="1"/>
          <c:order val="1"/>
          <c:tx>
            <c:strRef>
              <c:f>'Chart N4 data'!$E$1</c:f>
              <c:strCache>
                <c:ptCount val="1"/>
                <c:pt idx="0">
                  <c:v>Mean percentage offered IPC in 2014</c:v>
                </c:pt>
              </c:strCache>
            </c:strRef>
          </c:tx>
          <c:spPr>
            <a:ln>
              <a:solidFill>
                <a:srgbClr val="008000"/>
              </a:solidFill>
              <a:prstDash val="sysDash"/>
            </a:ln>
          </c:spPr>
          <c:marker>
            <c:symbol val="none"/>
          </c:marker>
          <c:dLbls>
            <c:dLbl>
              <c:idx val="2"/>
              <c:tx>
                <c:rich>
                  <a:bodyPr/>
                  <a:lstStyle/>
                  <a:p>
                    <a:r>
                      <a:rPr lang="en-US" sz="800">
                        <a:latin typeface="Arial" pitchFamily="34" charset="0"/>
                        <a:cs typeface="Arial" pitchFamily="34" charset="0"/>
                      </a:rPr>
                      <a:t>M</a:t>
                    </a:r>
                    <a:r>
                      <a:rPr lang="en-US"/>
                      <a:t>ean 2014 (23%)</a:t>
                    </a:r>
                  </a:p>
                </c:rich>
              </c:tx>
              <c:dLblPos val="t"/>
              <c:showVal val="1"/>
            </c:dLbl>
            <c:delete val="1"/>
            <c:numFmt formatCode="#,##0" sourceLinked="0"/>
            <c:txPr>
              <a:bodyPr/>
              <a:lstStyle/>
              <a:p>
                <a:pPr>
                  <a:defRPr sz="800">
                    <a:latin typeface="Arial" pitchFamily="34" charset="0"/>
                    <a:cs typeface="Arial" pitchFamily="34" charset="0"/>
                  </a:defRPr>
                </a:pPr>
                <a:endParaRPr lang="en-US"/>
              </a:p>
            </c:txPr>
            <c:dLblPos val="b"/>
          </c:dLbls>
          <c:val>
            <c:numRef>
              <c:f>'Chart N4 data'!$E$2:$E$12</c:f>
              <c:numCache>
                <c:formatCode>0.0</c:formatCode>
                <c:ptCount val="11"/>
                <c:pt idx="0">
                  <c:v>22.772925920897304</c:v>
                </c:pt>
                <c:pt idx="1">
                  <c:v>22.772925920897304</c:v>
                </c:pt>
                <c:pt idx="2">
                  <c:v>22.772925920897304</c:v>
                </c:pt>
                <c:pt idx="3">
                  <c:v>22.772925920897304</c:v>
                </c:pt>
                <c:pt idx="4">
                  <c:v>22.772925920897304</c:v>
                </c:pt>
                <c:pt idx="5">
                  <c:v>22.772925920897304</c:v>
                </c:pt>
                <c:pt idx="6">
                  <c:v>22.772925920897304</c:v>
                </c:pt>
                <c:pt idx="7">
                  <c:v>22.772925920897304</c:v>
                </c:pt>
                <c:pt idx="8">
                  <c:v>22.772925920897304</c:v>
                </c:pt>
                <c:pt idx="9">
                  <c:v>22.772925920897304</c:v>
                </c:pt>
                <c:pt idx="10">
                  <c:v>22.772925920897304</c:v>
                </c:pt>
              </c:numCache>
            </c:numRef>
          </c:val>
        </c:ser>
        <c:ser>
          <c:idx val="2"/>
          <c:order val="2"/>
          <c:tx>
            <c:strRef>
              <c:f>'Chart N4 data'!$F$1</c:f>
              <c:strCache>
                <c:ptCount val="1"/>
                <c:pt idx="0">
                  <c:v>Mean percentage offered IPC in 2015</c:v>
                </c:pt>
              </c:strCache>
            </c:strRef>
          </c:tx>
          <c:spPr>
            <a:ln>
              <a:solidFill>
                <a:srgbClr val="99CC00"/>
              </a:solidFill>
              <a:prstDash val="lgDash"/>
            </a:ln>
          </c:spPr>
          <c:marker>
            <c:symbol val="none"/>
          </c:marker>
          <c:dLbls>
            <c:dLbl>
              <c:idx val="11"/>
              <c:tx>
                <c:rich>
                  <a:bodyPr/>
                  <a:lstStyle/>
                  <a:p>
                    <a:r>
                      <a:rPr lang="en-US" sz="800">
                        <a:latin typeface="Arial" pitchFamily="34" charset="0"/>
                        <a:cs typeface="Arial" pitchFamily="34" charset="0"/>
                      </a:rPr>
                      <a:t>M</a:t>
                    </a:r>
                    <a:r>
                      <a:rPr lang="en-US"/>
                      <a:t>ean 2015 (30%)</a:t>
                    </a:r>
                  </a:p>
                </c:rich>
              </c:tx>
              <c:dLblPos val="t"/>
              <c:showVal val="1"/>
            </c:dLbl>
            <c:delete val="1"/>
            <c:numFmt formatCode="#,##0" sourceLinked="0"/>
            <c:txPr>
              <a:bodyPr/>
              <a:lstStyle/>
              <a:p>
                <a:pPr>
                  <a:defRPr sz="800">
                    <a:latin typeface="Arial" pitchFamily="34" charset="0"/>
                    <a:cs typeface="Arial" pitchFamily="34" charset="0"/>
                  </a:defRPr>
                </a:pPr>
                <a:endParaRPr lang="en-US"/>
              </a:p>
            </c:txPr>
            <c:dLblPos val="t"/>
          </c:dLbls>
          <c:val>
            <c:numRef>
              <c:f>'Chart N4 data'!$F$2:$F$24</c:f>
              <c:numCache>
                <c:formatCode>0.0</c:formatCode>
                <c:ptCount val="23"/>
                <c:pt idx="11">
                  <c:v>30.074845464364728</c:v>
                </c:pt>
                <c:pt idx="12">
                  <c:v>30.074845464364728</c:v>
                </c:pt>
                <c:pt idx="13">
                  <c:v>30.074845464364728</c:v>
                </c:pt>
                <c:pt idx="14">
                  <c:v>30.074845464364728</c:v>
                </c:pt>
                <c:pt idx="15">
                  <c:v>30.074845464364728</c:v>
                </c:pt>
                <c:pt idx="16">
                  <c:v>30.074845464364728</c:v>
                </c:pt>
                <c:pt idx="17">
                  <c:v>30.074845464364728</c:v>
                </c:pt>
                <c:pt idx="18">
                  <c:v>30.074845464364728</c:v>
                </c:pt>
                <c:pt idx="19">
                  <c:v>30.074845464364728</c:v>
                </c:pt>
                <c:pt idx="20">
                  <c:v>30.074845464364728</c:v>
                </c:pt>
                <c:pt idx="21">
                  <c:v>30.074845464364728</c:v>
                </c:pt>
                <c:pt idx="22">
                  <c:v>30.074845464364728</c:v>
                </c:pt>
              </c:numCache>
            </c:numRef>
          </c:val>
        </c:ser>
        <c:ser>
          <c:idx val="3"/>
          <c:order val="3"/>
          <c:tx>
            <c:strRef>
              <c:f>'Chart N4 data'!$G$1</c:f>
              <c:strCache>
                <c:ptCount val="1"/>
                <c:pt idx="0">
                  <c:v>Mean percentage offered IPC in 2016</c:v>
                </c:pt>
              </c:strCache>
            </c:strRef>
          </c:tx>
          <c:spPr>
            <a:ln w="34925">
              <a:solidFill>
                <a:srgbClr val="9999FF"/>
              </a:solidFill>
              <a:prstDash val="sysDot"/>
            </a:ln>
          </c:spPr>
          <c:marker>
            <c:symbol val="none"/>
          </c:marker>
          <c:dLbls>
            <c:dLbl>
              <c:idx val="23"/>
              <c:tx>
                <c:rich>
                  <a:bodyPr/>
                  <a:lstStyle/>
                  <a:p>
                    <a:pPr>
                      <a:defRPr sz="800">
                        <a:latin typeface="Arial" pitchFamily="34" charset="0"/>
                        <a:cs typeface="Arial" pitchFamily="34" charset="0"/>
                      </a:defRPr>
                    </a:pPr>
                    <a:r>
                      <a:rPr lang="en-US" sz="800">
                        <a:latin typeface="Arial" pitchFamily="34" charset="0"/>
                        <a:cs typeface="Arial" pitchFamily="34" charset="0"/>
                      </a:rPr>
                      <a:t>M</a:t>
                    </a:r>
                    <a:r>
                      <a:rPr lang="en-US"/>
                      <a:t>ean 2016 (43%)</a:t>
                    </a:r>
                  </a:p>
                </c:rich>
              </c:tx>
              <c:numFmt formatCode="#,##0" sourceLinked="0"/>
              <c:spPr/>
              <c:dLblPos val="t"/>
              <c:showVal val="1"/>
            </c:dLbl>
            <c:delete val="1"/>
            <c:txPr>
              <a:bodyPr/>
              <a:lstStyle/>
              <a:p>
                <a:pPr>
                  <a:defRPr sz="800">
                    <a:latin typeface="Arial" pitchFamily="34" charset="0"/>
                    <a:cs typeface="Arial" pitchFamily="34" charset="0"/>
                  </a:defRPr>
                </a:pPr>
                <a:endParaRPr lang="en-US"/>
              </a:p>
            </c:txPr>
          </c:dLbls>
          <c:val>
            <c:numRef>
              <c:f>'Chart N4 data'!$G$2:$G$36</c:f>
              <c:numCache>
                <c:formatCode>0.0</c:formatCode>
                <c:ptCount val="35"/>
                <c:pt idx="23">
                  <c:v>42.834441995191675</c:v>
                </c:pt>
                <c:pt idx="24">
                  <c:v>42.834441995191675</c:v>
                </c:pt>
                <c:pt idx="25">
                  <c:v>42.834441995191675</c:v>
                </c:pt>
                <c:pt idx="26">
                  <c:v>42.834441995191675</c:v>
                </c:pt>
                <c:pt idx="27">
                  <c:v>42.834441995191675</c:v>
                </c:pt>
                <c:pt idx="28">
                  <c:v>42.834441995191675</c:v>
                </c:pt>
                <c:pt idx="29">
                  <c:v>42.834441995191675</c:v>
                </c:pt>
                <c:pt idx="30">
                  <c:v>42.834441995191675</c:v>
                </c:pt>
                <c:pt idx="31">
                  <c:v>42.834441995191675</c:v>
                </c:pt>
                <c:pt idx="32">
                  <c:v>42.834441995191675</c:v>
                </c:pt>
                <c:pt idx="33">
                  <c:v>42.834441995191675</c:v>
                </c:pt>
                <c:pt idx="34">
                  <c:v>42.834441995191675</c:v>
                </c:pt>
              </c:numCache>
            </c:numRef>
          </c:val>
        </c:ser>
        <c:marker val="1"/>
        <c:axId val="108800256"/>
        <c:axId val="108810624"/>
      </c:lineChart>
      <c:dateAx>
        <c:axId val="108800256"/>
        <c:scaling>
          <c:orientation val="minMax"/>
          <c:max val="42735"/>
          <c:min val="41640"/>
        </c:scaling>
        <c:axPos val="b"/>
        <c:title>
          <c:tx>
            <c:rich>
              <a:bodyPr/>
              <a:lstStyle/>
              <a:p>
                <a:pPr>
                  <a:defRPr b="0"/>
                </a:pPr>
                <a:r>
                  <a:rPr lang="en-GB" b="0"/>
                  <a:t>Month of admission</a:t>
                </a:r>
              </a:p>
            </c:rich>
          </c:tx>
          <c:layout>
            <c:manualLayout>
              <c:xMode val="edge"/>
              <c:yMode val="edge"/>
              <c:x val="0.45826011253080112"/>
              <c:y val="0.86991598444137463"/>
            </c:manualLayout>
          </c:layout>
        </c:title>
        <c:numFmt formatCode="mmm\-yy" sourceLinked="1"/>
        <c:tickLblPos val="nextTo"/>
        <c:txPr>
          <a:bodyPr rot="0" vert="horz"/>
          <a:lstStyle/>
          <a:p>
            <a:pPr>
              <a:defRPr sz="800">
                <a:latin typeface="Arial" pitchFamily="34" charset="0"/>
                <a:cs typeface="Arial" pitchFamily="34" charset="0"/>
              </a:defRPr>
            </a:pPr>
            <a:endParaRPr lang="en-US"/>
          </a:p>
        </c:txPr>
        <c:crossAx val="108810624"/>
        <c:crosses val="autoZero"/>
        <c:auto val="1"/>
        <c:lblOffset val="100"/>
        <c:majorUnit val="1"/>
        <c:majorTimeUnit val="months"/>
      </c:dateAx>
      <c:valAx>
        <c:axId val="108810624"/>
        <c:scaling>
          <c:orientation val="minMax"/>
          <c:max val="100"/>
        </c:scaling>
        <c:axPos val="l"/>
        <c:title>
          <c:tx>
            <c:rich>
              <a:bodyPr rot="0" vert="wordArtVert"/>
              <a:lstStyle/>
              <a:p>
                <a:pPr>
                  <a:defRPr sz="1100"/>
                </a:pPr>
                <a:r>
                  <a:rPr lang="en-GB" sz="1100"/>
                  <a:t>%</a:t>
                </a:r>
              </a:p>
            </c:rich>
          </c:tx>
        </c:title>
        <c:numFmt formatCode="#,##0" sourceLinked="0"/>
        <c:tickLblPos val="nextTo"/>
        <c:txPr>
          <a:bodyPr/>
          <a:lstStyle/>
          <a:p>
            <a:pPr>
              <a:defRPr sz="800">
                <a:latin typeface="Arial" pitchFamily="34" charset="0"/>
                <a:cs typeface="Arial" pitchFamily="34" charset="0"/>
              </a:defRPr>
            </a:pPr>
            <a:endParaRPr lang="en-US"/>
          </a:p>
        </c:txPr>
        <c:crossAx val="108800256"/>
        <c:crosses val="autoZero"/>
        <c:crossBetween val="midCat"/>
      </c:valAx>
    </c:plotArea>
    <c:legend>
      <c:legendPos val="b"/>
      <c:legendEntry>
        <c:idx val="1"/>
        <c:txPr>
          <a:bodyPr/>
          <a:lstStyle/>
          <a:p>
            <a:pPr>
              <a:defRPr sz="800" i="1">
                <a:latin typeface="Arial" pitchFamily="34" charset="0"/>
                <a:cs typeface="Arial" pitchFamily="34" charset="0"/>
              </a:defRPr>
            </a:pPr>
            <a:endParaRPr lang="en-US"/>
          </a:p>
        </c:txPr>
      </c:legendEntry>
      <c:legendEntry>
        <c:idx val="2"/>
        <c:txPr>
          <a:bodyPr/>
          <a:lstStyle/>
          <a:p>
            <a:pPr>
              <a:defRPr sz="800" i="1">
                <a:latin typeface="Arial" pitchFamily="34" charset="0"/>
                <a:cs typeface="Arial" pitchFamily="34" charset="0"/>
              </a:defRPr>
            </a:pPr>
            <a:endParaRPr lang="en-US"/>
          </a:p>
        </c:txPr>
      </c:legendEntry>
      <c:legendEntry>
        <c:idx val="3"/>
        <c:txPr>
          <a:bodyPr/>
          <a:lstStyle/>
          <a:p>
            <a:pPr>
              <a:defRPr sz="800" i="1">
                <a:latin typeface="Arial" pitchFamily="34" charset="0"/>
                <a:cs typeface="Arial" pitchFamily="34" charset="0"/>
              </a:defRPr>
            </a:pPr>
            <a:endParaRPr lang="en-US"/>
          </a:p>
        </c:txPr>
      </c:legendEntry>
      <c:layout>
        <c:manualLayout>
          <c:xMode val="edge"/>
          <c:yMode val="edge"/>
          <c:x val="0.66600458558658071"/>
          <c:y val="0.10474596535932344"/>
          <c:w val="0.29172956540305611"/>
          <c:h val="0.1661524342389222"/>
        </c:manualLayout>
      </c:layout>
      <c:spPr>
        <a:ln>
          <a:noFill/>
        </a:ln>
      </c:spPr>
      <c:txPr>
        <a:bodyPr/>
        <a:lstStyle/>
        <a:p>
          <a:pPr>
            <a:defRPr sz="800">
              <a:latin typeface="Arial" pitchFamily="34" charset="0"/>
              <a:cs typeface="Arial" pitchFamily="34" charset="0"/>
            </a:defRPr>
          </a:pPr>
          <a:endParaRPr lang="en-US"/>
        </a:p>
      </c:txPr>
    </c:legend>
    <c:plotVisOnly val="1"/>
  </c:chart>
  <c:spPr>
    <a:ln>
      <a:solidFill>
        <a:srgbClr val="4F81BD"/>
      </a:solidFill>
    </a:ln>
  </c:spPr>
  <c:printSettings>
    <c:headerFooter/>
    <c:pageMargins b="0.75000000000000111" l="0.70000000000000062" r="0.70000000000000062" t="0.7500000000000011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429E-2"/>
          <c:y val="8.0232093304875005E-2"/>
          <c:w val="0.81007028782419765"/>
          <c:h val="0.72370482152729065"/>
        </c:manualLayout>
      </c:layout>
      <c:barChart>
        <c:barDir val="col"/>
        <c:grouping val="stacked"/>
        <c:ser>
          <c:idx val="3"/>
          <c:order val="0"/>
          <c:tx>
            <c:strRef>
              <c:f>'Chart N5 data'!$C$2</c:f>
              <c:strCache>
                <c:ptCount val="1"/>
                <c:pt idx="0">
                  <c:v>Stroke</c:v>
                </c:pt>
              </c:strCache>
            </c:strRef>
          </c:tx>
          <c:spPr>
            <a:solidFill>
              <a:srgbClr val="003366"/>
            </a:solidFill>
            <a:ln>
              <a:solidFill>
                <a:schemeClr val="tx1"/>
              </a:solidFill>
            </a:ln>
          </c:spPr>
          <c:dPt>
            <c:idx val="0"/>
            <c:spPr>
              <a:solidFill>
                <a:srgbClr val="008000"/>
              </a:solidFill>
              <a:ln>
                <a:solidFill>
                  <a:schemeClr val="tx1"/>
                </a:solidFill>
              </a:ln>
            </c:spPr>
          </c:dPt>
          <c:cat>
            <c:strRef>
              <c:f>'Chart N5 data'!$A$3:$A$24</c:f>
              <c:strCache>
                <c:ptCount val="22"/>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RIE</c:v>
                </c:pt>
                <c:pt idx="16">
                  <c:v>SJH</c:v>
                </c:pt>
                <c:pt idx="17">
                  <c:v>WGH</c:v>
                </c:pt>
                <c:pt idx="18">
                  <c:v>Balfour</c:v>
                </c:pt>
                <c:pt idx="19">
                  <c:v>Ninewells</c:v>
                </c:pt>
                <c:pt idx="20">
                  <c:v>PRI</c:v>
                </c:pt>
                <c:pt idx="21">
                  <c:v>Western Isles</c:v>
                </c:pt>
              </c:strCache>
            </c:strRef>
          </c:cat>
          <c:val>
            <c:numRef>
              <c:f>'Chart N5 data'!$C$3:$C$24</c:f>
              <c:numCache>
                <c:formatCode>0</c:formatCode>
                <c:ptCount val="22"/>
                <c:pt idx="0">
                  <c:v>18.158606188044459</c:v>
                </c:pt>
                <c:pt idx="1">
                  <c:v>9.7345132743362832</c:v>
                </c:pt>
                <c:pt idx="2">
                  <c:v>11.111111111111111</c:v>
                </c:pt>
                <c:pt idx="3">
                  <c:v>14.374999999999998</c:v>
                </c:pt>
                <c:pt idx="4">
                  <c:v>27.85234899328859</c:v>
                </c:pt>
                <c:pt idx="5">
                  <c:v>15.673981191222571</c:v>
                </c:pt>
                <c:pt idx="6">
                  <c:v>21.666666666666668</c:v>
                </c:pt>
                <c:pt idx="7">
                  <c:v>12.554112554112553</c:v>
                </c:pt>
                <c:pt idx="8">
                  <c:v>24.074074074074073</c:v>
                </c:pt>
                <c:pt idx="9">
                  <c:v>27.118644067796609</c:v>
                </c:pt>
                <c:pt idx="10">
                  <c:v>7.4074074074074066</c:v>
                </c:pt>
                <c:pt idx="11">
                  <c:v>24.047619047619047</c:v>
                </c:pt>
                <c:pt idx="12">
                  <c:v>13.073394495412844</c:v>
                </c:pt>
                <c:pt idx="13">
                  <c:v>15.358361774744028</c:v>
                </c:pt>
                <c:pt idx="14">
                  <c:v>25.139664804469277</c:v>
                </c:pt>
                <c:pt idx="15">
                  <c:v>14.919354838709678</c:v>
                </c:pt>
                <c:pt idx="16">
                  <c:v>20.97902097902098</c:v>
                </c:pt>
                <c:pt idx="17">
                  <c:v>22.397094430992738</c:v>
                </c:pt>
                <c:pt idx="18">
                  <c:v>19.565217391304348</c:v>
                </c:pt>
                <c:pt idx="19">
                  <c:v>4.3227665706051877</c:v>
                </c:pt>
                <c:pt idx="20">
                  <c:v>10.600706713780919</c:v>
                </c:pt>
                <c:pt idx="21">
                  <c:v>0</c:v>
                </c:pt>
              </c:numCache>
            </c:numRef>
          </c:val>
        </c:ser>
        <c:ser>
          <c:idx val="0"/>
          <c:order val="1"/>
          <c:tx>
            <c:strRef>
              <c:f>'Chart N5 data'!$D$2</c:f>
              <c:strCache>
                <c:ptCount val="1"/>
                <c:pt idx="0">
                  <c:v>TIA</c:v>
                </c:pt>
              </c:strCache>
            </c:strRef>
          </c:tx>
          <c:spPr>
            <a:solidFill>
              <a:srgbClr val="9999FF"/>
            </a:solidFill>
            <a:ln>
              <a:solidFill>
                <a:schemeClr val="tx1"/>
              </a:solidFill>
            </a:ln>
          </c:spPr>
          <c:dPt>
            <c:idx val="0"/>
            <c:spPr>
              <a:solidFill>
                <a:srgbClr val="FF0000"/>
              </a:solidFill>
              <a:ln>
                <a:solidFill>
                  <a:schemeClr val="tx1"/>
                </a:solidFill>
              </a:ln>
            </c:spPr>
          </c:dPt>
          <c:cat>
            <c:strRef>
              <c:f>'Chart N5 data'!$A$3:$A$24</c:f>
              <c:strCache>
                <c:ptCount val="22"/>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RIE</c:v>
                </c:pt>
                <c:pt idx="16">
                  <c:v>SJH</c:v>
                </c:pt>
                <c:pt idx="17">
                  <c:v>WGH</c:v>
                </c:pt>
                <c:pt idx="18">
                  <c:v>Balfour</c:v>
                </c:pt>
                <c:pt idx="19">
                  <c:v>Ninewells</c:v>
                </c:pt>
                <c:pt idx="20">
                  <c:v>PRI</c:v>
                </c:pt>
                <c:pt idx="21">
                  <c:v>Western Isles</c:v>
                </c:pt>
              </c:strCache>
            </c:strRef>
          </c:cat>
          <c:val>
            <c:numRef>
              <c:f>'Chart N5 data'!$D$3:$D$24</c:f>
              <c:numCache>
                <c:formatCode>0</c:formatCode>
                <c:ptCount val="22"/>
                <c:pt idx="0">
                  <c:v>33.253229197957346</c:v>
                </c:pt>
                <c:pt idx="1">
                  <c:v>87.610619469026545</c:v>
                </c:pt>
                <c:pt idx="2">
                  <c:v>72.222222222222214</c:v>
                </c:pt>
                <c:pt idx="3">
                  <c:v>30</c:v>
                </c:pt>
                <c:pt idx="4">
                  <c:v>26.174496644295303</c:v>
                </c:pt>
                <c:pt idx="5">
                  <c:v>28.840125391849529</c:v>
                </c:pt>
                <c:pt idx="6">
                  <c:v>29.523809523809526</c:v>
                </c:pt>
                <c:pt idx="7">
                  <c:v>33.549783549783555</c:v>
                </c:pt>
                <c:pt idx="8">
                  <c:v>30.283224400871461</c:v>
                </c:pt>
                <c:pt idx="9">
                  <c:v>59.322033898305079</c:v>
                </c:pt>
                <c:pt idx="10">
                  <c:v>46.913580246913575</c:v>
                </c:pt>
                <c:pt idx="11">
                  <c:v>33.80952380952381</c:v>
                </c:pt>
                <c:pt idx="12">
                  <c:v>37.844036697247709</c:v>
                </c:pt>
                <c:pt idx="13">
                  <c:v>25.255972696245731</c:v>
                </c:pt>
                <c:pt idx="14">
                  <c:v>18.435754189944134</c:v>
                </c:pt>
                <c:pt idx="15">
                  <c:v>26.209677419354836</c:v>
                </c:pt>
                <c:pt idx="16">
                  <c:v>38.461538461538467</c:v>
                </c:pt>
                <c:pt idx="17">
                  <c:v>26.634382566585955</c:v>
                </c:pt>
                <c:pt idx="18">
                  <c:v>34.782608695652172</c:v>
                </c:pt>
                <c:pt idx="19">
                  <c:v>39.19308357348703</c:v>
                </c:pt>
                <c:pt idx="20">
                  <c:v>32.155477031802121</c:v>
                </c:pt>
                <c:pt idx="21">
                  <c:v>43.75</c:v>
                </c:pt>
              </c:numCache>
            </c:numRef>
          </c:val>
        </c:ser>
        <c:ser>
          <c:idx val="1"/>
          <c:order val="2"/>
          <c:tx>
            <c:strRef>
              <c:f>'Chart N5 data'!$E$2</c:f>
              <c:strCache>
                <c:ptCount val="1"/>
                <c:pt idx="0">
                  <c:v>TMB</c:v>
                </c:pt>
              </c:strCache>
            </c:strRef>
          </c:tx>
          <c:spPr>
            <a:solidFill>
              <a:srgbClr val="993366"/>
            </a:solidFill>
            <a:ln>
              <a:solidFill>
                <a:schemeClr val="tx1"/>
              </a:solidFill>
            </a:ln>
          </c:spPr>
          <c:dPt>
            <c:idx val="0"/>
            <c:spPr>
              <a:solidFill>
                <a:srgbClr val="FFC000"/>
              </a:solidFill>
              <a:ln>
                <a:solidFill>
                  <a:schemeClr val="tx1"/>
                </a:solidFill>
              </a:ln>
            </c:spPr>
          </c:dPt>
          <c:cat>
            <c:strRef>
              <c:f>'Chart N5 data'!$A$3:$A$24</c:f>
              <c:strCache>
                <c:ptCount val="22"/>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RIE</c:v>
                </c:pt>
                <c:pt idx="16">
                  <c:v>SJH</c:v>
                </c:pt>
                <c:pt idx="17">
                  <c:v>WGH</c:v>
                </c:pt>
                <c:pt idx="18">
                  <c:v>Balfour</c:v>
                </c:pt>
                <c:pt idx="19">
                  <c:v>Ninewells</c:v>
                </c:pt>
                <c:pt idx="20">
                  <c:v>PRI</c:v>
                </c:pt>
                <c:pt idx="21">
                  <c:v>Western Isles</c:v>
                </c:pt>
              </c:strCache>
            </c:strRef>
          </c:cat>
          <c:val>
            <c:numRef>
              <c:f>'Chart N5 data'!$E$3:$E$24</c:f>
              <c:numCache>
                <c:formatCode>0</c:formatCode>
                <c:ptCount val="22"/>
                <c:pt idx="0">
                  <c:v>4.5509161910483629</c:v>
                </c:pt>
                <c:pt idx="1">
                  <c:v>0.88495575221238942</c:v>
                </c:pt>
                <c:pt idx="2">
                  <c:v>1.984126984126984</c:v>
                </c:pt>
                <c:pt idx="3">
                  <c:v>2.1875</c:v>
                </c:pt>
                <c:pt idx="4">
                  <c:v>2.348993288590604</c:v>
                </c:pt>
                <c:pt idx="5">
                  <c:v>5.9561128526645764</c:v>
                </c:pt>
                <c:pt idx="6">
                  <c:v>4.5238095238095237</c:v>
                </c:pt>
                <c:pt idx="7">
                  <c:v>4.9783549783549788</c:v>
                </c:pt>
                <c:pt idx="8">
                  <c:v>5.2287581699346406</c:v>
                </c:pt>
                <c:pt idx="9">
                  <c:v>0</c:v>
                </c:pt>
                <c:pt idx="10">
                  <c:v>2.4691358024691357</c:v>
                </c:pt>
                <c:pt idx="11">
                  <c:v>6.666666666666667</c:v>
                </c:pt>
                <c:pt idx="12">
                  <c:v>4.3577981651376145</c:v>
                </c:pt>
                <c:pt idx="13">
                  <c:v>5.802047781569966</c:v>
                </c:pt>
                <c:pt idx="14">
                  <c:v>4.7486033519553068</c:v>
                </c:pt>
                <c:pt idx="15">
                  <c:v>4.032258064516129</c:v>
                </c:pt>
                <c:pt idx="16">
                  <c:v>2.7972027972027971</c:v>
                </c:pt>
                <c:pt idx="17">
                  <c:v>3.9951573849878934</c:v>
                </c:pt>
                <c:pt idx="18">
                  <c:v>2.1739130434782608</c:v>
                </c:pt>
                <c:pt idx="19">
                  <c:v>8.6455331412103753</c:v>
                </c:pt>
                <c:pt idx="20">
                  <c:v>4.5936395759717312</c:v>
                </c:pt>
                <c:pt idx="21">
                  <c:v>0</c:v>
                </c:pt>
              </c:numCache>
            </c:numRef>
          </c:val>
        </c:ser>
        <c:ser>
          <c:idx val="2"/>
          <c:order val="3"/>
          <c:tx>
            <c:strRef>
              <c:f>'Chart N5 data'!$F$2</c:f>
              <c:strCache>
                <c:ptCount val="1"/>
                <c:pt idx="0">
                  <c:v>RAO</c:v>
                </c:pt>
              </c:strCache>
            </c:strRef>
          </c:tx>
          <c:spPr>
            <a:solidFill>
              <a:srgbClr val="FFFFCC"/>
            </a:solidFill>
            <a:ln>
              <a:solidFill>
                <a:schemeClr val="tx1"/>
              </a:solidFill>
            </a:ln>
          </c:spPr>
          <c:dPt>
            <c:idx val="0"/>
            <c:spPr>
              <a:solidFill>
                <a:srgbClr val="99CC00"/>
              </a:solidFill>
              <a:ln>
                <a:solidFill>
                  <a:schemeClr val="tx1"/>
                </a:solidFill>
              </a:ln>
            </c:spPr>
          </c:dPt>
          <c:cat>
            <c:strRef>
              <c:f>'Chart N5 data'!$A$3:$A$24</c:f>
              <c:strCache>
                <c:ptCount val="22"/>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RIE</c:v>
                </c:pt>
                <c:pt idx="16">
                  <c:v>SJH</c:v>
                </c:pt>
                <c:pt idx="17">
                  <c:v>WGH</c:v>
                </c:pt>
                <c:pt idx="18">
                  <c:v>Balfour</c:v>
                </c:pt>
                <c:pt idx="19">
                  <c:v>Ninewells</c:v>
                </c:pt>
                <c:pt idx="20">
                  <c:v>PRI</c:v>
                </c:pt>
                <c:pt idx="21">
                  <c:v>Western Isles</c:v>
                </c:pt>
              </c:strCache>
            </c:strRef>
          </c:cat>
          <c:val>
            <c:numRef>
              <c:f>'Chart N5 data'!$F$3:$F$24</c:f>
              <c:numCache>
                <c:formatCode>0</c:formatCode>
                <c:ptCount val="22"/>
                <c:pt idx="0">
                  <c:v>2.2379092820666866</c:v>
                </c:pt>
                <c:pt idx="1">
                  <c:v>0</c:v>
                </c:pt>
                <c:pt idx="2">
                  <c:v>0.79365079365079361</c:v>
                </c:pt>
                <c:pt idx="3">
                  <c:v>1.5625</c:v>
                </c:pt>
                <c:pt idx="4">
                  <c:v>2.0134228187919461</c:v>
                </c:pt>
                <c:pt idx="5">
                  <c:v>4.7021943573667713</c:v>
                </c:pt>
                <c:pt idx="6">
                  <c:v>1.4285714285714286</c:v>
                </c:pt>
                <c:pt idx="7">
                  <c:v>2.1645021645021645</c:v>
                </c:pt>
                <c:pt idx="8">
                  <c:v>3.0501089324618738</c:v>
                </c:pt>
                <c:pt idx="9">
                  <c:v>0</c:v>
                </c:pt>
                <c:pt idx="10">
                  <c:v>1.2345679012345678</c:v>
                </c:pt>
                <c:pt idx="11">
                  <c:v>2.3809523809523809</c:v>
                </c:pt>
                <c:pt idx="12">
                  <c:v>1.1467889908256881</c:v>
                </c:pt>
                <c:pt idx="13">
                  <c:v>3.4129692832764507</c:v>
                </c:pt>
                <c:pt idx="14">
                  <c:v>2.2346368715083798</c:v>
                </c:pt>
                <c:pt idx="15">
                  <c:v>2.4193548387096775</c:v>
                </c:pt>
                <c:pt idx="16">
                  <c:v>2.0979020979020979</c:v>
                </c:pt>
                <c:pt idx="17">
                  <c:v>2.1791767554479415</c:v>
                </c:pt>
                <c:pt idx="18">
                  <c:v>2.1739130434782608</c:v>
                </c:pt>
                <c:pt idx="19">
                  <c:v>2.8818443804034581</c:v>
                </c:pt>
                <c:pt idx="20">
                  <c:v>1.7667844522968199</c:v>
                </c:pt>
                <c:pt idx="21">
                  <c:v>0</c:v>
                </c:pt>
              </c:numCache>
            </c:numRef>
          </c:val>
        </c:ser>
        <c:ser>
          <c:idx val="4"/>
          <c:order val="4"/>
          <c:tx>
            <c:strRef>
              <c:f>'Chart N5 data'!$G$2</c:f>
              <c:strCache>
                <c:ptCount val="1"/>
                <c:pt idx="0">
                  <c:v>Other</c:v>
                </c:pt>
              </c:strCache>
            </c:strRef>
          </c:tx>
          <c:spPr>
            <a:solidFill>
              <a:srgbClr val="CCFFFF"/>
            </a:solidFill>
            <a:ln>
              <a:solidFill>
                <a:schemeClr val="tx1"/>
              </a:solidFill>
            </a:ln>
          </c:spPr>
          <c:dPt>
            <c:idx val="0"/>
            <c:spPr>
              <a:solidFill>
                <a:srgbClr val="D9D9D9"/>
              </a:solidFill>
              <a:ln>
                <a:solidFill>
                  <a:schemeClr val="tx1"/>
                </a:solidFill>
              </a:ln>
            </c:spPr>
          </c:dPt>
          <c:cat>
            <c:strRef>
              <c:f>'Chart N5 data'!$A$3:$A$24</c:f>
              <c:strCache>
                <c:ptCount val="22"/>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RIE</c:v>
                </c:pt>
                <c:pt idx="16">
                  <c:v>SJH</c:v>
                </c:pt>
                <c:pt idx="17">
                  <c:v>WGH</c:v>
                </c:pt>
                <c:pt idx="18">
                  <c:v>Balfour</c:v>
                </c:pt>
                <c:pt idx="19">
                  <c:v>Ninewells</c:v>
                </c:pt>
                <c:pt idx="20">
                  <c:v>PRI</c:v>
                </c:pt>
                <c:pt idx="21">
                  <c:v>Western Isles</c:v>
                </c:pt>
              </c:strCache>
            </c:strRef>
          </c:cat>
          <c:val>
            <c:numRef>
              <c:f>'Chart N5 data'!$G$3:$G$24</c:f>
              <c:numCache>
                <c:formatCode>0</c:formatCode>
                <c:ptCount val="22"/>
                <c:pt idx="0">
                  <c:v>41.453890057074197</c:v>
                </c:pt>
                <c:pt idx="1">
                  <c:v>1.7699115044247788</c:v>
                </c:pt>
                <c:pt idx="2">
                  <c:v>13.492063492063492</c:v>
                </c:pt>
                <c:pt idx="3">
                  <c:v>51.875000000000007</c:v>
                </c:pt>
                <c:pt idx="4">
                  <c:v>41.275167785234899</c:v>
                </c:pt>
                <c:pt idx="5">
                  <c:v>44.827586206896555</c:v>
                </c:pt>
                <c:pt idx="6">
                  <c:v>42.38095238095238</c:v>
                </c:pt>
                <c:pt idx="7">
                  <c:v>46.320346320346324</c:v>
                </c:pt>
                <c:pt idx="8">
                  <c:v>36.928104575163403</c:v>
                </c:pt>
                <c:pt idx="9">
                  <c:v>11.864406779661017</c:v>
                </c:pt>
                <c:pt idx="10">
                  <c:v>37.037037037037038</c:v>
                </c:pt>
                <c:pt idx="11">
                  <c:v>33.095238095238095</c:v>
                </c:pt>
                <c:pt idx="12">
                  <c:v>43.577981651376149</c:v>
                </c:pt>
                <c:pt idx="13">
                  <c:v>50.170648464163826</c:v>
                </c:pt>
                <c:pt idx="14">
                  <c:v>49.162011173184354</c:v>
                </c:pt>
                <c:pt idx="15">
                  <c:v>52.419354838709673</c:v>
                </c:pt>
                <c:pt idx="16">
                  <c:v>34.265734265734267</c:v>
                </c:pt>
                <c:pt idx="17">
                  <c:v>44.794188861985475</c:v>
                </c:pt>
                <c:pt idx="18">
                  <c:v>39.130434782608695</c:v>
                </c:pt>
                <c:pt idx="19">
                  <c:v>44.668587896253605</c:v>
                </c:pt>
                <c:pt idx="20">
                  <c:v>50.53003533568905</c:v>
                </c:pt>
                <c:pt idx="21">
                  <c:v>43.75</c:v>
                </c:pt>
              </c:numCache>
            </c:numRef>
          </c:val>
        </c:ser>
        <c:ser>
          <c:idx val="5"/>
          <c:order val="5"/>
          <c:tx>
            <c:strRef>
              <c:f>'Chart N5 data'!$H$2</c:f>
              <c:strCache>
                <c:ptCount val="1"/>
                <c:pt idx="0">
                  <c:v>None</c:v>
                </c:pt>
              </c:strCache>
            </c:strRef>
          </c:tx>
          <c:spPr>
            <a:solidFill>
              <a:schemeClr val="tx1">
                <a:lumMod val="50000"/>
                <a:lumOff val="50000"/>
              </a:schemeClr>
            </a:solidFill>
            <a:ln>
              <a:solidFill>
                <a:schemeClr val="tx1"/>
              </a:solidFill>
            </a:ln>
          </c:spPr>
          <c:cat>
            <c:strRef>
              <c:f>'Chart N5 data'!$A$3:$A$24</c:f>
              <c:strCache>
                <c:ptCount val="22"/>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RIE</c:v>
                </c:pt>
                <c:pt idx="16">
                  <c:v>SJH</c:v>
                </c:pt>
                <c:pt idx="17">
                  <c:v>WGH</c:v>
                </c:pt>
                <c:pt idx="18">
                  <c:v>Balfour</c:v>
                </c:pt>
                <c:pt idx="19">
                  <c:v>Ninewells</c:v>
                </c:pt>
                <c:pt idx="20">
                  <c:v>PRI</c:v>
                </c:pt>
                <c:pt idx="21">
                  <c:v>Western Isles</c:v>
                </c:pt>
              </c:strCache>
            </c:strRef>
          </c:cat>
          <c:val>
            <c:numRef>
              <c:f>'Chart N5 data'!$H$3:$H$24</c:f>
              <c:numCache>
                <c:formatCode>0</c:formatCode>
                <c:ptCount val="22"/>
                <c:pt idx="0">
                  <c:v>0.34544908380895162</c:v>
                </c:pt>
                <c:pt idx="1">
                  <c:v>0</c:v>
                </c:pt>
                <c:pt idx="2">
                  <c:v>0.3968253968253968</c:v>
                </c:pt>
                <c:pt idx="3">
                  <c:v>0</c:v>
                </c:pt>
                <c:pt idx="4">
                  <c:v>0.33557046979865773</c:v>
                </c:pt>
                <c:pt idx="5">
                  <c:v>0</c:v>
                </c:pt>
                <c:pt idx="6">
                  <c:v>0.47619047619047622</c:v>
                </c:pt>
                <c:pt idx="7">
                  <c:v>0.4329004329004329</c:v>
                </c:pt>
                <c:pt idx="8">
                  <c:v>0.4357298474945534</c:v>
                </c:pt>
                <c:pt idx="9">
                  <c:v>1.6949152542372881</c:v>
                </c:pt>
                <c:pt idx="10">
                  <c:v>4.9382716049382713</c:v>
                </c:pt>
                <c:pt idx="11">
                  <c:v>0</c:v>
                </c:pt>
                <c:pt idx="12">
                  <c:v>0</c:v>
                </c:pt>
                <c:pt idx="13">
                  <c:v>0</c:v>
                </c:pt>
                <c:pt idx="14">
                  <c:v>0.27932960893854747</c:v>
                </c:pt>
                <c:pt idx="15">
                  <c:v>0</c:v>
                </c:pt>
                <c:pt idx="16">
                  <c:v>1.3986013986013985</c:v>
                </c:pt>
                <c:pt idx="17">
                  <c:v>0</c:v>
                </c:pt>
                <c:pt idx="18">
                  <c:v>2.1739130434782608</c:v>
                </c:pt>
                <c:pt idx="19">
                  <c:v>0.28818443804034583</c:v>
                </c:pt>
                <c:pt idx="20">
                  <c:v>0.35335689045936397</c:v>
                </c:pt>
                <c:pt idx="21">
                  <c:v>12.5</c:v>
                </c:pt>
              </c:numCache>
            </c:numRef>
          </c:val>
        </c:ser>
        <c:overlap val="100"/>
        <c:axId val="109058304"/>
        <c:axId val="109068288"/>
      </c:barChart>
      <c:catAx>
        <c:axId val="109058304"/>
        <c:scaling>
          <c:orientation val="minMax"/>
        </c:scaling>
        <c:axPos val="b"/>
        <c:tickLblPos val="nextTo"/>
        <c:txPr>
          <a:bodyPr rot="-5400000" vert="horz"/>
          <a:lstStyle/>
          <a:p>
            <a:pPr>
              <a:defRPr sz="800"/>
            </a:pPr>
            <a:endParaRPr lang="en-US"/>
          </a:p>
        </c:txPr>
        <c:crossAx val="109068288"/>
        <c:crosses val="autoZero"/>
        <c:auto val="1"/>
        <c:lblAlgn val="ctr"/>
        <c:lblOffset val="100"/>
      </c:catAx>
      <c:valAx>
        <c:axId val="109068288"/>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109058304"/>
        <c:crosses val="autoZero"/>
        <c:crossBetween val="between"/>
      </c:valAx>
      <c:spPr>
        <a:ln>
          <a:solidFill>
            <a:schemeClr val="tx1"/>
          </a:solidFill>
        </a:ln>
      </c:spPr>
    </c:plotArea>
    <c:legend>
      <c:legendPos val="r"/>
      <c:layout>
        <c:manualLayout>
          <c:xMode val="edge"/>
          <c:yMode val="edge"/>
          <c:x val="0.91189435768690064"/>
          <c:y val="0.41389832849841141"/>
          <c:w val="4.9458299317937E-2"/>
          <c:h val="0.20664377479130899"/>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921" l="0.70000000000000062" r="0.70000000000000062" t="0.75000000000000921"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464E-2"/>
          <c:y val="8.0232093304875005E-2"/>
          <c:w val="0.81007028782419765"/>
          <c:h val="0.72370482152729065"/>
        </c:manualLayout>
      </c:layout>
      <c:barChart>
        <c:barDir val="col"/>
        <c:grouping val="stacked"/>
        <c:ser>
          <c:idx val="3"/>
          <c:order val="0"/>
          <c:tx>
            <c:strRef>
              <c:f>'Chart N5 (2015) data'!$C$2</c:f>
              <c:strCache>
                <c:ptCount val="1"/>
                <c:pt idx="0">
                  <c:v>Stroke</c:v>
                </c:pt>
              </c:strCache>
            </c:strRef>
          </c:tx>
          <c:spPr>
            <a:solidFill>
              <a:srgbClr val="003366"/>
            </a:solidFill>
            <a:ln>
              <a:solidFill>
                <a:schemeClr val="tx1"/>
              </a:solidFill>
            </a:ln>
          </c:spPr>
          <c:dPt>
            <c:idx val="0"/>
            <c:spPr>
              <a:solidFill>
                <a:srgbClr val="008000"/>
              </a:solidFill>
              <a:ln>
                <a:solidFill>
                  <a:schemeClr val="tx1"/>
                </a:solidFill>
              </a:ln>
            </c:spPr>
          </c:dPt>
          <c:cat>
            <c:strRef>
              <c:f>'Chart N5 (2015) data'!$A$3:$A$23</c:f>
              <c:strCache>
                <c:ptCount val="21"/>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Balfour</c:v>
                </c:pt>
                <c:pt idx="18">
                  <c:v>Ninewells</c:v>
                </c:pt>
                <c:pt idx="19">
                  <c:v>PRI</c:v>
                </c:pt>
                <c:pt idx="20">
                  <c:v>Western Isles</c:v>
                </c:pt>
              </c:strCache>
            </c:strRef>
          </c:cat>
          <c:val>
            <c:numRef>
              <c:f>'Chart N5 (2015) data'!$C$3:$C$23</c:f>
              <c:numCache>
                <c:formatCode>0</c:formatCode>
                <c:ptCount val="21"/>
                <c:pt idx="0">
                  <c:v>21.036814425244177</c:v>
                </c:pt>
                <c:pt idx="1">
                  <c:v>24</c:v>
                </c:pt>
                <c:pt idx="2">
                  <c:v>22.15909090909091</c:v>
                </c:pt>
                <c:pt idx="3">
                  <c:v>15.24822695035461</c:v>
                </c:pt>
                <c:pt idx="4">
                  <c:v>24.079320113314449</c:v>
                </c:pt>
                <c:pt idx="5">
                  <c:v>17.337461300309599</c:v>
                </c:pt>
                <c:pt idx="6">
                  <c:v>25.866050808314089</c:v>
                </c:pt>
                <c:pt idx="7">
                  <c:v>19.951923076923077</c:v>
                </c:pt>
                <c:pt idx="8">
                  <c:v>24.117647058823529</c:v>
                </c:pt>
                <c:pt idx="9">
                  <c:v>21.212121212121211</c:v>
                </c:pt>
                <c:pt idx="10">
                  <c:v>14.705882352941178</c:v>
                </c:pt>
                <c:pt idx="11">
                  <c:v>33.67768595041322</c:v>
                </c:pt>
                <c:pt idx="12">
                  <c:v>17.317073170731707</c:v>
                </c:pt>
                <c:pt idx="13">
                  <c:v>13.522012578616351</c:v>
                </c:pt>
                <c:pt idx="14">
                  <c:v>21.09375</c:v>
                </c:pt>
                <c:pt idx="15">
                  <c:v>26.415094339622641</c:v>
                </c:pt>
                <c:pt idx="16">
                  <c:v>25.618199802176061</c:v>
                </c:pt>
                <c:pt idx="17">
                  <c:v>0</c:v>
                </c:pt>
                <c:pt idx="18">
                  <c:v>2.8277634961439588</c:v>
                </c:pt>
                <c:pt idx="19">
                  <c:v>7.4074074074074066</c:v>
                </c:pt>
                <c:pt idx="20">
                  <c:v>16.129032258064516</c:v>
                </c:pt>
              </c:numCache>
            </c:numRef>
          </c:val>
        </c:ser>
        <c:ser>
          <c:idx val="0"/>
          <c:order val="1"/>
          <c:tx>
            <c:strRef>
              <c:f>'Chart N5 (2015) data'!$D$2</c:f>
              <c:strCache>
                <c:ptCount val="1"/>
                <c:pt idx="0">
                  <c:v>TIA</c:v>
                </c:pt>
              </c:strCache>
            </c:strRef>
          </c:tx>
          <c:spPr>
            <a:solidFill>
              <a:srgbClr val="9999FF"/>
            </a:solidFill>
            <a:ln>
              <a:solidFill>
                <a:schemeClr val="tx1"/>
              </a:solidFill>
            </a:ln>
          </c:spPr>
          <c:dPt>
            <c:idx val="0"/>
            <c:spPr>
              <a:solidFill>
                <a:srgbClr val="FF0000"/>
              </a:solidFill>
              <a:ln>
                <a:solidFill>
                  <a:schemeClr val="tx1"/>
                </a:solidFill>
              </a:ln>
            </c:spPr>
          </c:dPt>
          <c:cat>
            <c:strRef>
              <c:f>'Chart N5 (2015) data'!$A$3:$A$23</c:f>
              <c:strCache>
                <c:ptCount val="21"/>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Balfour</c:v>
                </c:pt>
                <c:pt idx="18">
                  <c:v>Ninewells</c:v>
                </c:pt>
                <c:pt idx="19">
                  <c:v>PRI</c:v>
                </c:pt>
                <c:pt idx="20">
                  <c:v>Western Isles</c:v>
                </c:pt>
              </c:strCache>
            </c:strRef>
          </c:cat>
          <c:val>
            <c:numRef>
              <c:f>'Chart N5 (2015) data'!$D$3:$D$23</c:f>
              <c:numCache>
                <c:formatCode>0</c:formatCode>
                <c:ptCount val="21"/>
                <c:pt idx="0">
                  <c:v>30.939143501126971</c:v>
                </c:pt>
                <c:pt idx="1">
                  <c:v>64</c:v>
                </c:pt>
                <c:pt idx="2">
                  <c:v>67.045454545454547</c:v>
                </c:pt>
                <c:pt idx="3">
                  <c:v>33.333333333333329</c:v>
                </c:pt>
                <c:pt idx="4">
                  <c:v>22.946175637393768</c:v>
                </c:pt>
                <c:pt idx="5">
                  <c:v>31.578947368421051</c:v>
                </c:pt>
                <c:pt idx="6">
                  <c:v>35.103926096997689</c:v>
                </c:pt>
                <c:pt idx="7">
                  <c:v>44.711538461538467</c:v>
                </c:pt>
                <c:pt idx="8">
                  <c:v>25.411764705882351</c:v>
                </c:pt>
                <c:pt idx="9">
                  <c:v>57.575757575757578</c:v>
                </c:pt>
                <c:pt idx="10">
                  <c:v>41.17647058823529</c:v>
                </c:pt>
                <c:pt idx="11">
                  <c:v>24.586776859504134</c:v>
                </c:pt>
                <c:pt idx="12">
                  <c:v>28.292682926829265</c:v>
                </c:pt>
                <c:pt idx="13">
                  <c:v>20.125786163522015</c:v>
                </c:pt>
                <c:pt idx="14">
                  <c:v>15.885416666666666</c:v>
                </c:pt>
                <c:pt idx="15">
                  <c:v>33.20754716981132</c:v>
                </c:pt>
                <c:pt idx="16">
                  <c:v>28.882294757665676</c:v>
                </c:pt>
                <c:pt idx="17">
                  <c:v>100</c:v>
                </c:pt>
                <c:pt idx="18">
                  <c:v>34.190231362467863</c:v>
                </c:pt>
                <c:pt idx="19">
                  <c:v>29.259259259259256</c:v>
                </c:pt>
                <c:pt idx="20">
                  <c:v>35.483870967741936</c:v>
                </c:pt>
              </c:numCache>
            </c:numRef>
          </c:val>
        </c:ser>
        <c:ser>
          <c:idx val="1"/>
          <c:order val="2"/>
          <c:tx>
            <c:strRef>
              <c:f>'Chart N5 (2015) data'!$E$2</c:f>
              <c:strCache>
                <c:ptCount val="1"/>
                <c:pt idx="0">
                  <c:v>TMB</c:v>
                </c:pt>
              </c:strCache>
            </c:strRef>
          </c:tx>
          <c:spPr>
            <a:solidFill>
              <a:srgbClr val="993366"/>
            </a:solidFill>
            <a:ln>
              <a:solidFill>
                <a:schemeClr val="tx1"/>
              </a:solidFill>
            </a:ln>
          </c:spPr>
          <c:dPt>
            <c:idx val="0"/>
            <c:spPr>
              <a:solidFill>
                <a:srgbClr val="FFC000"/>
              </a:solidFill>
              <a:ln>
                <a:solidFill>
                  <a:schemeClr val="tx1"/>
                </a:solidFill>
              </a:ln>
            </c:spPr>
          </c:dPt>
          <c:cat>
            <c:strRef>
              <c:f>'Chart N5 (2015) data'!$A$3:$A$23</c:f>
              <c:strCache>
                <c:ptCount val="21"/>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Balfour</c:v>
                </c:pt>
                <c:pt idx="18">
                  <c:v>Ninewells</c:v>
                </c:pt>
                <c:pt idx="19">
                  <c:v>PRI</c:v>
                </c:pt>
                <c:pt idx="20">
                  <c:v>Western Isles</c:v>
                </c:pt>
              </c:strCache>
            </c:strRef>
          </c:cat>
          <c:val>
            <c:numRef>
              <c:f>'Chart N5 (2015) data'!$E$3:$E$23</c:f>
              <c:numCache>
                <c:formatCode>0</c:formatCode>
                <c:ptCount val="21"/>
                <c:pt idx="0">
                  <c:v>4.3876784372652144</c:v>
                </c:pt>
                <c:pt idx="1">
                  <c:v>4.8</c:v>
                </c:pt>
                <c:pt idx="2">
                  <c:v>7.9545454545454541</c:v>
                </c:pt>
                <c:pt idx="3">
                  <c:v>0.3546099290780142</c:v>
                </c:pt>
                <c:pt idx="4">
                  <c:v>5.6657223796034</c:v>
                </c:pt>
                <c:pt idx="5">
                  <c:v>4.0247678018575854</c:v>
                </c:pt>
                <c:pt idx="6">
                  <c:v>2.3094688221709005</c:v>
                </c:pt>
                <c:pt idx="7">
                  <c:v>5.2884615384615383</c:v>
                </c:pt>
                <c:pt idx="8">
                  <c:v>3.0588235294117649</c:v>
                </c:pt>
                <c:pt idx="9">
                  <c:v>3.0303030303030303</c:v>
                </c:pt>
                <c:pt idx="10">
                  <c:v>2.9411764705882351</c:v>
                </c:pt>
                <c:pt idx="11">
                  <c:v>4.7520661157024797</c:v>
                </c:pt>
                <c:pt idx="12">
                  <c:v>5.6097560975609762</c:v>
                </c:pt>
                <c:pt idx="13">
                  <c:v>6.2893081761006293</c:v>
                </c:pt>
                <c:pt idx="14">
                  <c:v>4.4270833333333339</c:v>
                </c:pt>
                <c:pt idx="15">
                  <c:v>4.1509433962264151</c:v>
                </c:pt>
                <c:pt idx="16">
                  <c:v>4.9455984174085064</c:v>
                </c:pt>
                <c:pt idx="17">
                  <c:v>0</c:v>
                </c:pt>
                <c:pt idx="18">
                  <c:v>5.9125964010282779</c:v>
                </c:pt>
                <c:pt idx="19">
                  <c:v>2.9629629629629632</c:v>
                </c:pt>
                <c:pt idx="20">
                  <c:v>3.225806451612903</c:v>
                </c:pt>
              </c:numCache>
            </c:numRef>
          </c:val>
        </c:ser>
        <c:ser>
          <c:idx val="2"/>
          <c:order val="3"/>
          <c:tx>
            <c:strRef>
              <c:f>'Chart N5 (2015) data'!$F$2</c:f>
              <c:strCache>
                <c:ptCount val="1"/>
                <c:pt idx="0">
                  <c:v>RAO</c:v>
                </c:pt>
              </c:strCache>
            </c:strRef>
          </c:tx>
          <c:spPr>
            <a:solidFill>
              <a:srgbClr val="FFFFCC"/>
            </a:solidFill>
            <a:ln>
              <a:solidFill>
                <a:schemeClr val="tx1"/>
              </a:solidFill>
            </a:ln>
          </c:spPr>
          <c:dPt>
            <c:idx val="0"/>
            <c:spPr>
              <a:solidFill>
                <a:srgbClr val="99CC00"/>
              </a:solidFill>
              <a:ln>
                <a:solidFill>
                  <a:schemeClr val="tx1"/>
                </a:solidFill>
              </a:ln>
            </c:spPr>
          </c:dPt>
          <c:cat>
            <c:strRef>
              <c:f>'Chart N5 (2015) data'!$A$3:$A$23</c:f>
              <c:strCache>
                <c:ptCount val="21"/>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Balfour</c:v>
                </c:pt>
                <c:pt idx="18">
                  <c:v>Ninewells</c:v>
                </c:pt>
                <c:pt idx="19">
                  <c:v>PRI</c:v>
                </c:pt>
                <c:pt idx="20">
                  <c:v>Western Isles</c:v>
                </c:pt>
              </c:strCache>
            </c:strRef>
          </c:cat>
          <c:val>
            <c:numRef>
              <c:f>'Chart N5 (2015) data'!$F$3:$F$23</c:f>
              <c:numCache>
                <c:formatCode>0</c:formatCode>
                <c:ptCount val="21"/>
                <c:pt idx="0">
                  <c:v>2.3741547708489859</c:v>
                </c:pt>
                <c:pt idx="1">
                  <c:v>1.6</c:v>
                </c:pt>
                <c:pt idx="2">
                  <c:v>2.2727272727272729</c:v>
                </c:pt>
                <c:pt idx="3">
                  <c:v>0</c:v>
                </c:pt>
                <c:pt idx="4">
                  <c:v>2.2662889518413598</c:v>
                </c:pt>
                <c:pt idx="5">
                  <c:v>2.7863777089783279</c:v>
                </c:pt>
                <c:pt idx="6">
                  <c:v>1.3856812933025404</c:v>
                </c:pt>
                <c:pt idx="7">
                  <c:v>1.6826923076923077</c:v>
                </c:pt>
                <c:pt idx="8">
                  <c:v>2.3529411764705883</c:v>
                </c:pt>
                <c:pt idx="9">
                  <c:v>1.5151515151515151</c:v>
                </c:pt>
                <c:pt idx="10">
                  <c:v>0</c:v>
                </c:pt>
                <c:pt idx="11">
                  <c:v>3.9256198347107438</c:v>
                </c:pt>
                <c:pt idx="12">
                  <c:v>3.4146341463414638</c:v>
                </c:pt>
                <c:pt idx="13">
                  <c:v>5.0314465408805038</c:v>
                </c:pt>
                <c:pt idx="14">
                  <c:v>2.864583333333333</c:v>
                </c:pt>
                <c:pt idx="15">
                  <c:v>1.8867924528301887</c:v>
                </c:pt>
                <c:pt idx="16">
                  <c:v>1.8793273986152326</c:v>
                </c:pt>
                <c:pt idx="17">
                  <c:v>0</c:v>
                </c:pt>
                <c:pt idx="18">
                  <c:v>3.5989717223650386</c:v>
                </c:pt>
                <c:pt idx="19">
                  <c:v>1.1111111111111112</c:v>
                </c:pt>
                <c:pt idx="20">
                  <c:v>0</c:v>
                </c:pt>
              </c:numCache>
            </c:numRef>
          </c:val>
        </c:ser>
        <c:ser>
          <c:idx val="4"/>
          <c:order val="4"/>
          <c:tx>
            <c:strRef>
              <c:f>'Chart N5 (2015) data'!$G$2</c:f>
              <c:strCache>
                <c:ptCount val="1"/>
                <c:pt idx="0">
                  <c:v>Other</c:v>
                </c:pt>
              </c:strCache>
            </c:strRef>
          </c:tx>
          <c:spPr>
            <a:solidFill>
              <a:srgbClr val="CCFFFF"/>
            </a:solidFill>
            <a:ln>
              <a:solidFill>
                <a:schemeClr val="tx1"/>
              </a:solidFill>
            </a:ln>
          </c:spPr>
          <c:dPt>
            <c:idx val="0"/>
            <c:spPr>
              <a:solidFill>
                <a:srgbClr val="D9D9D9"/>
              </a:solidFill>
              <a:ln>
                <a:solidFill>
                  <a:schemeClr val="tx1"/>
                </a:solidFill>
              </a:ln>
            </c:spPr>
          </c:dPt>
          <c:cat>
            <c:strRef>
              <c:f>'Chart N5 (2015) data'!$A$3:$A$23</c:f>
              <c:strCache>
                <c:ptCount val="21"/>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Balfour</c:v>
                </c:pt>
                <c:pt idx="18">
                  <c:v>Ninewells</c:v>
                </c:pt>
                <c:pt idx="19">
                  <c:v>PRI</c:v>
                </c:pt>
                <c:pt idx="20">
                  <c:v>Western Isles</c:v>
                </c:pt>
              </c:strCache>
            </c:strRef>
          </c:cat>
          <c:val>
            <c:numRef>
              <c:f>'Chart N5 (2015) data'!$G$3:$G$23</c:f>
              <c:numCache>
                <c:formatCode>0</c:formatCode>
                <c:ptCount val="21"/>
                <c:pt idx="0">
                  <c:v>40.856498873027796</c:v>
                </c:pt>
                <c:pt idx="1">
                  <c:v>5.6000000000000005</c:v>
                </c:pt>
                <c:pt idx="2">
                  <c:v>0.56818181818181823</c:v>
                </c:pt>
                <c:pt idx="3">
                  <c:v>51.063829787234042</c:v>
                </c:pt>
                <c:pt idx="4">
                  <c:v>44.475920679886691</c:v>
                </c:pt>
                <c:pt idx="5">
                  <c:v>44.27244582043344</c:v>
                </c:pt>
                <c:pt idx="6">
                  <c:v>35.334872979214779</c:v>
                </c:pt>
                <c:pt idx="7">
                  <c:v>28.125</c:v>
                </c:pt>
                <c:pt idx="8">
                  <c:v>44.235294117647058</c:v>
                </c:pt>
                <c:pt idx="9">
                  <c:v>16.666666666666664</c:v>
                </c:pt>
                <c:pt idx="10">
                  <c:v>30.882352941176471</c:v>
                </c:pt>
                <c:pt idx="11">
                  <c:v>33.057851239669425</c:v>
                </c:pt>
                <c:pt idx="12">
                  <c:v>45.365853658536587</c:v>
                </c:pt>
                <c:pt idx="13">
                  <c:v>55.031446540880502</c:v>
                </c:pt>
                <c:pt idx="14">
                  <c:v>55.46875</c:v>
                </c:pt>
                <c:pt idx="15">
                  <c:v>33.20754716981132</c:v>
                </c:pt>
                <c:pt idx="16">
                  <c:v>38.674579624134523</c:v>
                </c:pt>
                <c:pt idx="17">
                  <c:v>0</c:v>
                </c:pt>
                <c:pt idx="18">
                  <c:v>52.699228791773777</c:v>
                </c:pt>
                <c:pt idx="19">
                  <c:v>59.259259259259252</c:v>
                </c:pt>
                <c:pt idx="20">
                  <c:v>35.483870967741936</c:v>
                </c:pt>
              </c:numCache>
            </c:numRef>
          </c:val>
        </c:ser>
        <c:ser>
          <c:idx val="5"/>
          <c:order val="5"/>
          <c:tx>
            <c:strRef>
              <c:f>'Chart N5 (2015) data'!$H$2</c:f>
              <c:strCache>
                <c:ptCount val="1"/>
                <c:pt idx="0">
                  <c:v>None</c:v>
                </c:pt>
              </c:strCache>
            </c:strRef>
          </c:tx>
          <c:spPr>
            <a:solidFill>
              <a:schemeClr val="tx1">
                <a:lumMod val="50000"/>
                <a:lumOff val="50000"/>
              </a:schemeClr>
            </a:solidFill>
            <a:ln>
              <a:solidFill>
                <a:schemeClr val="tx1"/>
              </a:solidFill>
            </a:ln>
          </c:spPr>
          <c:cat>
            <c:strRef>
              <c:f>'Chart N5 (2015) data'!$A$3:$A$23</c:f>
              <c:strCache>
                <c:ptCount val="21"/>
                <c:pt idx="0">
                  <c:v>Total</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Balfour</c:v>
                </c:pt>
                <c:pt idx="18">
                  <c:v>Ninewells</c:v>
                </c:pt>
                <c:pt idx="19">
                  <c:v>PRI</c:v>
                </c:pt>
                <c:pt idx="20">
                  <c:v>Western Isles</c:v>
                </c:pt>
              </c:strCache>
            </c:strRef>
          </c:cat>
          <c:val>
            <c:numRef>
              <c:f>'Chart N5 (2015) data'!$H$3:$H$23</c:f>
              <c:numCache>
                <c:formatCode>0</c:formatCode>
                <c:ptCount val="21"/>
                <c:pt idx="0">
                  <c:v>0.40570999248685202</c:v>
                </c:pt>
                <c:pt idx="1">
                  <c:v>0</c:v>
                </c:pt>
                <c:pt idx="2">
                  <c:v>0</c:v>
                </c:pt>
                <c:pt idx="3">
                  <c:v>0</c:v>
                </c:pt>
                <c:pt idx="4">
                  <c:v>0.56657223796033995</c:v>
                </c:pt>
                <c:pt idx="5">
                  <c:v>0</c:v>
                </c:pt>
                <c:pt idx="6">
                  <c:v>0</c:v>
                </c:pt>
                <c:pt idx="7">
                  <c:v>0.24038461538461539</c:v>
                </c:pt>
                <c:pt idx="8">
                  <c:v>0.82352941176470595</c:v>
                </c:pt>
                <c:pt idx="9">
                  <c:v>0</c:v>
                </c:pt>
                <c:pt idx="10">
                  <c:v>10.294117647058822</c:v>
                </c:pt>
                <c:pt idx="11">
                  <c:v>0</c:v>
                </c:pt>
                <c:pt idx="12">
                  <c:v>0</c:v>
                </c:pt>
                <c:pt idx="13">
                  <c:v>0</c:v>
                </c:pt>
                <c:pt idx="14">
                  <c:v>0.26041666666666663</c:v>
                </c:pt>
                <c:pt idx="15">
                  <c:v>1.1320754716981132</c:v>
                </c:pt>
                <c:pt idx="16">
                  <c:v>0</c:v>
                </c:pt>
                <c:pt idx="17">
                  <c:v>0</c:v>
                </c:pt>
                <c:pt idx="18">
                  <c:v>0.77120822622107965</c:v>
                </c:pt>
                <c:pt idx="19">
                  <c:v>0</c:v>
                </c:pt>
                <c:pt idx="20">
                  <c:v>9.67741935483871</c:v>
                </c:pt>
              </c:numCache>
            </c:numRef>
          </c:val>
        </c:ser>
        <c:overlap val="100"/>
        <c:axId val="109996672"/>
        <c:axId val="110010752"/>
      </c:barChart>
      <c:catAx>
        <c:axId val="109996672"/>
        <c:scaling>
          <c:orientation val="minMax"/>
        </c:scaling>
        <c:axPos val="b"/>
        <c:tickLblPos val="nextTo"/>
        <c:txPr>
          <a:bodyPr rot="-5400000" vert="horz"/>
          <a:lstStyle/>
          <a:p>
            <a:pPr>
              <a:defRPr sz="800"/>
            </a:pPr>
            <a:endParaRPr lang="en-US"/>
          </a:p>
        </c:txPr>
        <c:crossAx val="110010752"/>
        <c:crosses val="autoZero"/>
        <c:auto val="1"/>
        <c:lblAlgn val="ctr"/>
        <c:lblOffset val="100"/>
      </c:catAx>
      <c:valAx>
        <c:axId val="110010752"/>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109996672"/>
        <c:crosses val="autoZero"/>
        <c:crossBetween val="between"/>
      </c:valAx>
      <c:spPr>
        <a:ln>
          <a:solidFill>
            <a:schemeClr val="tx1"/>
          </a:solidFill>
        </a:ln>
      </c:spPr>
    </c:plotArea>
    <c:legend>
      <c:legendPos val="r"/>
      <c:layout>
        <c:manualLayout>
          <c:xMode val="edge"/>
          <c:yMode val="edge"/>
          <c:x val="0.91189435768690064"/>
          <c:y val="0.41389832849841141"/>
          <c:w val="4.9458299317937021E-2"/>
          <c:h val="0.20664377479130899"/>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944" l="0.70000000000000062" r="0.70000000000000062" t="0.750000000000009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8.418000263933488E-2"/>
          <c:y val="3.4668289414642839E-2"/>
          <c:w val="0.89706919041407662"/>
          <c:h val="0.7543663599426873"/>
        </c:manualLayout>
      </c:layout>
      <c:barChart>
        <c:barDir val="col"/>
        <c:grouping val="clustered"/>
        <c:ser>
          <c:idx val="1"/>
          <c:order val="0"/>
          <c:tx>
            <c:strRef>
              <c:f>'Chart 1c DATA (final diag)'!$C$2</c:f>
              <c:strCache>
                <c:ptCount val="1"/>
                <c:pt idx="0">
                  <c:v>2016 (%)</c:v>
                </c:pt>
              </c:strCache>
            </c:strRef>
          </c:tx>
          <c:spPr>
            <a:solidFill>
              <a:srgbClr val="993366"/>
            </a:solidFill>
          </c:spPr>
          <c:dPt>
            <c:idx val="0"/>
            <c:spPr>
              <a:solidFill>
                <a:srgbClr val="008000"/>
              </a:solidFill>
            </c:spPr>
          </c:dPt>
          <c:cat>
            <c:strRef>
              <c:f>'Chart 1c DATA (final diag)'!$O$3:$O$32</c:f>
              <c:strCache>
                <c:ptCount val="30"/>
                <c:pt idx="0">
                  <c:v>Scotland</c:v>
                </c:pt>
                <c:pt idx="1">
                  <c:v>Caithness*</c:v>
                </c:pt>
                <c:pt idx="2">
                  <c:v>Borders</c:v>
                </c:pt>
                <c:pt idx="3">
                  <c:v>Crosshouse</c:v>
                </c:pt>
                <c:pt idx="4">
                  <c:v>L&amp;I</c:v>
                </c:pt>
                <c:pt idx="5">
                  <c:v>VHK</c:v>
                </c:pt>
                <c:pt idx="6">
                  <c:v>FVRH</c:v>
                </c:pt>
                <c:pt idx="7">
                  <c:v>Hairmyres</c:v>
                </c:pt>
                <c:pt idx="8">
                  <c:v>Dr Grays</c:v>
                </c:pt>
                <c:pt idx="9">
                  <c:v>IRH</c:v>
                </c:pt>
                <c:pt idx="10">
                  <c:v>ARI</c:v>
                </c:pt>
                <c:pt idx="11">
                  <c:v>Belford*</c:v>
                </c:pt>
                <c:pt idx="12">
                  <c:v>RAH</c:v>
                </c:pt>
                <c:pt idx="13">
                  <c:v>RIE</c:v>
                </c:pt>
                <c:pt idx="14">
                  <c:v>Ninewells</c:v>
                </c:pt>
                <c:pt idx="15">
                  <c:v>SJH</c:v>
                </c:pt>
                <c:pt idx="16">
                  <c:v>QEUHG</c:v>
                </c:pt>
                <c:pt idx="17">
                  <c:v>DGRI</c:v>
                </c:pt>
                <c:pt idx="18">
                  <c:v>GRI</c:v>
                </c:pt>
                <c:pt idx="19">
                  <c:v>Wishaw</c:v>
                </c:pt>
                <c:pt idx="20">
                  <c:v>Gilbert Bain*</c:v>
                </c:pt>
                <c:pt idx="21">
                  <c:v>PRI</c:v>
                </c:pt>
                <c:pt idx="22">
                  <c:v>Raigmore</c:v>
                </c:pt>
                <c:pt idx="23">
                  <c:v>Monklands</c:v>
                </c:pt>
                <c:pt idx="24">
                  <c:v>WGH</c:v>
                </c:pt>
                <c:pt idx="25">
                  <c:v>GCH*</c:v>
                </c:pt>
                <c:pt idx="26">
                  <c:v>Western Isles</c:v>
                </c:pt>
                <c:pt idx="27">
                  <c:v>Balfour</c:v>
                </c:pt>
                <c:pt idx="28">
                  <c:v>Ayr</c:v>
                </c:pt>
                <c:pt idx="29">
                  <c:v>Uist &amp; Barra</c:v>
                </c:pt>
              </c:strCache>
            </c:strRef>
          </c:cat>
          <c:val>
            <c:numRef>
              <c:f>'Chart 1c DATA (final diag)'!$C$3:$C$32</c:f>
              <c:numCache>
                <c:formatCode>0</c:formatCode>
                <c:ptCount val="30"/>
                <c:pt idx="0">
                  <c:v>60.757169091679621</c:v>
                </c:pt>
                <c:pt idx="1">
                  <c:v>82.222222222222214</c:v>
                </c:pt>
                <c:pt idx="2">
                  <c:v>76.397515527950304</c:v>
                </c:pt>
                <c:pt idx="3">
                  <c:v>75.662251655629149</c:v>
                </c:pt>
                <c:pt idx="4">
                  <c:v>74.468085106382972</c:v>
                </c:pt>
                <c:pt idx="5">
                  <c:v>73.146292585170329</c:v>
                </c:pt>
                <c:pt idx="6">
                  <c:v>66.666666666666657</c:v>
                </c:pt>
                <c:pt idx="7">
                  <c:v>66.390041493775925</c:v>
                </c:pt>
                <c:pt idx="8">
                  <c:v>65.094339622641513</c:v>
                </c:pt>
                <c:pt idx="9">
                  <c:v>64.827586206896541</c:v>
                </c:pt>
                <c:pt idx="10">
                  <c:v>61.99186991869918</c:v>
                </c:pt>
                <c:pt idx="11">
                  <c:v>61.53846153846154</c:v>
                </c:pt>
                <c:pt idx="12">
                  <c:v>60.142348754448392</c:v>
                </c:pt>
                <c:pt idx="13">
                  <c:v>59.583333333333336</c:v>
                </c:pt>
                <c:pt idx="14">
                  <c:v>58.55614973262032</c:v>
                </c:pt>
                <c:pt idx="15">
                  <c:v>58.536585365853654</c:v>
                </c:pt>
                <c:pt idx="16">
                  <c:v>54.769921436588099</c:v>
                </c:pt>
                <c:pt idx="17">
                  <c:v>54.487179487179482</c:v>
                </c:pt>
                <c:pt idx="18">
                  <c:v>54.297693920335433</c:v>
                </c:pt>
                <c:pt idx="19">
                  <c:v>53.815261044176708</c:v>
                </c:pt>
                <c:pt idx="20">
                  <c:v>53.333333333333336</c:v>
                </c:pt>
                <c:pt idx="21">
                  <c:v>53.142857142857146</c:v>
                </c:pt>
                <c:pt idx="22">
                  <c:v>51.249999999999993</c:v>
                </c:pt>
                <c:pt idx="23">
                  <c:v>50.446428571428569</c:v>
                </c:pt>
                <c:pt idx="24">
                  <c:v>48.663101604278076</c:v>
                </c:pt>
                <c:pt idx="25">
                  <c:v>46.153846153846153</c:v>
                </c:pt>
                <c:pt idx="26">
                  <c:v>43.478260869565219</c:v>
                </c:pt>
                <c:pt idx="27">
                  <c:v>42.307692307692307</c:v>
                </c:pt>
                <c:pt idx="28">
                  <c:v>0</c:v>
                </c:pt>
                <c:pt idx="29">
                  <c:v>0</c:v>
                </c:pt>
              </c:numCache>
            </c:numRef>
          </c:val>
        </c:ser>
        <c:axId val="71547136"/>
        <c:axId val="71630848"/>
      </c:barChart>
      <c:catAx>
        <c:axId val="71547136"/>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1630848"/>
        <c:crosses val="autoZero"/>
        <c:auto val="1"/>
        <c:lblAlgn val="ctr"/>
        <c:lblOffset val="100"/>
      </c:catAx>
      <c:valAx>
        <c:axId val="71630848"/>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1547136"/>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873"/>
        </c:manualLayout>
      </c:layout>
      <c:barChart>
        <c:barDir val="col"/>
        <c:grouping val="clustered"/>
        <c:ser>
          <c:idx val="0"/>
          <c:order val="0"/>
          <c:tx>
            <c:strRef>
              <c:f>'Chart 2a DATA'!$B$2</c:f>
              <c:strCache>
                <c:ptCount val="1"/>
                <c:pt idx="0">
                  <c:v>2015 (%)</c:v>
                </c:pt>
              </c:strCache>
            </c:strRef>
          </c:tx>
          <c:spPr>
            <a:solidFill>
              <a:schemeClr val="bg1">
                <a:lumMod val="65000"/>
              </a:schemeClr>
            </a:solidFill>
          </c:spPr>
          <c:cat>
            <c:strRef>
              <c:f>'Chart 2a DATA'!$A$3:$A$32</c:f>
              <c:strCache>
                <c:ptCount val="30"/>
                <c:pt idx="0">
                  <c:v>Scotland</c:v>
                </c:pt>
                <c:pt idx="1">
                  <c:v>Belford*</c:v>
                </c:pt>
                <c:pt idx="2">
                  <c:v>Caithness*</c:v>
                </c:pt>
                <c:pt idx="3">
                  <c:v>GCH*</c:v>
                </c:pt>
                <c:pt idx="4">
                  <c:v>Western Isles</c:v>
                </c:pt>
                <c:pt idx="5">
                  <c:v>Gilbert Bain*</c:v>
                </c:pt>
                <c:pt idx="6">
                  <c:v>Crosshouse</c:v>
                </c:pt>
                <c:pt idx="7">
                  <c:v>L&amp;I</c:v>
                </c:pt>
                <c:pt idx="8">
                  <c:v>IRH</c:v>
                </c:pt>
                <c:pt idx="9">
                  <c:v>Hairmyres</c:v>
                </c:pt>
                <c:pt idx="10">
                  <c:v>VHK</c:v>
                </c:pt>
                <c:pt idx="11">
                  <c:v>Monklands</c:v>
                </c:pt>
                <c:pt idx="12">
                  <c:v>GRI</c:v>
                </c:pt>
                <c:pt idx="13">
                  <c:v>FVRH</c:v>
                </c:pt>
                <c:pt idx="14">
                  <c:v>QEUH</c:v>
                </c:pt>
                <c:pt idx="15">
                  <c:v>Borders</c:v>
                </c:pt>
                <c:pt idx="16">
                  <c:v>Wishaw</c:v>
                </c:pt>
                <c:pt idx="17">
                  <c:v>Ninewells</c:v>
                </c:pt>
                <c:pt idx="18">
                  <c:v>RAH</c:v>
                </c:pt>
                <c:pt idx="19">
                  <c:v>Dr Grays</c:v>
                </c:pt>
                <c:pt idx="20">
                  <c:v>ARI</c:v>
                </c:pt>
                <c:pt idx="21">
                  <c:v>DGRI</c:v>
                </c:pt>
                <c:pt idx="22">
                  <c:v>RIE</c:v>
                </c:pt>
                <c:pt idx="23">
                  <c:v>SJH</c:v>
                </c:pt>
                <c:pt idx="24">
                  <c:v>PRI</c:v>
                </c:pt>
                <c:pt idx="25">
                  <c:v>Balfour</c:v>
                </c:pt>
                <c:pt idx="26">
                  <c:v>WGH</c:v>
                </c:pt>
                <c:pt idx="27">
                  <c:v>Raigmore</c:v>
                </c:pt>
                <c:pt idx="28">
                  <c:v>Ayr</c:v>
                </c:pt>
                <c:pt idx="29">
                  <c:v>Uist &amp; Barra</c:v>
                </c:pt>
              </c:strCache>
            </c:strRef>
          </c:cat>
          <c:val>
            <c:numRef>
              <c:f>'Chart 2a DATA'!$B$3:$B$32</c:f>
              <c:numCache>
                <c:formatCode>0</c:formatCode>
                <c:ptCount val="30"/>
                <c:pt idx="0">
                  <c:v>78.224867382585074</c:v>
                </c:pt>
                <c:pt idx="1">
                  <c:v>95.833333333333343</c:v>
                </c:pt>
                <c:pt idx="2">
                  <c:v>100</c:v>
                </c:pt>
                <c:pt idx="3">
                  <c:v>100</c:v>
                </c:pt>
                <c:pt idx="4">
                  <c:v>93.548387096774192</c:v>
                </c:pt>
                <c:pt idx="5">
                  <c:v>100</c:v>
                </c:pt>
                <c:pt idx="6">
                  <c:v>92.660550458715591</c:v>
                </c:pt>
                <c:pt idx="7">
                  <c:v>100</c:v>
                </c:pt>
                <c:pt idx="8">
                  <c:v>88.082901554404145</c:v>
                </c:pt>
                <c:pt idx="9">
                  <c:v>80.6949806949807</c:v>
                </c:pt>
                <c:pt idx="10">
                  <c:v>84.63073852295409</c:v>
                </c:pt>
                <c:pt idx="11">
                  <c:v>86.219081272084807</c:v>
                </c:pt>
                <c:pt idx="12">
                  <c:v>84.51882845188284</c:v>
                </c:pt>
                <c:pt idx="13">
                  <c:v>76.374745417515271</c:v>
                </c:pt>
                <c:pt idx="14">
                  <c:v>87.75313404050145</c:v>
                </c:pt>
                <c:pt idx="15">
                  <c:v>81.725888324873097</c:v>
                </c:pt>
                <c:pt idx="16">
                  <c:v>76.588628762541816</c:v>
                </c:pt>
                <c:pt idx="17">
                  <c:v>82.481751824817522</c:v>
                </c:pt>
                <c:pt idx="18">
                  <c:v>81.707317073170728</c:v>
                </c:pt>
                <c:pt idx="19">
                  <c:v>82.727272727272734</c:v>
                </c:pt>
                <c:pt idx="20">
                  <c:v>69.148936170212778</c:v>
                </c:pt>
                <c:pt idx="21">
                  <c:v>78.536585365853668</c:v>
                </c:pt>
                <c:pt idx="22">
                  <c:v>63.852242744063325</c:v>
                </c:pt>
                <c:pt idx="23">
                  <c:v>68.544600938967136</c:v>
                </c:pt>
                <c:pt idx="24">
                  <c:v>63.905325443786985</c:v>
                </c:pt>
                <c:pt idx="25">
                  <c:v>73.076923076923066</c:v>
                </c:pt>
                <c:pt idx="26">
                  <c:v>53.977272727272727</c:v>
                </c:pt>
                <c:pt idx="27">
                  <c:v>43.893129770992367</c:v>
                </c:pt>
                <c:pt idx="28">
                  <c:v>83.842794759825324</c:v>
                </c:pt>
                <c:pt idx="29">
                  <c:v>0</c:v>
                </c:pt>
              </c:numCache>
            </c:numRef>
          </c:val>
        </c:ser>
        <c:ser>
          <c:idx val="1"/>
          <c:order val="1"/>
          <c:tx>
            <c:strRef>
              <c:f>'Chart 2a DATA'!$C$2</c:f>
              <c:strCache>
                <c:ptCount val="1"/>
                <c:pt idx="0">
                  <c:v>2016 (%)</c:v>
                </c:pt>
              </c:strCache>
            </c:strRef>
          </c:tx>
          <c:spPr>
            <a:solidFill>
              <a:srgbClr val="FFC000"/>
            </a:solidFill>
          </c:spPr>
          <c:dPt>
            <c:idx val="0"/>
            <c:spPr>
              <a:solidFill>
                <a:srgbClr val="008000"/>
              </a:solidFill>
            </c:spPr>
          </c:dPt>
          <c:dPt>
            <c:idx val="13"/>
            <c:spPr>
              <a:solidFill>
                <a:srgbClr val="008000"/>
              </a:solidFill>
            </c:spPr>
          </c:dPt>
          <c:dPt>
            <c:idx val="22"/>
            <c:spPr>
              <a:solidFill>
                <a:srgbClr val="008000"/>
              </a:solidFill>
            </c:spPr>
          </c:dPt>
          <c:dPt>
            <c:idx val="23"/>
            <c:spPr>
              <a:solidFill>
                <a:srgbClr val="FFC000"/>
              </a:solidFill>
              <a:ln w="25400">
                <a:noFill/>
              </a:ln>
            </c:spPr>
          </c:dPt>
          <c:dPt>
            <c:idx val="28"/>
            <c:spPr>
              <a:solidFill>
                <a:srgbClr val="FF0000"/>
              </a:solidFill>
            </c:spPr>
          </c:dPt>
          <c:cat>
            <c:strRef>
              <c:f>'Chart 2a DATA'!$A$3:$A$32</c:f>
              <c:strCache>
                <c:ptCount val="30"/>
                <c:pt idx="0">
                  <c:v>Scotland</c:v>
                </c:pt>
                <c:pt idx="1">
                  <c:v>Belford*</c:v>
                </c:pt>
                <c:pt idx="2">
                  <c:v>Caithness*</c:v>
                </c:pt>
                <c:pt idx="3">
                  <c:v>GCH*</c:v>
                </c:pt>
                <c:pt idx="4">
                  <c:v>Western Isles</c:v>
                </c:pt>
                <c:pt idx="5">
                  <c:v>Gilbert Bain*</c:v>
                </c:pt>
                <c:pt idx="6">
                  <c:v>Crosshouse</c:v>
                </c:pt>
                <c:pt idx="7">
                  <c:v>L&amp;I</c:v>
                </c:pt>
                <c:pt idx="8">
                  <c:v>IRH</c:v>
                </c:pt>
                <c:pt idx="9">
                  <c:v>Hairmyres</c:v>
                </c:pt>
                <c:pt idx="10">
                  <c:v>VHK</c:v>
                </c:pt>
                <c:pt idx="11">
                  <c:v>Monklands</c:v>
                </c:pt>
                <c:pt idx="12">
                  <c:v>GRI</c:v>
                </c:pt>
                <c:pt idx="13">
                  <c:v>FVRH</c:v>
                </c:pt>
                <c:pt idx="14">
                  <c:v>QEUH</c:v>
                </c:pt>
                <c:pt idx="15">
                  <c:v>Borders</c:v>
                </c:pt>
                <c:pt idx="16">
                  <c:v>Wishaw</c:v>
                </c:pt>
                <c:pt idx="17">
                  <c:v>Ninewells</c:v>
                </c:pt>
                <c:pt idx="18">
                  <c:v>RAH</c:v>
                </c:pt>
                <c:pt idx="19">
                  <c:v>Dr Grays</c:v>
                </c:pt>
                <c:pt idx="20">
                  <c:v>ARI</c:v>
                </c:pt>
                <c:pt idx="21">
                  <c:v>DGRI</c:v>
                </c:pt>
                <c:pt idx="22">
                  <c:v>RIE</c:v>
                </c:pt>
                <c:pt idx="23">
                  <c:v>SJH</c:v>
                </c:pt>
                <c:pt idx="24">
                  <c:v>PRI</c:v>
                </c:pt>
                <c:pt idx="25">
                  <c:v>Balfour</c:v>
                </c:pt>
                <c:pt idx="26">
                  <c:v>WGH</c:v>
                </c:pt>
                <c:pt idx="27">
                  <c:v>Raigmore</c:v>
                </c:pt>
                <c:pt idx="28">
                  <c:v>Ayr</c:v>
                </c:pt>
                <c:pt idx="29">
                  <c:v>Uist &amp; Barra</c:v>
                </c:pt>
              </c:strCache>
            </c:strRef>
          </c:cat>
          <c:val>
            <c:numRef>
              <c:f>'Chart 2a DATA'!$C$3:$C$32</c:f>
              <c:numCache>
                <c:formatCode>0</c:formatCode>
                <c:ptCount val="30"/>
                <c:pt idx="0">
                  <c:v>81.742946708463947</c:v>
                </c:pt>
                <c:pt idx="1">
                  <c:v>100</c:v>
                </c:pt>
                <c:pt idx="2">
                  <c:v>100</c:v>
                </c:pt>
                <c:pt idx="3">
                  <c:v>100</c:v>
                </c:pt>
                <c:pt idx="4">
                  <c:v>100</c:v>
                </c:pt>
                <c:pt idx="5">
                  <c:v>97.222222222222214</c:v>
                </c:pt>
                <c:pt idx="6">
                  <c:v>96.806966618287376</c:v>
                </c:pt>
                <c:pt idx="7">
                  <c:v>95.744680851063833</c:v>
                </c:pt>
                <c:pt idx="8">
                  <c:v>91.620111731843579</c:v>
                </c:pt>
                <c:pt idx="9">
                  <c:v>87.924528301886795</c:v>
                </c:pt>
                <c:pt idx="10">
                  <c:v>87.571701720841304</c:v>
                </c:pt>
                <c:pt idx="11">
                  <c:v>87.050359712230218</c:v>
                </c:pt>
                <c:pt idx="12">
                  <c:v>86.865148861646233</c:v>
                </c:pt>
                <c:pt idx="13">
                  <c:v>85.477178423236509</c:v>
                </c:pt>
                <c:pt idx="14">
                  <c:v>85.402843601895739</c:v>
                </c:pt>
                <c:pt idx="15">
                  <c:v>85.380116959064324</c:v>
                </c:pt>
                <c:pt idx="16">
                  <c:v>85.245901639344254</c:v>
                </c:pt>
                <c:pt idx="17">
                  <c:v>84.198645598194133</c:v>
                </c:pt>
                <c:pt idx="18">
                  <c:v>80.626780626780629</c:v>
                </c:pt>
                <c:pt idx="19">
                  <c:v>77.981651376146786</c:v>
                </c:pt>
                <c:pt idx="20">
                  <c:v>74.460431654676256</c:v>
                </c:pt>
                <c:pt idx="21">
                  <c:v>73.91304347826086</c:v>
                </c:pt>
                <c:pt idx="22">
                  <c:v>71.349095966620297</c:v>
                </c:pt>
                <c:pt idx="23">
                  <c:v>70.995670995671006</c:v>
                </c:pt>
                <c:pt idx="24">
                  <c:v>68.544600938967136</c:v>
                </c:pt>
                <c:pt idx="25">
                  <c:v>61.53846153846154</c:v>
                </c:pt>
                <c:pt idx="26">
                  <c:v>53.125</c:v>
                </c:pt>
                <c:pt idx="27">
                  <c:v>52.226720647773284</c:v>
                </c:pt>
                <c:pt idx="28">
                  <c:v>34.210526315789473</c:v>
                </c:pt>
                <c:pt idx="29">
                  <c:v>0</c:v>
                </c:pt>
              </c:numCache>
            </c:numRef>
          </c:val>
        </c:ser>
        <c:axId val="72506368"/>
        <c:axId val="72516352"/>
      </c:barChart>
      <c:lineChart>
        <c:grouping val="standard"/>
        <c:ser>
          <c:idx val="2"/>
          <c:order val="2"/>
          <c:tx>
            <c:strRef>
              <c:f>'Chart 2a DATA'!$D$2</c:f>
              <c:strCache>
                <c:ptCount val="1"/>
                <c:pt idx="0">
                  <c:v>Stroke Standard</c:v>
                </c:pt>
              </c:strCache>
            </c:strRef>
          </c:tx>
          <c:spPr>
            <a:ln>
              <a:solidFill>
                <a:srgbClr val="4F81BD"/>
              </a:solidFill>
            </a:ln>
          </c:spPr>
          <c:marker>
            <c:symbol val="none"/>
          </c:marker>
          <c:trendline>
            <c:trendlineType val="linear"/>
          </c:trendline>
          <c:cat>
            <c:strRef>
              <c:f>'Chart 2a DATA'!$A$3:$A$32</c:f>
              <c:strCache>
                <c:ptCount val="30"/>
                <c:pt idx="0">
                  <c:v>Scotland</c:v>
                </c:pt>
                <c:pt idx="1">
                  <c:v>Belford*</c:v>
                </c:pt>
                <c:pt idx="2">
                  <c:v>Caithness*</c:v>
                </c:pt>
                <c:pt idx="3">
                  <c:v>GCH*</c:v>
                </c:pt>
                <c:pt idx="4">
                  <c:v>Western Isles</c:v>
                </c:pt>
                <c:pt idx="5">
                  <c:v>Gilbert Bain*</c:v>
                </c:pt>
                <c:pt idx="6">
                  <c:v>Crosshouse</c:v>
                </c:pt>
                <c:pt idx="7">
                  <c:v>L&amp;I</c:v>
                </c:pt>
                <c:pt idx="8">
                  <c:v>IRH</c:v>
                </c:pt>
                <c:pt idx="9">
                  <c:v>Hairmyres</c:v>
                </c:pt>
                <c:pt idx="10">
                  <c:v>VHK</c:v>
                </c:pt>
                <c:pt idx="11">
                  <c:v>Monklands</c:v>
                </c:pt>
                <c:pt idx="12">
                  <c:v>GRI</c:v>
                </c:pt>
                <c:pt idx="13">
                  <c:v>FVRH</c:v>
                </c:pt>
                <c:pt idx="14">
                  <c:v>QEUH</c:v>
                </c:pt>
                <c:pt idx="15">
                  <c:v>Borders</c:v>
                </c:pt>
                <c:pt idx="16">
                  <c:v>Wishaw</c:v>
                </c:pt>
                <c:pt idx="17">
                  <c:v>Ninewells</c:v>
                </c:pt>
                <c:pt idx="18">
                  <c:v>RAH</c:v>
                </c:pt>
                <c:pt idx="19">
                  <c:v>Dr Grays</c:v>
                </c:pt>
                <c:pt idx="20">
                  <c:v>ARI</c:v>
                </c:pt>
                <c:pt idx="21">
                  <c:v>DGRI</c:v>
                </c:pt>
                <c:pt idx="22">
                  <c:v>RIE</c:v>
                </c:pt>
                <c:pt idx="23">
                  <c:v>SJH</c:v>
                </c:pt>
                <c:pt idx="24">
                  <c:v>PRI</c:v>
                </c:pt>
                <c:pt idx="25">
                  <c:v>Balfour</c:v>
                </c:pt>
                <c:pt idx="26">
                  <c:v>WGH</c:v>
                </c:pt>
                <c:pt idx="27">
                  <c:v>Raigmore</c:v>
                </c:pt>
                <c:pt idx="28">
                  <c:v>Ayr</c:v>
                </c:pt>
                <c:pt idx="29">
                  <c:v>Uist &amp; Barra</c:v>
                </c:pt>
              </c:strCache>
            </c:strRef>
          </c:cat>
          <c:val>
            <c:numRef>
              <c:f>'Chart 2a DATA'!$D$3:$D$32</c:f>
              <c:numCache>
                <c:formatCode>General</c:formatCode>
                <c:ptCount val="30"/>
                <c:pt idx="0" formatCode="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numCache>
            </c:numRef>
          </c:val>
        </c:ser>
        <c:marker val="1"/>
        <c:axId val="72520064"/>
        <c:axId val="72518272"/>
      </c:lineChart>
      <c:catAx>
        <c:axId val="72506368"/>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2516352"/>
        <c:crosses val="autoZero"/>
        <c:auto val="1"/>
        <c:lblAlgn val="ctr"/>
        <c:lblOffset val="100"/>
      </c:catAx>
      <c:valAx>
        <c:axId val="72516352"/>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2506368"/>
        <c:crosses val="autoZero"/>
        <c:crossBetween val="between"/>
      </c:valAx>
      <c:valAx>
        <c:axId val="72518272"/>
        <c:scaling>
          <c:orientation val="minMax"/>
        </c:scaling>
        <c:delete val="1"/>
        <c:axPos val="r"/>
        <c:numFmt formatCode="0" sourceLinked="1"/>
        <c:tickLblPos val="none"/>
        <c:crossAx val="72520064"/>
        <c:crosses val="max"/>
        <c:crossBetween val="between"/>
      </c:valAx>
      <c:catAx>
        <c:axId val="72520064"/>
        <c:scaling>
          <c:orientation val="minMax"/>
        </c:scaling>
        <c:delete val="1"/>
        <c:axPos val="t"/>
        <c:tickLblPos val="none"/>
        <c:crossAx val="72518272"/>
        <c:crosses val="max"/>
        <c:auto val="1"/>
        <c:lblAlgn val="ctr"/>
        <c:lblOffset val="100"/>
      </c:cat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8708"/>
        </c:manualLayout>
      </c:layout>
      <c:barChart>
        <c:barDir val="col"/>
        <c:grouping val="clustered"/>
        <c:ser>
          <c:idx val="1"/>
          <c:order val="0"/>
          <c:tx>
            <c:strRef>
              <c:f>'Chart 2b DATA'!$C$2</c:f>
              <c:strCache>
                <c:ptCount val="1"/>
                <c:pt idx="0">
                  <c:v>2016 (%)</c:v>
                </c:pt>
              </c:strCache>
            </c:strRef>
          </c:tx>
          <c:spPr>
            <a:solidFill>
              <a:srgbClr val="993366"/>
            </a:solidFill>
          </c:spPr>
          <c:dPt>
            <c:idx val="23"/>
            <c:spPr>
              <a:solidFill>
                <a:srgbClr val="993366"/>
              </a:solidFill>
              <a:ln w="25400">
                <a:noFill/>
              </a:ln>
            </c:spPr>
          </c:dPt>
          <c:cat>
            <c:strRef>
              <c:f>'Chart 2b DATA'!$A$3:$A$32</c:f>
              <c:strCache>
                <c:ptCount val="30"/>
                <c:pt idx="0">
                  <c:v>Scotland</c:v>
                </c:pt>
                <c:pt idx="1">
                  <c:v>Caithness</c:v>
                </c:pt>
                <c:pt idx="2">
                  <c:v>L&amp;I</c:v>
                </c:pt>
                <c:pt idx="3">
                  <c:v>Borders</c:v>
                </c:pt>
                <c:pt idx="4">
                  <c:v>VHK</c:v>
                </c:pt>
                <c:pt idx="5">
                  <c:v>Crosshouse</c:v>
                </c:pt>
                <c:pt idx="6">
                  <c:v>Raigmore</c:v>
                </c:pt>
                <c:pt idx="7">
                  <c:v>Dr Grays</c:v>
                </c:pt>
                <c:pt idx="8">
                  <c:v>Ninewells</c:v>
                </c:pt>
                <c:pt idx="9">
                  <c:v>FVRH</c:v>
                </c:pt>
                <c:pt idx="10">
                  <c:v>WGH</c:v>
                </c:pt>
                <c:pt idx="11">
                  <c:v>RIE</c:v>
                </c:pt>
                <c:pt idx="12">
                  <c:v>Hairmyres</c:v>
                </c:pt>
                <c:pt idx="13">
                  <c:v>ARI</c:v>
                </c:pt>
                <c:pt idx="14">
                  <c:v>SJH</c:v>
                </c:pt>
                <c:pt idx="15">
                  <c:v>RAH</c:v>
                </c:pt>
                <c:pt idx="16">
                  <c:v>PRI</c:v>
                </c:pt>
                <c:pt idx="17">
                  <c:v>IRH</c:v>
                </c:pt>
                <c:pt idx="18">
                  <c:v>DGRI</c:v>
                </c:pt>
                <c:pt idx="19">
                  <c:v>Belford</c:v>
                </c:pt>
                <c:pt idx="20">
                  <c:v>Monklands</c:v>
                </c:pt>
                <c:pt idx="21">
                  <c:v>Balfour</c:v>
                </c:pt>
                <c:pt idx="22">
                  <c:v>QEUH</c:v>
                </c:pt>
                <c:pt idx="23">
                  <c:v>GRI</c:v>
                </c:pt>
                <c:pt idx="24">
                  <c:v>Wishaw</c:v>
                </c:pt>
                <c:pt idx="25">
                  <c:v>Gilbert Bain</c:v>
                </c:pt>
                <c:pt idx="26">
                  <c:v>Western Isles</c:v>
                </c:pt>
                <c:pt idx="27">
                  <c:v>GCH</c:v>
                </c:pt>
                <c:pt idx="28">
                  <c:v>Ayr</c:v>
                </c:pt>
                <c:pt idx="29">
                  <c:v>Uist &amp; Barra</c:v>
                </c:pt>
              </c:strCache>
            </c:strRef>
          </c:cat>
          <c:val>
            <c:numRef>
              <c:f>'Chart 2b DATA'!$C$3:$C$32</c:f>
              <c:numCache>
                <c:formatCode>0</c:formatCode>
                <c:ptCount val="30"/>
                <c:pt idx="0">
                  <c:v>71.65745073018573</c:v>
                </c:pt>
                <c:pt idx="1">
                  <c:v>88.888888888888886</c:v>
                </c:pt>
                <c:pt idx="2">
                  <c:v>87.2340425531915</c:v>
                </c:pt>
                <c:pt idx="3">
                  <c:v>84.472049689440993</c:v>
                </c:pt>
                <c:pt idx="4">
                  <c:v>83.232323232323239</c:v>
                </c:pt>
                <c:pt idx="5">
                  <c:v>82.78145695364239</c:v>
                </c:pt>
                <c:pt idx="6">
                  <c:v>81.512605042016801</c:v>
                </c:pt>
                <c:pt idx="7">
                  <c:v>80.952380952380949</c:v>
                </c:pt>
                <c:pt idx="8">
                  <c:v>76.470588235294116</c:v>
                </c:pt>
                <c:pt idx="9">
                  <c:v>75.81047381546135</c:v>
                </c:pt>
                <c:pt idx="10">
                  <c:v>75.138121546961329</c:v>
                </c:pt>
                <c:pt idx="11">
                  <c:v>73.852573018080676</c:v>
                </c:pt>
                <c:pt idx="12">
                  <c:v>73.443983402489636</c:v>
                </c:pt>
                <c:pt idx="13">
                  <c:v>72.07392197125256</c:v>
                </c:pt>
                <c:pt idx="14">
                  <c:v>71.921182266009851</c:v>
                </c:pt>
                <c:pt idx="15">
                  <c:v>71.785714285714292</c:v>
                </c:pt>
                <c:pt idx="16">
                  <c:v>70.285714285714278</c:v>
                </c:pt>
                <c:pt idx="17">
                  <c:v>69.655172413793096</c:v>
                </c:pt>
                <c:pt idx="18">
                  <c:v>67.948717948717956</c:v>
                </c:pt>
                <c:pt idx="19">
                  <c:v>65.384615384615387</c:v>
                </c:pt>
                <c:pt idx="20">
                  <c:v>62.5</c:v>
                </c:pt>
                <c:pt idx="21">
                  <c:v>61.53846153846154</c:v>
                </c:pt>
                <c:pt idx="22">
                  <c:v>60.854893138357703</c:v>
                </c:pt>
                <c:pt idx="23">
                  <c:v>59.243697478991599</c:v>
                </c:pt>
                <c:pt idx="24">
                  <c:v>58.634538152610439</c:v>
                </c:pt>
                <c:pt idx="25">
                  <c:v>53.333333333333336</c:v>
                </c:pt>
                <c:pt idx="26">
                  <c:v>52.173913043478258</c:v>
                </c:pt>
                <c:pt idx="27">
                  <c:v>50</c:v>
                </c:pt>
                <c:pt idx="28">
                  <c:v>3.7037037037037033</c:v>
                </c:pt>
                <c:pt idx="29">
                  <c:v>0</c:v>
                </c:pt>
              </c:numCache>
            </c:numRef>
          </c:val>
        </c:ser>
        <c:axId val="72627712"/>
        <c:axId val="72629248"/>
      </c:barChart>
      <c:lineChart>
        <c:grouping val="standard"/>
        <c:ser>
          <c:idx val="2"/>
          <c:order val="1"/>
          <c:tx>
            <c:strRef>
              <c:f>'Chart 2b DATA'!$D$2</c:f>
              <c:strCache>
                <c:ptCount val="1"/>
                <c:pt idx="0">
                  <c:v>Stroke Standard</c:v>
                </c:pt>
              </c:strCache>
            </c:strRef>
          </c:tx>
          <c:spPr>
            <a:ln>
              <a:solidFill>
                <a:srgbClr val="4F81BD"/>
              </a:solidFill>
            </a:ln>
          </c:spPr>
          <c:marker>
            <c:symbol val="none"/>
          </c:marker>
          <c:cat>
            <c:strRef>
              <c:f>'Chart 2b DATA'!$A$3:$A$32</c:f>
              <c:strCache>
                <c:ptCount val="30"/>
                <c:pt idx="0">
                  <c:v>Scotland</c:v>
                </c:pt>
                <c:pt idx="1">
                  <c:v>Caithness</c:v>
                </c:pt>
                <c:pt idx="2">
                  <c:v>L&amp;I</c:v>
                </c:pt>
                <c:pt idx="3">
                  <c:v>Borders</c:v>
                </c:pt>
                <c:pt idx="4">
                  <c:v>VHK</c:v>
                </c:pt>
                <c:pt idx="5">
                  <c:v>Crosshouse</c:v>
                </c:pt>
                <c:pt idx="6">
                  <c:v>Raigmore</c:v>
                </c:pt>
                <c:pt idx="7">
                  <c:v>Dr Grays</c:v>
                </c:pt>
                <c:pt idx="8">
                  <c:v>Ninewells</c:v>
                </c:pt>
                <c:pt idx="9">
                  <c:v>FVRH</c:v>
                </c:pt>
                <c:pt idx="10">
                  <c:v>WGH</c:v>
                </c:pt>
                <c:pt idx="11">
                  <c:v>RIE</c:v>
                </c:pt>
                <c:pt idx="12">
                  <c:v>Hairmyres</c:v>
                </c:pt>
                <c:pt idx="13">
                  <c:v>ARI</c:v>
                </c:pt>
                <c:pt idx="14">
                  <c:v>SJH</c:v>
                </c:pt>
                <c:pt idx="15">
                  <c:v>RAH</c:v>
                </c:pt>
                <c:pt idx="16">
                  <c:v>PRI</c:v>
                </c:pt>
                <c:pt idx="17">
                  <c:v>IRH</c:v>
                </c:pt>
                <c:pt idx="18">
                  <c:v>DGRI</c:v>
                </c:pt>
                <c:pt idx="19">
                  <c:v>Belford</c:v>
                </c:pt>
                <c:pt idx="20">
                  <c:v>Monklands</c:v>
                </c:pt>
                <c:pt idx="21">
                  <c:v>Balfour</c:v>
                </c:pt>
                <c:pt idx="22">
                  <c:v>QEUH</c:v>
                </c:pt>
                <c:pt idx="23">
                  <c:v>GRI</c:v>
                </c:pt>
                <c:pt idx="24">
                  <c:v>Wishaw</c:v>
                </c:pt>
                <c:pt idx="25">
                  <c:v>Gilbert Bain</c:v>
                </c:pt>
                <c:pt idx="26">
                  <c:v>Western Isles</c:v>
                </c:pt>
                <c:pt idx="27">
                  <c:v>GCH</c:v>
                </c:pt>
                <c:pt idx="28">
                  <c:v>Ayr</c:v>
                </c:pt>
                <c:pt idx="29">
                  <c:v>Uist &amp; Barra</c:v>
                </c:pt>
              </c:strCache>
            </c:strRef>
          </c:cat>
          <c:val>
            <c:numRef>
              <c:f>'Chart 2b DATA'!$D$3:$D$32</c:f>
              <c:numCache>
                <c:formatCode>General</c:formatCode>
                <c:ptCount val="30"/>
                <c:pt idx="0" formatCode="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numCache>
            </c:numRef>
          </c:val>
        </c:ser>
        <c:marker val="1"/>
        <c:axId val="72627712"/>
        <c:axId val="72629248"/>
      </c:lineChart>
      <c:catAx>
        <c:axId val="72627712"/>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2629248"/>
        <c:crosses val="autoZero"/>
        <c:auto val="1"/>
        <c:lblAlgn val="ctr"/>
        <c:lblOffset val="100"/>
      </c:catAx>
      <c:valAx>
        <c:axId val="72629248"/>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2627712"/>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8686"/>
        </c:manualLayout>
      </c:layout>
      <c:barChart>
        <c:barDir val="col"/>
        <c:grouping val="clustered"/>
        <c:ser>
          <c:idx val="0"/>
          <c:order val="0"/>
          <c:tx>
            <c:strRef>
              <c:f>'Chart 2c DATA'!$B$2</c:f>
              <c:strCache>
                <c:ptCount val="1"/>
                <c:pt idx="0">
                  <c:v>2015 (%)</c:v>
                </c:pt>
              </c:strCache>
            </c:strRef>
          </c:tx>
          <c:spPr>
            <a:solidFill>
              <a:schemeClr val="bg1">
                <a:lumMod val="65000"/>
              </a:schemeClr>
            </a:solidFill>
          </c:spPr>
          <c:cat>
            <c:strRef>
              <c:f>'Chart 2c DATA'!$A$3:$A$32</c:f>
              <c:strCache>
                <c:ptCount val="30"/>
                <c:pt idx="0">
                  <c:v>Scotland</c:v>
                </c:pt>
                <c:pt idx="1">
                  <c:v>Western Isles</c:v>
                </c:pt>
                <c:pt idx="2">
                  <c:v>Borders</c:v>
                </c:pt>
                <c:pt idx="3">
                  <c:v>Wishaw</c:v>
                </c:pt>
                <c:pt idx="4">
                  <c:v>SJH</c:v>
                </c:pt>
                <c:pt idx="5">
                  <c:v>QEUH</c:v>
                </c:pt>
                <c:pt idx="6">
                  <c:v>VHK</c:v>
                </c:pt>
                <c:pt idx="7">
                  <c:v>FVRH</c:v>
                </c:pt>
                <c:pt idx="8">
                  <c:v>Caithness</c:v>
                </c:pt>
                <c:pt idx="9">
                  <c:v>GRI</c:v>
                </c:pt>
                <c:pt idx="10">
                  <c:v>Belford</c:v>
                </c:pt>
                <c:pt idx="11">
                  <c:v>Hairmyres</c:v>
                </c:pt>
                <c:pt idx="12">
                  <c:v>Crosshouse</c:v>
                </c:pt>
                <c:pt idx="13">
                  <c:v>IRH</c:v>
                </c:pt>
                <c:pt idx="14">
                  <c:v>Gilbert Bain</c:v>
                </c:pt>
                <c:pt idx="15">
                  <c:v>ARI</c:v>
                </c:pt>
                <c:pt idx="16">
                  <c:v>WGH</c:v>
                </c:pt>
                <c:pt idx="17">
                  <c:v>Dr Grays</c:v>
                </c:pt>
                <c:pt idx="18">
                  <c:v>PRI</c:v>
                </c:pt>
                <c:pt idx="19">
                  <c:v>RIE</c:v>
                </c:pt>
                <c:pt idx="20">
                  <c:v>GCH</c:v>
                </c:pt>
                <c:pt idx="21">
                  <c:v>DGRI</c:v>
                </c:pt>
                <c:pt idx="22">
                  <c:v>Raigmore</c:v>
                </c:pt>
                <c:pt idx="23">
                  <c:v>RAH</c:v>
                </c:pt>
                <c:pt idx="24">
                  <c:v>Balfour</c:v>
                </c:pt>
                <c:pt idx="25">
                  <c:v>Monklands</c:v>
                </c:pt>
                <c:pt idx="26">
                  <c:v>L&amp;I</c:v>
                </c:pt>
                <c:pt idx="27">
                  <c:v>Ninewells</c:v>
                </c:pt>
                <c:pt idx="28">
                  <c:v>Ayr</c:v>
                </c:pt>
                <c:pt idx="29">
                  <c:v>Uist &amp; Barra</c:v>
                </c:pt>
              </c:strCache>
            </c:strRef>
          </c:cat>
          <c:val>
            <c:numRef>
              <c:f>'Chart 2c DATA'!$B$3:$B$32</c:f>
              <c:numCache>
                <c:formatCode>0</c:formatCode>
                <c:ptCount val="30"/>
                <c:pt idx="0">
                  <c:v>91.378928729526336</c:v>
                </c:pt>
                <c:pt idx="1">
                  <c:v>97.058823529411768</c:v>
                </c:pt>
                <c:pt idx="2">
                  <c:v>99.111111111111114</c:v>
                </c:pt>
                <c:pt idx="3">
                  <c:v>96.352583586626139</c:v>
                </c:pt>
                <c:pt idx="4">
                  <c:v>96.774193548387103</c:v>
                </c:pt>
                <c:pt idx="5">
                  <c:v>94.483362521891422</c:v>
                </c:pt>
                <c:pt idx="6">
                  <c:v>95.721077654516634</c:v>
                </c:pt>
                <c:pt idx="7">
                  <c:v>96.316758747697975</c:v>
                </c:pt>
                <c:pt idx="8">
                  <c:v>97.222222222222214</c:v>
                </c:pt>
                <c:pt idx="9">
                  <c:v>87.832699619771859</c:v>
                </c:pt>
                <c:pt idx="10">
                  <c:v>82.142857142857139</c:v>
                </c:pt>
                <c:pt idx="11">
                  <c:v>95.016611295681059</c:v>
                </c:pt>
                <c:pt idx="12">
                  <c:v>86.889460154241647</c:v>
                </c:pt>
                <c:pt idx="13">
                  <c:v>90.995260663507111</c:v>
                </c:pt>
                <c:pt idx="14">
                  <c:v>85.714285714285708</c:v>
                </c:pt>
                <c:pt idx="15">
                  <c:v>93.314366998577526</c:v>
                </c:pt>
                <c:pt idx="16">
                  <c:v>88.979591836734699</c:v>
                </c:pt>
                <c:pt idx="17">
                  <c:v>93.07692307692308</c:v>
                </c:pt>
                <c:pt idx="18">
                  <c:v>94.652406417112303</c:v>
                </c:pt>
                <c:pt idx="19">
                  <c:v>90.880169671261939</c:v>
                </c:pt>
                <c:pt idx="20">
                  <c:v>90</c:v>
                </c:pt>
                <c:pt idx="21">
                  <c:v>91.803278688524586</c:v>
                </c:pt>
                <c:pt idx="22">
                  <c:v>86.723163841807903</c:v>
                </c:pt>
                <c:pt idx="23">
                  <c:v>89.11174785100286</c:v>
                </c:pt>
                <c:pt idx="24">
                  <c:v>73.170731707317074</c:v>
                </c:pt>
                <c:pt idx="25">
                  <c:v>86.068111455108351</c:v>
                </c:pt>
                <c:pt idx="26">
                  <c:v>86.956521739130437</c:v>
                </c:pt>
                <c:pt idx="27">
                  <c:v>82</c:v>
                </c:pt>
                <c:pt idx="28">
                  <c:v>80.075187969924812</c:v>
                </c:pt>
                <c:pt idx="29">
                  <c:v>0</c:v>
                </c:pt>
              </c:numCache>
            </c:numRef>
          </c:val>
        </c:ser>
        <c:ser>
          <c:idx val="1"/>
          <c:order val="1"/>
          <c:tx>
            <c:strRef>
              <c:f>'Chart 2c DATA'!$C$2</c:f>
              <c:strCache>
                <c:ptCount val="1"/>
                <c:pt idx="0">
                  <c:v>2016 (%)</c:v>
                </c:pt>
              </c:strCache>
            </c:strRef>
          </c:tx>
          <c:spPr>
            <a:solidFill>
              <a:srgbClr val="FFC000"/>
            </a:solidFill>
          </c:spPr>
          <c:dPt>
            <c:idx val="0"/>
            <c:spPr>
              <a:solidFill>
                <a:srgbClr val="008000"/>
              </a:solidFill>
            </c:spPr>
          </c:dPt>
          <c:dPt>
            <c:idx val="9"/>
            <c:spPr>
              <a:solidFill>
                <a:srgbClr val="008000"/>
              </a:solidFill>
            </c:spPr>
          </c:dPt>
          <c:dPt>
            <c:idx val="12"/>
            <c:spPr>
              <a:solidFill>
                <a:srgbClr val="008000"/>
              </a:solidFill>
            </c:spPr>
          </c:dPt>
          <c:dPt>
            <c:idx val="23"/>
            <c:spPr>
              <a:solidFill>
                <a:srgbClr val="FFC000"/>
              </a:solidFill>
              <a:ln w="25400">
                <a:noFill/>
              </a:ln>
            </c:spPr>
          </c:dPt>
          <c:cat>
            <c:strRef>
              <c:f>'Chart 2c DATA'!$A$3:$A$32</c:f>
              <c:strCache>
                <c:ptCount val="30"/>
                <c:pt idx="0">
                  <c:v>Scotland</c:v>
                </c:pt>
                <c:pt idx="1">
                  <c:v>Western Isles</c:v>
                </c:pt>
                <c:pt idx="2">
                  <c:v>Borders</c:v>
                </c:pt>
                <c:pt idx="3">
                  <c:v>Wishaw</c:v>
                </c:pt>
                <c:pt idx="4">
                  <c:v>SJH</c:v>
                </c:pt>
                <c:pt idx="5">
                  <c:v>QEUH</c:v>
                </c:pt>
                <c:pt idx="6">
                  <c:v>VHK</c:v>
                </c:pt>
                <c:pt idx="7">
                  <c:v>FVRH</c:v>
                </c:pt>
                <c:pt idx="8">
                  <c:v>Caithness</c:v>
                </c:pt>
                <c:pt idx="9">
                  <c:v>GRI</c:v>
                </c:pt>
                <c:pt idx="10">
                  <c:v>Belford</c:v>
                </c:pt>
                <c:pt idx="11">
                  <c:v>Hairmyres</c:v>
                </c:pt>
                <c:pt idx="12">
                  <c:v>Crosshouse</c:v>
                </c:pt>
                <c:pt idx="13">
                  <c:v>IRH</c:v>
                </c:pt>
                <c:pt idx="14">
                  <c:v>Gilbert Bain</c:v>
                </c:pt>
                <c:pt idx="15">
                  <c:v>ARI</c:v>
                </c:pt>
                <c:pt idx="16">
                  <c:v>WGH</c:v>
                </c:pt>
                <c:pt idx="17">
                  <c:v>Dr Grays</c:v>
                </c:pt>
                <c:pt idx="18">
                  <c:v>PRI</c:v>
                </c:pt>
                <c:pt idx="19">
                  <c:v>RIE</c:v>
                </c:pt>
                <c:pt idx="20">
                  <c:v>GCH</c:v>
                </c:pt>
                <c:pt idx="21">
                  <c:v>DGRI</c:v>
                </c:pt>
                <c:pt idx="22">
                  <c:v>Raigmore</c:v>
                </c:pt>
                <c:pt idx="23">
                  <c:v>RAH</c:v>
                </c:pt>
                <c:pt idx="24">
                  <c:v>Balfour</c:v>
                </c:pt>
                <c:pt idx="25">
                  <c:v>Monklands</c:v>
                </c:pt>
                <c:pt idx="26">
                  <c:v>L&amp;I</c:v>
                </c:pt>
                <c:pt idx="27">
                  <c:v>Ninewells</c:v>
                </c:pt>
                <c:pt idx="28">
                  <c:v>Ayr</c:v>
                </c:pt>
                <c:pt idx="29">
                  <c:v>Uist &amp; Barra</c:v>
                </c:pt>
              </c:strCache>
            </c:strRef>
          </c:cat>
          <c:val>
            <c:numRef>
              <c:f>'Chart 2c DATA'!$C$3:$C$32</c:f>
              <c:numCache>
                <c:formatCode>0</c:formatCode>
                <c:ptCount val="30"/>
                <c:pt idx="0">
                  <c:v>92.761050608584242</c:v>
                </c:pt>
                <c:pt idx="1">
                  <c:v>100</c:v>
                </c:pt>
                <c:pt idx="2">
                  <c:v>98.611111111111114</c:v>
                </c:pt>
                <c:pt idx="3">
                  <c:v>95.96541786743515</c:v>
                </c:pt>
                <c:pt idx="4">
                  <c:v>95.555555555555557</c:v>
                </c:pt>
                <c:pt idx="5">
                  <c:v>95.497026338147833</c:v>
                </c:pt>
                <c:pt idx="6">
                  <c:v>95.187969924812037</c:v>
                </c:pt>
                <c:pt idx="7">
                  <c:v>95.009596928982717</c:v>
                </c:pt>
                <c:pt idx="8">
                  <c:v>94.117647058823522</c:v>
                </c:pt>
                <c:pt idx="9">
                  <c:v>93.910256410256409</c:v>
                </c:pt>
                <c:pt idx="10">
                  <c:v>93.75</c:v>
                </c:pt>
                <c:pt idx="11">
                  <c:v>93.333333333333329</c:v>
                </c:pt>
                <c:pt idx="12">
                  <c:v>93.19899244332494</c:v>
                </c:pt>
                <c:pt idx="13">
                  <c:v>92.929292929292927</c:v>
                </c:pt>
                <c:pt idx="14">
                  <c:v>92.682926829268297</c:v>
                </c:pt>
                <c:pt idx="15">
                  <c:v>92.575757575757578</c:v>
                </c:pt>
                <c:pt idx="16">
                  <c:v>92.070484581497809</c:v>
                </c:pt>
                <c:pt idx="17">
                  <c:v>91.970802919708035</c:v>
                </c:pt>
                <c:pt idx="18">
                  <c:v>91.629955947136565</c:v>
                </c:pt>
                <c:pt idx="19">
                  <c:v>91.536050156739819</c:v>
                </c:pt>
                <c:pt idx="20">
                  <c:v>90.909090909090907</c:v>
                </c:pt>
                <c:pt idx="21">
                  <c:v>90.821256038647348</c:v>
                </c:pt>
                <c:pt idx="22">
                  <c:v>90.645161290322591</c:v>
                </c:pt>
                <c:pt idx="23">
                  <c:v>89.473684210526315</c:v>
                </c:pt>
                <c:pt idx="24">
                  <c:v>88.888888888888886</c:v>
                </c:pt>
                <c:pt idx="25">
                  <c:v>87.788778877887779</c:v>
                </c:pt>
                <c:pt idx="26">
                  <c:v>86.206896551724128</c:v>
                </c:pt>
                <c:pt idx="27">
                  <c:v>85.921325051759837</c:v>
                </c:pt>
                <c:pt idx="28">
                  <c:v>68.627450980392155</c:v>
                </c:pt>
                <c:pt idx="29">
                  <c:v>0</c:v>
                </c:pt>
              </c:numCache>
            </c:numRef>
          </c:val>
        </c:ser>
        <c:axId val="74682368"/>
        <c:axId val="74683904"/>
      </c:barChart>
      <c:lineChart>
        <c:grouping val="standard"/>
        <c:ser>
          <c:idx val="2"/>
          <c:order val="2"/>
          <c:tx>
            <c:strRef>
              <c:f>'Chart 2c DATA'!$D$2</c:f>
              <c:strCache>
                <c:ptCount val="1"/>
                <c:pt idx="0">
                  <c:v>Stroke Standard</c:v>
                </c:pt>
              </c:strCache>
            </c:strRef>
          </c:tx>
          <c:spPr>
            <a:ln>
              <a:solidFill>
                <a:srgbClr val="4F81BD"/>
              </a:solidFill>
            </a:ln>
          </c:spPr>
          <c:marker>
            <c:symbol val="none"/>
          </c:marker>
          <c:cat>
            <c:strRef>
              <c:f>'Chart 2c DATA'!$A$3:$A$32</c:f>
              <c:strCache>
                <c:ptCount val="30"/>
                <c:pt idx="0">
                  <c:v>Scotland</c:v>
                </c:pt>
                <c:pt idx="1">
                  <c:v>Western Isles</c:v>
                </c:pt>
                <c:pt idx="2">
                  <c:v>Borders</c:v>
                </c:pt>
                <c:pt idx="3">
                  <c:v>Wishaw</c:v>
                </c:pt>
                <c:pt idx="4">
                  <c:v>SJH</c:v>
                </c:pt>
                <c:pt idx="5">
                  <c:v>QEUH</c:v>
                </c:pt>
                <c:pt idx="6">
                  <c:v>VHK</c:v>
                </c:pt>
                <c:pt idx="7">
                  <c:v>FVRH</c:v>
                </c:pt>
                <c:pt idx="8">
                  <c:v>Caithness</c:v>
                </c:pt>
                <c:pt idx="9">
                  <c:v>GRI</c:v>
                </c:pt>
                <c:pt idx="10">
                  <c:v>Belford</c:v>
                </c:pt>
                <c:pt idx="11">
                  <c:v>Hairmyres</c:v>
                </c:pt>
                <c:pt idx="12">
                  <c:v>Crosshouse</c:v>
                </c:pt>
                <c:pt idx="13">
                  <c:v>IRH</c:v>
                </c:pt>
                <c:pt idx="14">
                  <c:v>Gilbert Bain</c:v>
                </c:pt>
                <c:pt idx="15">
                  <c:v>ARI</c:v>
                </c:pt>
                <c:pt idx="16">
                  <c:v>WGH</c:v>
                </c:pt>
                <c:pt idx="17">
                  <c:v>Dr Grays</c:v>
                </c:pt>
                <c:pt idx="18">
                  <c:v>PRI</c:v>
                </c:pt>
                <c:pt idx="19">
                  <c:v>RIE</c:v>
                </c:pt>
                <c:pt idx="20">
                  <c:v>GCH</c:v>
                </c:pt>
                <c:pt idx="21">
                  <c:v>DGRI</c:v>
                </c:pt>
                <c:pt idx="22">
                  <c:v>Raigmore</c:v>
                </c:pt>
                <c:pt idx="23">
                  <c:v>RAH</c:v>
                </c:pt>
                <c:pt idx="24">
                  <c:v>Balfour</c:v>
                </c:pt>
                <c:pt idx="25">
                  <c:v>Monklands</c:v>
                </c:pt>
                <c:pt idx="26">
                  <c:v>L&amp;I</c:v>
                </c:pt>
                <c:pt idx="27">
                  <c:v>Ninewells</c:v>
                </c:pt>
                <c:pt idx="28">
                  <c:v>Ayr</c:v>
                </c:pt>
                <c:pt idx="29">
                  <c:v>Uist &amp; Barra</c:v>
                </c:pt>
              </c:strCache>
            </c:strRef>
          </c:cat>
          <c:val>
            <c:numRef>
              <c:f>'Chart 2c DATA'!$D$3:$D$32</c:f>
              <c:numCache>
                <c:formatCode>General</c:formatCode>
                <c:ptCount val="30"/>
                <c:pt idx="0" formatCode="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pt idx="16">
                  <c:v>95</c:v>
                </c:pt>
                <c:pt idx="17">
                  <c:v>95</c:v>
                </c:pt>
                <c:pt idx="18">
                  <c:v>95</c:v>
                </c:pt>
                <c:pt idx="19">
                  <c:v>95</c:v>
                </c:pt>
                <c:pt idx="20">
                  <c:v>95</c:v>
                </c:pt>
                <c:pt idx="21">
                  <c:v>95</c:v>
                </c:pt>
                <c:pt idx="22">
                  <c:v>95</c:v>
                </c:pt>
                <c:pt idx="23">
                  <c:v>95</c:v>
                </c:pt>
                <c:pt idx="24">
                  <c:v>95</c:v>
                </c:pt>
                <c:pt idx="25">
                  <c:v>95</c:v>
                </c:pt>
                <c:pt idx="26">
                  <c:v>95</c:v>
                </c:pt>
                <c:pt idx="27">
                  <c:v>95</c:v>
                </c:pt>
                <c:pt idx="28">
                  <c:v>95</c:v>
                </c:pt>
                <c:pt idx="29">
                  <c:v>95</c:v>
                </c:pt>
              </c:numCache>
            </c:numRef>
          </c:val>
        </c:ser>
        <c:marker val="1"/>
        <c:axId val="74682368"/>
        <c:axId val="74683904"/>
      </c:lineChart>
      <c:catAx>
        <c:axId val="74682368"/>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4683904"/>
        <c:crosses val="autoZero"/>
        <c:auto val="1"/>
        <c:lblAlgn val="ctr"/>
        <c:lblOffset val="100"/>
      </c:catAx>
      <c:valAx>
        <c:axId val="74683904"/>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4682368"/>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8653"/>
        </c:manualLayout>
      </c:layout>
      <c:barChart>
        <c:barDir val="col"/>
        <c:grouping val="clustered"/>
        <c:ser>
          <c:idx val="0"/>
          <c:order val="0"/>
          <c:tx>
            <c:strRef>
              <c:f>'Chart 2d DATA'!$B$2</c:f>
              <c:strCache>
                <c:ptCount val="1"/>
                <c:pt idx="0">
                  <c:v>2015 (%)</c:v>
                </c:pt>
              </c:strCache>
            </c:strRef>
          </c:tx>
          <c:spPr>
            <a:solidFill>
              <a:schemeClr val="bg1">
                <a:lumMod val="65000"/>
              </a:schemeClr>
            </a:solidFill>
          </c:spPr>
          <c:cat>
            <c:strRef>
              <c:f>'Chart 2d DATA'!$A$3:$A$32</c:f>
              <c:strCache>
                <c:ptCount val="29"/>
                <c:pt idx="0">
                  <c:v>Scotland</c:v>
                </c:pt>
                <c:pt idx="1">
                  <c:v>Borders</c:v>
                </c:pt>
                <c:pt idx="2">
                  <c:v>Wishaw</c:v>
                </c:pt>
                <c:pt idx="3">
                  <c:v>Belford</c:v>
                </c:pt>
                <c:pt idx="4">
                  <c:v>IRH</c:v>
                </c:pt>
                <c:pt idx="5">
                  <c:v>Gilbert Bain</c:v>
                </c:pt>
                <c:pt idx="6">
                  <c:v>Raigmore</c:v>
                </c:pt>
                <c:pt idx="7">
                  <c:v>GRI</c:v>
                </c:pt>
                <c:pt idx="8">
                  <c:v>Caithness</c:v>
                </c:pt>
                <c:pt idx="9">
                  <c:v>Hairmyres</c:v>
                </c:pt>
                <c:pt idx="10">
                  <c:v>ARI</c:v>
                </c:pt>
                <c:pt idx="11">
                  <c:v>DGRI</c:v>
                </c:pt>
                <c:pt idx="12">
                  <c:v>VHK</c:v>
                </c:pt>
                <c:pt idx="13">
                  <c:v>QEUH</c:v>
                </c:pt>
                <c:pt idx="14">
                  <c:v>SJH</c:v>
                </c:pt>
                <c:pt idx="15">
                  <c:v>FVRH</c:v>
                </c:pt>
                <c:pt idx="16">
                  <c:v>Crosshouse</c:v>
                </c:pt>
                <c:pt idx="17">
                  <c:v>PRI</c:v>
                </c:pt>
                <c:pt idx="18">
                  <c:v>Dr Grays</c:v>
                </c:pt>
                <c:pt idx="19">
                  <c:v>Ninewells</c:v>
                </c:pt>
                <c:pt idx="20">
                  <c:v>Monklands</c:v>
                </c:pt>
                <c:pt idx="21">
                  <c:v>L&amp;I</c:v>
                </c:pt>
                <c:pt idx="22">
                  <c:v>RAH</c:v>
                </c:pt>
                <c:pt idx="23">
                  <c:v>RIE</c:v>
                </c:pt>
                <c:pt idx="24">
                  <c:v>WGH</c:v>
                </c:pt>
                <c:pt idx="25">
                  <c:v>Western Isles</c:v>
                </c:pt>
                <c:pt idx="26">
                  <c:v>GCH</c:v>
                </c:pt>
                <c:pt idx="27">
                  <c:v>Balfour</c:v>
                </c:pt>
                <c:pt idx="28">
                  <c:v>Ayr</c:v>
                </c:pt>
              </c:strCache>
            </c:strRef>
          </c:cat>
          <c:val>
            <c:numRef>
              <c:f>'Chart 2d DATA'!$B$3:$B$31</c:f>
              <c:numCache>
                <c:formatCode>0</c:formatCode>
                <c:ptCount val="29"/>
                <c:pt idx="0">
                  <c:v>90</c:v>
                </c:pt>
                <c:pt idx="1">
                  <c:v>97.945205479452056</c:v>
                </c:pt>
                <c:pt idx="2">
                  <c:v>94.73684210526315</c:v>
                </c:pt>
                <c:pt idx="3">
                  <c:v>86.666666666666671</c:v>
                </c:pt>
                <c:pt idx="4">
                  <c:v>94.444444444444443</c:v>
                </c:pt>
                <c:pt idx="5">
                  <c:v>92.592592592592595</c:v>
                </c:pt>
                <c:pt idx="6">
                  <c:v>92.951541850220266</c:v>
                </c:pt>
                <c:pt idx="7">
                  <c:v>91.041162227602896</c:v>
                </c:pt>
                <c:pt idx="8">
                  <c:v>95.555555555555557</c:v>
                </c:pt>
                <c:pt idx="9">
                  <c:v>89.380530973451329</c:v>
                </c:pt>
                <c:pt idx="10">
                  <c:v>88.328912466843505</c:v>
                </c:pt>
                <c:pt idx="11">
                  <c:v>93.150684931506845</c:v>
                </c:pt>
                <c:pt idx="12">
                  <c:v>94.407158836689035</c:v>
                </c:pt>
                <c:pt idx="13">
                  <c:v>87.38601823708207</c:v>
                </c:pt>
                <c:pt idx="14">
                  <c:v>95.555555555555557</c:v>
                </c:pt>
                <c:pt idx="15">
                  <c:v>93.137254901960787</c:v>
                </c:pt>
                <c:pt idx="16">
                  <c:v>88.059701492537314</c:v>
                </c:pt>
                <c:pt idx="17">
                  <c:v>91.379310344827587</c:v>
                </c:pt>
                <c:pt idx="18">
                  <c:v>93.406593406593402</c:v>
                </c:pt>
                <c:pt idx="19">
                  <c:v>90.322580645161281</c:v>
                </c:pt>
                <c:pt idx="20">
                  <c:v>88.235294117647058</c:v>
                </c:pt>
                <c:pt idx="21">
                  <c:v>89.473684210526315</c:v>
                </c:pt>
                <c:pt idx="22">
                  <c:v>86.131386861313857</c:v>
                </c:pt>
                <c:pt idx="23">
                  <c:v>87.166666666666671</c:v>
                </c:pt>
                <c:pt idx="24">
                  <c:v>82.941176470588246</c:v>
                </c:pt>
                <c:pt idx="25">
                  <c:v>95</c:v>
                </c:pt>
                <c:pt idx="26">
                  <c:v>92.307692307692307</c:v>
                </c:pt>
                <c:pt idx="27">
                  <c:v>80.769230769230774</c:v>
                </c:pt>
                <c:pt idx="28">
                  <c:v>78.723404255319153</c:v>
                </c:pt>
              </c:numCache>
            </c:numRef>
          </c:val>
        </c:ser>
        <c:ser>
          <c:idx val="1"/>
          <c:order val="1"/>
          <c:tx>
            <c:strRef>
              <c:f>'Chart 2d DATA'!$C$2</c:f>
              <c:strCache>
                <c:ptCount val="1"/>
                <c:pt idx="0">
                  <c:v>2016 (%)</c:v>
                </c:pt>
              </c:strCache>
            </c:strRef>
          </c:tx>
          <c:spPr>
            <a:solidFill>
              <a:srgbClr val="FFC000"/>
            </a:solidFill>
          </c:spPr>
          <c:dPt>
            <c:idx val="23"/>
            <c:spPr>
              <a:solidFill>
                <a:srgbClr val="FFC000"/>
              </a:solidFill>
              <a:ln w="25400">
                <a:noFill/>
              </a:ln>
            </c:spPr>
          </c:dPt>
          <c:dPt>
            <c:idx val="28"/>
            <c:spPr>
              <a:solidFill>
                <a:srgbClr val="FF0000"/>
              </a:solidFill>
            </c:spPr>
          </c:dPt>
          <c:cat>
            <c:strRef>
              <c:f>'Chart 2d DATA'!$A$3:$A$32</c:f>
              <c:strCache>
                <c:ptCount val="29"/>
                <c:pt idx="0">
                  <c:v>Scotland</c:v>
                </c:pt>
                <c:pt idx="1">
                  <c:v>Borders</c:v>
                </c:pt>
                <c:pt idx="2">
                  <c:v>Wishaw</c:v>
                </c:pt>
                <c:pt idx="3">
                  <c:v>Belford</c:v>
                </c:pt>
                <c:pt idx="4">
                  <c:v>IRH</c:v>
                </c:pt>
                <c:pt idx="5">
                  <c:v>Gilbert Bain</c:v>
                </c:pt>
                <c:pt idx="6">
                  <c:v>Raigmore</c:v>
                </c:pt>
                <c:pt idx="7">
                  <c:v>GRI</c:v>
                </c:pt>
                <c:pt idx="8">
                  <c:v>Caithness</c:v>
                </c:pt>
                <c:pt idx="9">
                  <c:v>Hairmyres</c:v>
                </c:pt>
                <c:pt idx="10">
                  <c:v>ARI</c:v>
                </c:pt>
                <c:pt idx="11">
                  <c:v>DGRI</c:v>
                </c:pt>
                <c:pt idx="12">
                  <c:v>VHK</c:v>
                </c:pt>
                <c:pt idx="13">
                  <c:v>QEUH</c:v>
                </c:pt>
                <c:pt idx="14">
                  <c:v>SJH</c:v>
                </c:pt>
                <c:pt idx="15">
                  <c:v>FVRH</c:v>
                </c:pt>
                <c:pt idx="16">
                  <c:v>Crosshouse</c:v>
                </c:pt>
                <c:pt idx="17">
                  <c:v>PRI</c:v>
                </c:pt>
                <c:pt idx="18">
                  <c:v>Dr Grays</c:v>
                </c:pt>
                <c:pt idx="19">
                  <c:v>Ninewells</c:v>
                </c:pt>
                <c:pt idx="20">
                  <c:v>Monklands</c:v>
                </c:pt>
                <c:pt idx="21">
                  <c:v>L&amp;I</c:v>
                </c:pt>
                <c:pt idx="22">
                  <c:v>RAH</c:v>
                </c:pt>
                <c:pt idx="23">
                  <c:v>RIE</c:v>
                </c:pt>
                <c:pt idx="24">
                  <c:v>WGH</c:v>
                </c:pt>
                <c:pt idx="25">
                  <c:v>Western Isles</c:v>
                </c:pt>
                <c:pt idx="26">
                  <c:v>GCH</c:v>
                </c:pt>
                <c:pt idx="27">
                  <c:v>Balfour</c:v>
                </c:pt>
                <c:pt idx="28">
                  <c:v>Ayr</c:v>
                </c:pt>
              </c:strCache>
            </c:strRef>
          </c:cat>
          <c:val>
            <c:numRef>
              <c:f>'Chart 2d DATA'!$C$3:$C$31</c:f>
              <c:numCache>
                <c:formatCode>0</c:formatCode>
                <c:ptCount val="29"/>
                <c:pt idx="0">
                  <c:v>90.436854646544873</c:v>
                </c:pt>
                <c:pt idx="1">
                  <c:v>100</c:v>
                </c:pt>
                <c:pt idx="2">
                  <c:v>94.360902255639104</c:v>
                </c:pt>
                <c:pt idx="3">
                  <c:v>94.117647058823522</c:v>
                </c:pt>
                <c:pt idx="4">
                  <c:v>94.082840236686394</c:v>
                </c:pt>
                <c:pt idx="5">
                  <c:v>93.75</c:v>
                </c:pt>
                <c:pt idx="6">
                  <c:v>93.582887700534755</c:v>
                </c:pt>
                <c:pt idx="7">
                  <c:v>93.251533742331276</c:v>
                </c:pt>
                <c:pt idx="8">
                  <c:v>93.181818181818173</c:v>
                </c:pt>
                <c:pt idx="9">
                  <c:v>92.825112107623326</c:v>
                </c:pt>
                <c:pt idx="10">
                  <c:v>91.64556962025317</c:v>
                </c:pt>
                <c:pt idx="11">
                  <c:v>91.452991452991455</c:v>
                </c:pt>
                <c:pt idx="12">
                  <c:v>91.416309012875544</c:v>
                </c:pt>
                <c:pt idx="13">
                  <c:v>91.246290801186944</c:v>
                </c:pt>
                <c:pt idx="14">
                  <c:v>91.111111111111114</c:v>
                </c:pt>
                <c:pt idx="15">
                  <c:v>90.862944162436548</c:v>
                </c:pt>
                <c:pt idx="16">
                  <c:v>90.598290598290603</c:v>
                </c:pt>
                <c:pt idx="17">
                  <c:v>90.131578947368425</c:v>
                </c:pt>
                <c:pt idx="18">
                  <c:v>89.87341772151899</c:v>
                </c:pt>
                <c:pt idx="19">
                  <c:v>89.296636085626915</c:v>
                </c:pt>
                <c:pt idx="20">
                  <c:v>89.237668161434982</c:v>
                </c:pt>
                <c:pt idx="21">
                  <c:v>87.878787878787875</c:v>
                </c:pt>
                <c:pt idx="22">
                  <c:v>87.306501547987608</c:v>
                </c:pt>
                <c:pt idx="23">
                  <c:v>85.090909090909093</c:v>
                </c:pt>
                <c:pt idx="24">
                  <c:v>83.333333333333343</c:v>
                </c:pt>
                <c:pt idx="25">
                  <c:v>80.952380952380949</c:v>
                </c:pt>
                <c:pt idx="26">
                  <c:v>80</c:v>
                </c:pt>
                <c:pt idx="27">
                  <c:v>77.777777777777786</c:v>
                </c:pt>
                <c:pt idx="28">
                  <c:v>45.714285714285715</c:v>
                </c:pt>
              </c:numCache>
            </c:numRef>
          </c:val>
        </c:ser>
        <c:axId val="77243136"/>
        <c:axId val="77244672"/>
      </c:barChart>
      <c:lineChart>
        <c:grouping val="standard"/>
        <c:ser>
          <c:idx val="2"/>
          <c:order val="2"/>
          <c:tx>
            <c:strRef>
              <c:f>'Chart 2d DATA'!$D$2</c:f>
              <c:strCache>
                <c:ptCount val="1"/>
                <c:pt idx="0">
                  <c:v>Stroke Standard</c:v>
                </c:pt>
              </c:strCache>
            </c:strRef>
          </c:tx>
          <c:spPr>
            <a:ln>
              <a:solidFill>
                <a:srgbClr val="4F81BD"/>
              </a:solidFill>
            </a:ln>
          </c:spPr>
          <c:marker>
            <c:symbol val="none"/>
          </c:marker>
          <c:cat>
            <c:strRef>
              <c:f>'Chart 2c DATA'!$A$3:$A$32</c:f>
              <c:strCache>
                <c:ptCount val="30"/>
                <c:pt idx="0">
                  <c:v>Scotland</c:v>
                </c:pt>
                <c:pt idx="1">
                  <c:v>Western Isles</c:v>
                </c:pt>
                <c:pt idx="2">
                  <c:v>Borders</c:v>
                </c:pt>
                <c:pt idx="3">
                  <c:v>Wishaw</c:v>
                </c:pt>
                <c:pt idx="4">
                  <c:v>SJH</c:v>
                </c:pt>
                <c:pt idx="5">
                  <c:v>QEUH</c:v>
                </c:pt>
                <c:pt idx="6">
                  <c:v>VHK</c:v>
                </c:pt>
                <c:pt idx="7">
                  <c:v>FVRH</c:v>
                </c:pt>
                <c:pt idx="8">
                  <c:v>Caithness</c:v>
                </c:pt>
                <c:pt idx="9">
                  <c:v>GRI</c:v>
                </c:pt>
                <c:pt idx="10">
                  <c:v>Belford</c:v>
                </c:pt>
                <c:pt idx="11">
                  <c:v>Hairmyres</c:v>
                </c:pt>
                <c:pt idx="12">
                  <c:v>Crosshouse</c:v>
                </c:pt>
                <c:pt idx="13">
                  <c:v>IRH</c:v>
                </c:pt>
                <c:pt idx="14">
                  <c:v>Gilbert Bain</c:v>
                </c:pt>
                <c:pt idx="15">
                  <c:v>ARI</c:v>
                </c:pt>
                <c:pt idx="16">
                  <c:v>WGH</c:v>
                </c:pt>
                <c:pt idx="17">
                  <c:v>Dr Grays</c:v>
                </c:pt>
                <c:pt idx="18">
                  <c:v>PRI</c:v>
                </c:pt>
                <c:pt idx="19">
                  <c:v>RIE</c:v>
                </c:pt>
                <c:pt idx="20">
                  <c:v>GCH</c:v>
                </c:pt>
                <c:pt idx="21">
                  <c:v>DGRI</c:v>
                </c:pt>
                <c:pt idx="22">
                  <c:v>Raigmore</c:v>
                </c:pt>
                <c:pt idx="23">
                  <c:v>RAH</c:v>
                </c:pt>
                <c:pt idx="24">
                  <c:v>Balfour</c:v>
                </c:pt>
                <c:pt idx="25">
                  <c:v>Monklands</c:v>
                </c:pt>
                <c:pt idx="26">
                  <c:v>L&amp;I</c:v>
                </c:pt>
                <c:pt idx="27">
                  <c:v>Ninewells</c:v>
                </c:pt>
                <c:pt idx="28">
                  <c:v>Ayr</c:v>
                </c:pt>
                <c:pt idx="29">
                  <c:v>Uist &amp; Barra</c:v>
                </c:pt>
              </c:strCache>
            </c:strRef>
          </c:cat>
          <c:val>
            <c:numRef>
              <c:f>'Chart 2d DATA'!$D$3:$D$31</c:f>
              <c:numCache>
                <c:formatCode>0</c:formatCode>
                <c:ptCount val="29"/>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pt idx="16">
                  <c:v>95</c:v>
                </c:pt>
                <c:pt idx="17">
                  <c:v>95</c:v>
                </c:pt>
                <c:pt idx="18">
                  <c:v>95</c:v>
                </c:pt>
                <c:pt idx="19">
                  <c:v>95</c:v>
                </c:pt>
                <c:pt idx="20">
                  <c:v>95</c:v>
                </c:pt>
                <c:pt idx="21">
                  <c:v>95</c:v>
                </c:pt>
                <c:pt idx="22">
                  <c:v>95</c:v>
                </c:pt>
                <c:pt idx="23">
                  <c:v>95</c:v>
                </c:pt>
                <c:pt idx="24">
                  <c:v>95</c:v>
                </c:pt>
                <c:pt idx="25">
                  <c:v>95</c:v>
                </c:pt>
                <c:pt idx="26">
                  <c:v>95</c:v>
                </c:pt>
                <c:pt idx="27">
                  <c:v>95</c:v>
                </c:pt>
                <c:pt idx="28">
                  <c:v>95</c:v>
                </c:pt>
              </c:numCache>
            </c:numRef>
          </c:val>
        </c:ser>
        <c:marker val="1"/>
        <c:axId val="77243136"/>
        <c:axId val="77244672"/>
      </c:lineChart>
      <c:catAx>
        <c:axId val="77243136"/>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7244672"/>
        <c:crosses val="autoZero"/>
        <c:auto val="1"/>
        <c:lblAlgn val="ctr"/>
        <c:lblOffset val="100"/>
      </c:catAx>
      <c:valAx>
        <c:axId val="77244672"/>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243136"/>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1346E-2"/>
          <c:y val="8.0232093304875005E-2"/>
          <c:w val="0.81007028782419765"/>
          <c:h val="0.72370482152729065"/>
        </c:manualLayout>
      </c:layout>
      <c:barChart>
        <c:barDir val="col"/>
        <c:grouping val="stacked"/>
        <c:ser>
          <c:idx val="0"/>
          <c:order val="1"/>
          <c:tx>
            <c:strRef>
              <c:f>'Chart 3 (2016) DATA'!$D$2</c:f>
              <c:strCache>
                <c:ptCount val="1"/>
                <c:pt idx="0">
                  <c:v>Within 4 hours</c:v>
                </c:pt>
              </c:strCache>
            </c:strRef>
          </c:tx>
          <c:spPr>
            <a:solidFill>
              <a:srgbClr val="9999FF"/>
            </a:solidFill>
            <a:ln>
              <a:solidFill>
                <a:schemeClr val="tx1"/>
              </a:solidFill>
            </a:ln>
          </c:spPr>
          <c:dPt>
            <c:idx val="0"/>
            <c:spPr>
              <a:solidFill>
                <a:srgbClr val="008000"/>
              </a:solidFill>
              <a:ln>
                <a:solidFill>
                  <a:schemeClr val="tx1"/>
                </a:solidFill>
              </a:ln>
            </c:spPr>
          </c:dPt>
          <c:cat>
            <c:strRef>
              <c:f>'Chart 3 (2016) DATA'!$A$3:$A$31</c:f>
              <c:strCache>
                <c:ptCount val="29"/>
                <c:pt idx="0">
                  <c:v>Scotland</c:v>
                </c:pt>
                <c:pt idx="1">
                  <c:v>Borders</c:v>
                </c:pt>
                <c:pt idx="2">
                  <c:v>Caithness</c:v>
                </c:pt>
                <c:pt idx="3">
                  <c:v>Western Isles</c:v>
                </c:pt>
                <c:pt idx="4">
                  <c:v>L&amp;I</c:v>
                </c:pt>
                <c:pt idx="5">
                  <c:v>Crosshouse</c:v>
                </c:pt>
                <c:pt idx="6">
                  <c:v>Belford</c:v>
                </c:pt>
                <c:pt idx="7">
                  <c:v>Raigmore</c:v>
                </c:pt>
                <c:pt idx="8">
                  <c:v>VHK</c:v>
                </c:pt>
                <c:pt idx="9">
                  <c:v>DGRI</c:v>
                </c:pt>
                <c:pt idx="10">
                  <c:v>Monklands</c:v>
                </c:pt>
                <c:pt idx="11">
                  <c:v>Wishaw</c:v>
                </c:pt>
                <c:pt idx="12">
                  <c:v>GRI</c:v>
                </c:pt>
                <c:pt idx="13">
                  <c:v>Gilbert Bain</c:v>
                </c:pt>
                <c:pt idx="14">
                  <c:v>FVRH</c:v>
                </c:pt>
                <c:pt idx="15">
                  <c:v>Ninewells</c:v>
                </c:pt>
                <c:pt idx="16">
                  <c:v>Dr Grays</c:v>
                </c:pt>
                <c:pt idx="17">
                  <c:v>RIE</c:v>
                </c:pt>
                <c:pt idx="18">
                  <c:v>WGH</c:v>
                </c:pt>
                <c:pt idx="19">
                  <c:v>PRI</c:v>
                </c:pt>
                <c:pt idx="20">
                  <c:v>RAH</c:v>
                </c:pt>
                <c:pt idx="21">
                  <c:v>Hairmyres</c:v>
                </c:pt>
                <c:pt idx="22">
                  <c:v>QEUH</c:v>
                </c:pt>
                <c:pt idx="23">
                  <c:v>ARI</c:v>
                </c:pt>
                <c:pt idx="24">
                  <c:v>IRH</c:v>
                </c:pt>
                <c:pt idx="25">
                  <c:v>SJH</c:v>
                </c:pt>
                <c:pt idx="26">
                  <c:v>GCH</c:v>
                </c:pt>
                <c:pt idx="27">
                  <c:v>Balfour</c:v>
                </c:pt>
                <c:pt idx="28">
                  <c:v>Ayr</c:v>
                </c:pt>
              </c:strCache>
            </c:strRef>
          </c:cat>
          <c:val>
            <c:numRef>
              <c:f>'Chart 3 (2016) DATA'!$D$3:$D$31</c:f>
              <c:numCache>
                <c:formatCode>0</c:formatCode>
                <c:ptCount val="29"/>
                <c:pt idx="0">
                  <c:v>71.890122402504986</c:v>
                </c:pt>
                <c:pt idx="1">
                  <c:v>84.472049689440993</c:v>
                </c:pt>
                <c:pt idx="2">
                  <c:v>88.888888888888886</c:v>
                </c:pt>
                <c:pt idx="3">
                  <c:v>52.173913043478258</c:v>
                </c:pt>
                <c:pt idx="4">
                  <c:v>87.2340425531915</c:v>
                </c:pt>
                <c:pt idx="5">
                  <c:v>82.78145695364239</c:v>
                </c:pt>
                <c:pt idx="6">
                  <c:v>65.384615384615387</c:v>
                </c:pt>
                <c:pt idx="7">
                  <c:v>81.512605042016801</c:v>
                </c:pt>
                <c:pt idx="8">
                  <c:v>83.232323232323239</c:v>
                </c:pt>
                <c:pt idx="9">
                  <c:v>68.387096774193552</c:v>
                </c:pt>
                <c:pt idx="10">
                  <c:v>63.348416289592755</c:v>
                </c:pt>
                <c:pt idx="11">
                  <c:v>58.634538152610439</c:v>
                </c:pt>
                <c:pt idx="12">
                  <c:v>59.660297239915074</c:v>
                </c:pt>
                <c:pt idx="13">
                  <c:v>53.333333333333336</c:v>
                </c:pt>
                <c:pt idx="14">
                  <c:v>75.81047381546135</c:v>
                </c:pt>
                <c:pt idx="15">
                  <c:v>76.470588235294116</c:v>
                </c:pt>
                <c:pt idx="16">
                  <c:v>80.952380952380949</c:v>
                </c:pt>
                <c:pt idx="17">
                  <c:v>73.955431754874652</c:v>
                </c:pt>
                <c:pt idx="18">
                  <c:v>75.977653631284909</c:v>
                </c:pt>
                <c:pt idx="19">
                  <c:v>70.285714285714278</c:v>
                </c:pt>
                <c:pt idx="20">
                  <c:v>71.071428571428569</c:v>
                </c:pt>
                <c:pt idx="21">
                  <c:v>73.443983402489636</c:v>
                </c:pt>
                <c:pt idx="22">
                  <c:v>61.477272727272727</c:v>
                </c:pt>
                <c:pt idx="23">
                  <c:v>72.821576763485467</c:v>
                </c:pt>
                <c:pt idx="24">
                  <c:v>69.655172413793096</c:v>
                </c:pt>
                <c:pt idx="25">
                  <c:v>72.277227722772281</c:v>
                </c:pt>
                <c:pt idx="26">
                  <c:v>50</c:v>
                </c:pt>
                <c:pt idx="27">
                  <c:v>61.53846153846154</c:v>
                </c:pt>
                <c:pt idx="28">
                  <c:v>3.7037037037037033</c:v>
                </c:pt>
              </c:numCache>
            </c:numRef>
          </c:val>
        </c:ser>
        <c:ser>
          <c:idx val="2"/>
          <c:order val="2"/>
          <c:tx>
            <c:strRef>
              <c:f>'Chart 3 (2016) DATA'!$E$2</c:f>
              <c:strCache>
                <c:ptCount val="1"/>
                <c:pt idx="0">
                  <c:v>Within 12 hours</c:v>
                </c:pt>
              </c:strCache>
            </c:strRef>
          </c:tx>
          <c:spPr>
            <a:solidFill>
              <a:srgbClr val="993366"/>
            </a:solidFill>
            <a:ln>
              <a:solidFill>
                <a:schemeClr val="tx1"/>
              </a:solidFill>
            </a:ln>
          </c:spPr>
          <c:dPt>
            <c:idx val="0"/>
            <c:spPr>
              <a:solidFill>
                <a:srgbClr val="FF0000"/>
              </a:solidFill>
              <a:ln>
                <a:solidFill>
                  <a:schemeClr val="tx1"/>
                </a:solidFill>
              </a:ln>
            </c:spPr>
          </c:dPt>
          <c:val>
            <c:numRef>
              <c:f>'Chart 3 (2016) DATA'!$I$3:$I$31</c:f>
              <c:numCache>
                <c:formatCode>0</c:formatCode>
                <c:ptCount val="29"/>
                <c:pt idx="0">
                  <c:v>14.318246512951887</c:v>
                </c:pt>
                <c:pt idx="1">
                  <c:v>10.559006211180133</c:v>
                </c:pt>
                <c:pt idx="2">
                  <c:v>6.6666666666666714</c:v>
                </c:pt>
                <c:pt idx="3">
                  <c:v>39.130434782608695</c:v>
                </c:pt>
                <c:pt idx="4">
                  <c:v>8.5106382978723332</c:v>
                </c:pt>
                <c:pt idx="5">
                  <c:v>10.430463576158942</c:v>
                </c:pt>
                <c:pt idx="6">
                  <c:v>15.384615384615387</c:v>
                </c:pt>
                <c:pt idx="7">
                  <c:v>10.924369747899163</c:v>
                </c:pt>
                <c:pt idx="8">
                  <c:v>9.4949494949494806</c:v>
                </c:pt>
                <c:pt idx="9">
                  <c:v>15.483870967741936</c:v>
                </c:pt>
                <c:pt idx="10">
                  <c:v>24.886877828054303</c:v>
                </c:pt>
                <c:pt idx="11">
                  <c:v>25.702811244979934</c:v>
                </c:pt>
                <c:pt idx="12">
                  <c:v>29.723991507431002</c:v>
                </c:pt>
                <c:pt idx="13">
                  <c:v>9.9999999999999929</c:v>
                </c:pt>
                <c:pt idx="14">
                  <c:v>8.7281795511221816</c:v>
                </c:pt>
                <c:pt idx="15">
                  <c:v>10.695187165775408</c:v>
                </c:pt>
                <c:pt idx="16">
                  <c:v>7.6190476190476204</c:v>
                </c:pt>
                <c:pt idx="17">
                  <c:v>12.952646239554312</c:v>
                </c:pt>
                <c:pt idx="18">
                  <c:v>7.8212290502793422</c:v>
                </c:pt>
                <c:pt idx="19">
                  <c:v>13.714285714285722</c:v>
                </c:pt>
                <c:pt idx="20">
                  <c:v>13.928571428571431</c:v>
                </c:pt>
                <c:pt idx="21">
                  <c:v>11.203319502074677</c:v>
                </c:pt>
                <c:pt idx="22">
                  <c:v>20.909090909090914</c:v>
                </c:pt>
                <c:pt idx="23">
                  <c:v>8.9211618257261449</c:v>
                </c:pt>
                <c:pt idx="24">
                  <c:v>11.034482758620697</c:v>
                </c:pt>
                <c:pt idx="25">
                  <c:v>5.9405940594059388</c:v>
                </c:pt>
                <c:pt idx="26">
                  <c:v>15.384615384615387</c:v>
                </c:pt>
                <c:pt idx="27">
                  <c:v>11.538461538461526</c:v>
                </c:pt>
                <c:pt idx="28">
                  <c:v>18.518518518518519</c:v>
                </c:pt>
              </c:numCache>
            </c:numRef>
          </c:val>
        </c:ser>
        <c:ser>
          <c:idx val="1"/>
          <c:order val="3"/>
          <c:tx>
            <c:strRef>
              <c:f>'Chart 3 (2016) DATA'!$M$2</c:f>
              <c:strCache>
                <c:ptCount val="1"/>
                <c:pt idx="0">
                  <c:v>Within 24 hours</c:v>
                </c:pt>
              </c:strCache>
            </c:strRef>
          </c:tx>
          <c:spPr>
            <a:solidFill>
              <a:srgbClr val="FFFFCC"/>
            </a:solidFill>
            <a:ln>
              <a:solidFill>
                <a:prstClr val="black"/>
              </a:solidFill>
            </a:ln>
          </c:spPr>
          <c:dPt>
            <c:idx val="0"/>
            <c:spPr>
              <a:solidFill>
                <a:srgbClr val="99CC00"/>
              </a:solidFill>
              <a:ln>
                <a:solidFill>
                  <a:prstClr val="black"/>
                </a:solidFill>
              </a:ln>
            </c:spPr>
          </c:dPt>
          <c:cat>
            <c:strRef>
              <c:f>'Chart 3 (2016) DATA'!$A$3:$A$31</c:f>
              <c:strCache>
                <c:ptCount val="29"/>
                <c:pt idx="0">
                  <c:v>Scotland</c:v>
                </c:pt>
                <c:pt idx="1">
                  <c:v>Borders</c:v>
                </c:pt>
                <c:pt idx="2">
                  <c:v>Caithness</c:v>
                </c:pt>
                <c:pt idx="3">
                  <c:v>Western Isles</c:v>
                </c:pt>
                <c:pt idx="4">
                  <c:v>L&amp;I</c:v>
                </c:pt>
                <c:pt idx="5">
                  <c:v>Crosshouse</c:v>
                </c:pt>
                <c:pt idx="6">
                  <c:v>Belford</c:v>
                </c:pt>
                <c:pt idx="7">
                  <c:v>Raigmore</c:v>
                </c:pt>
                <c:pt idx="8">
                  <c:v>VHK</c:v>
                </c:pt>
                <c:pt idx="9">
                  <c:v>DGRI</c:v>
                </c:pt>
                <c:pt idx="10">
                  <c:v>Monklands</c:v>
                </c:pt>
                <c:pt idx="11">
                  <c:v>Wishaw</c:v>
                </c:pt>
                <c:pt idx="12">
                  <c:v>GRI</c:v>
                </c:pt>
                <c:pt idx="13">
                  <c:v>Gilbert Bain</c:v>
                </c:pt>
                <c:pt idx="14">
                  <c:v>FVRH</c:v>
                </c:pt>
                <c:pt idx="15">
                  <c:v>Ninewells</c:v>
                </c:pt>
                <c:pt idx="16">
                  <c:v>Dr Grays</c:v>
                </c:pt>
                <c:pt idx="17">
                  <c:v>RIE</c:v>
                </c:pt>
                <c:pt idx="18">
                  <c:v>WGH</c:v>
                </c:pt>
                <c:pt idx="19">
                  <c:v>PRI</c:v>
                </c:pt>
                <c:pt idx="20">
                  <c:v>RAH</c:v>
                </c:pt>
                <c:pt idx="21">
                  <c:v>Hairmyres</c:v>
                </c:pt>
                <c:pt idx="22">
                  <c:v>QEUH</c:v>
                </c:pt>
                <c:pt idx="23">
                  <c:v>ARI</c:v>
                </c:pt>
                <c:pt idx="24">
                  <c:v>IRH</c:v>
                </c:pt>
                <c:pt idx="25">
                  <c:v>SJH</c:v>
                </c:pt>
                <c:pt idx="26">
                  <c:v>GCH</c:v>
                </c:pt>
                <c:pt idx="27">
                  <c:v>Balfour</c:v>
                </c:pt>
                <c:pt idx="28">
                  <c:v>Ayr</c:v>
                </c:pt>
              </c:strCache>
            </c:strRef>
          </c:cat>
          <c:val>
            <c:numRef>
              <c:f>'Chart 3 (2016) DATA'!$L$3:$L$31</c:f>
              <c:numCache>
                <c:formatCode>0</c:formatCode>
                <c:ptCount val="29"/>
                <c:pt idx="0">
                  <c:v>5.4511813265015689</c:v>
                </c:pt>
                <c:pt idx="1">
                  <c:v>4.9689440993788736</c:v>
                </c:pt>
                <c:pt idx="2">
                  <c:v>4.4444444444444429</c:v>
                </c:pt>
                <c:pt idx="3">
                  <c:v>8.6956521739130466</c:v>
                </c:pt>
                <c:pt idx="4">
                  <c:v>2.1276595744680833</c:v>
                </c:pt>
                <c:pt idx="5">
                  <c:v>3.3112582781456865</c:v>
                </c:pt>
                <c:pt idx="6">
                  <c:v>15.384615384615387</c:v>
                </c:pt>
                <c:pt idx="7">
                  <c:v>3.3613445378151283</c:v>
                </c:pt>
                <c:pt idx="8">
                  <c:v>2.8282828282828376</c:v>
                </c:pt>
                <c:pt idx="9">
                  <c:v>10.967741935483872</c:v>
                </c:pt>
                <c:pt idx="10">
                  <c:v>6.3348416289592677</c:v>
                </c:pt>
                <c:pt idx="11">
                  <c:v>9.6385542168674618</c:v>
                </c:pt>
                <c:pt idx="12">
                  <c:v>4.033970276008489</c:v>
                </c:pt>
                <c:pt idx="13">
                  <c:v>30</c:v>
                </c:pt>
                <c:pt idx="14">
                  <c:v>7.9800498753117353</c:v>
                </c:pt>
                <c:pt idx="15">
                  <c:v>5.347593582887697</c:v>
                </c:pt>
                <c:pt idx="16">
                  <c:v>2.8571428571428612</c:v>
                </c:pt>
                <c:pt idx="17">
                  <c:v>3.7604456824512482</c:v>
                </c:pt>
                <c:pt idx="18">
                  <c:v>6.7039106145251424</c:v>
                </c:pt>
                <c:pt idx="19">
                  <c:v>6.2857142857142776</c:v>
                </c:pt>
                <c:pt idx="20">
                  <c:v>5</c:v>
                </c:pt>
                <c:pt idx="21">
                  <c:v>4.9792531120332058</c:v>
                </c:pt>
                <c:pt idx="22">
                  <c:v>5.4545454545454533</c:v>
                </c:pt>
                <c:pt idx="23">
                  <c:v>5.6016597510373458</c:v>
                </c:pt>
                <c:pt idx="24">
                  <c:v>6.2068965517241281</c:v>
                </c:pt>
                <c:pt idx="25">
                  <c:v>8.4158415841584144</c:v>
                </c:pt>
                <c:pt idx="26">
                  <c:v>19.230769230769226</c:v>
                </c:pt>
                <c:pt idx="27">
                  <c:v>7.6923076923077076</c:v>
                </c:pt>
                <c:pt idx="28">
                  <c:v>7.4074074074074048</c:v>
                </c:pt>
              </c:numCache>
            </c:numRef>
          </c:val>
        </c:ser>
        <c:overlap val="100"/>
        <c:axId val="81120256"/>
        <c:axId val="81126144"/>
      </c:barChart>
      <c:lineChart>
        <c:grouping val="standard"/>
        <c:ser>
          <c:idx val="3"/>
          <c:order val="0"/>
          <c:tx>
            <c:strRef>
              <c:f>'Chart 3 (2016) DATA'!$N$2</c:f>
              <c:strCache>
                <c:ptCount val="1"/>
                <c:pt idx="0">
                  <c:v>Stroke Standard (2016)</c:v>
                </c:pt>
              </c:strCache>
            </c:strRef>
          </c:tx>
          <c:spPr>
            <a:ln>
              <a:solidFill>
                <a:srgbClr val="0070C0"/>
              </a:solidFill>
            </a:ln>
          </c:spPr>
          <c:marker>
            <c:symbol val="none"/>
          </c:marker>
          <c:cat>
            <c:strRef>
              <c:f>'Chart 3 (2016) DATA'!$A$3:$A$30</c:f>
              <c:strCache>
                <c:ptCount val="28"/>
                <c:pt idx="0">
                  <c:v>Scotland</c:v>
                </c:pt>
                <c:pt idx="1">
                  <c:v>Borders</c:v>
                </c:pt>
                <c:pt idx="2">
                  <c:v>Caithness</c:v>
                </c:pt>
                <c:pt idx="3">
                  <c:v>Western Isles</c:v>
                </c:pt>
                <c:pt idx="4">
                  <c:v>L&amp;I</c:v>
                </c:pt>
                <c:pt idx="5">
                  <c:v>Crosshouse</c:v>
                </c:pt>
                <c:pt idx="6">
                  <c:v>Belford</c:v>
                </c:pt>
                <c:pt idx="7">
                  <c:v>Raigmore</c:v>
                </c:pt>
                <c:pt idx="8">
                  <c:v>VHK</c:v>
                </c:pt>
                <c:pt idx="9">
                  <c:v>DGRI</c:v>
                </c:pt>
                <c:pt idx="10">
                  <c:v>Monklands</c:v>
                </c:pt>
                <c:pt idx="11">
                  <c:v>Wishaw</c:v>
                </c:pt>
                <c:pt idx="12">
                  <c:v>GRI</c:v>
                </c:pt>
                <c:pt idx="13">
                  <c:v>Gilbert Bain</c:v>
                </c:pt>
                <c:pt idx="14">
                  <c:v>FVRH</c:v>
                </c:pt>
                <c:pt idx="15">
                  <c:v>Ninewells</c:v>
                </c:pt>
                <c:pt idx="16">
                  <c:v>Dr Grays</c:v>
                </c:pt>
                <c:pt idx="17">
                  <c:v>RIE</c:v>
                </c:pt>
                <c:pt idx="18">
                  <c:v>WGH</c:v>
                </c:pt>
                <c:pt idx="19">
                  <c:v>PRI</c:v>
                </c:pt>
                <c:pt idx="20">
                  <c:v>RAH</c:v>
                </c:pt>
                <c:pt idx="21">
                  <c:v>Hairmyres</c:v>
                </c:pt>
                <c:pt idx="22">
                  <c:v>QEUH</c:v>
                </c:pt>
                <c:pt idx="23">
                  <c:v>ARI</c:v>
                </c:pt>
                <c:pt idx="24">
                  <c:v>IRH</c:v>
                </c:pt>
                <c:pt idx="25">
                  <c:v>SJH</c:v>
                </c:pt>
                <c:pt idx="26">
                  <c:v>GCH</c:v>
                </c:pt>
                <c:pt idx="27">
                  <c:v>Balfour</c:v>
                </c:pt>
              </c:strCache>
            </c:strRef>
          </c:cat>
          <c:val>
            <c:numRef>
              <c:f>'Chart 3 (2016) DATA'!$N$3:$N$31</c:f>
              <c:numCache>
                <c:formatCode>General</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er>
        <c:marker val="1"/>
        <c:axId val="81120256"/>
        <c:axId val="81126144"/>
      </c:lineChart>
      <c:catAx>
        <c:axId val="81120256"/>
        <c:scaling>
          <c:orientation val="minMax"/>
        </c:scaling>
        <c:axPos val="b"/>
        <c:tickLblPos val="nextTo"/>
        <c:txPr>
          <a:bodyPr rot="-5400000" vert="horz"/>
          <a:lstStyle/>
          <a:p>
            <a:pPr>
              <a:defRPr sz="800"/>
            </a:pPr>
            <a:endParaRPr lang="en-US"/>
          </a:p>
        </c:txPr>
        <c:crossAx val="81126144"/>
        <c:crosses val="autoZero"/>
        <c:auto val="1"/>
        <c:lblAlgn val="ctr"/>
        <c:lblOffset val="100"/>
      </c:catAx>
      <c:valAx>
        <c:axId val="81126144"/>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81120256"/>
        <c:crosses val="autoZero"/>
        <c:crossBetween val="between"/>
      </c:valAx>
      <c:spPr>
        <a:ln>
          <a:solidFill>
            <a:schemeClr val="tx1"/>
          </a:solidFill>
        </a:ln>
      </c:spPr>
    </c:plotArea>
    <c:legend>
      <c:legendPos val="r"/>
      <c:layout>
        <c:manualLayout>
          <c:xMode val="edge"/>
          <c:yMode val="edge"/>
          <c:x val="0.87692658818985414"/>
          <c:y val="0.32533538570836712"/>
          <c:w val="0.11564123046492122"/>
          <c:h val="0.1377625165275394"/>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877" l="0.70000000000000062" r="0.70000000000000062" t="0.75000000000000877"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2.emf"/></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8</xdr:col>
      <xdr:colOff>0</xdr:colOff>
      <xdr:row>34</xdr:row>
      <xdr:rowOff>152400</xdr:rowOff>
    </xdr:from>
    <xdr:to>
      <xdr:col>8</xdr:col>
      <xdr:colOff>0</xdr:colOff>
      <xdr:row>34</xdr:row>
      <xdr:rowOff>152400</xdr:rowOff>
    </xdr:to>
    <xdr:sp macro="" textlink="">
      <xdr:nvSpPr>
        <xdr:cNvPr id="2" name="Line 1"/>
        <xdr:cNvSpPr>
          <a:spLocks noChangeShapeType="1"/>
        </xdr:cNvSpPr>
      </xdr:nvSpPr>
      <xdr:spPr bwMode="auto">
        <a:xfrm flipH="1">
          <a:off x="6686550" y="210978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35</xdr:row>
      <xdr:rowOff>0</xdr:rowOff>
    </xdr:from>
    <xdr:to>
      <xdr:col>8</xdr:col>
      <xdr:colOff>0</xdr:colOff>
      <xdr:row>35</xdr:row>
      <xdr:rowOff>0</xdr:rowOff>
    </xdr:to>
    <xdr:sp macro="" textlink="">
      <xdr:nvSpPr>
        <xdr:cNvPr id="3" name="Line 2"/>
        <xdr:cNvSpPr>
          <a:spLocks noChangeShapeType="1"/>
        </xdr:cNvSpPr>
      </xdr:nvSpPr>
      <xdr:spPr bwMode="auto">
        <a:xfrm flipH="1">
          <a:off x="6686550" y="211074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34</xdr:row>
      <xdr:rowOff>152400</xdr:rowOff>
    </xdr:from>
    <xdr:to>
      <xdr:col>8</xdr:col>
      <xdr:colOff>0</xdr:colOff>
      <xdr:row>34</xdr:row>
      <xdr:rowOff>152400</xdr:rowOff>
    </xdr:to>
    <xdr:sp macro="" textlink="">
      <xdr:nvSpPr>
        <xdr:cNvPr id="4" name="Line 1"/>
        <xdr:cNvSpPr>
          <a:spLocks noChangeShapeType="1"/>
        </xdr:cNvSpPr>
      </xdr:nvSpPr>
      <xdr:spPr bwMode="auto">
        <a:xfrm flipH="1">
          <a:off x="6686550" y="210978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35</xdr:row>
      <xdr:rowOff>0</xdr:rowOff>
    </xdr:from>
    <xdr:to>
      <xdr:col>8</xdr:col>
      <xdr:colOff>0</xdr:colOff>
      <xdr:row>35</xdr:row>
      <xdr:rowOff>0</xdr:rowOff>
    </xdr:to>
    <xdr:sp macro="" textlink="">
      <xdr:nvSpPr>
        <xdr:cNvPr id="5" name="Line 2"/>
        <xdr:cNvSpPr>
          <a:spLocks noChangeShapeType="1"/>
        </xdr:cNvSpPr>
      </xdr:nvSpPr>
      <xdr:spPr bwMode="auto">
        <a:xfrm flipH="1">
          <a:off x="6686550" y="21107400"/>
          <a:ext cx="0" cy="0"/>
        </a:xfrm>
        <a:prstGeom prst="line">
          <a:avLst/>
        </a:prstGeom>
        <a:noFill/>
        <a:ln w="9525">
          <a:solidFill>
            <a:srgbClr val="000000"/>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28575</xdr:colOff>
      <xdr:row>16</xdr:row>
      <xdr:rowOff>95250</xdr:rowOff>
    </xdr:from>
    <xdr:to>
      <xdr:col>14</xdr:col>
      <xdr:colOff>561975</xdr:colOff>
      <xdr:row>16</xdr:row>
      <xdr:rowOff>95250</xdr:rowOff>
    </xdr:to>
    <xdr:cxnSp macro="">
      <xdr:nvCxnSpPr>
        <xdr:cNvPr id="3" name="Straight Connector 2"/>
        <xdr:cNvCxnSpPr/>
      </xdr:nvCxnSpPr>
      <xdr:spPr>
        <a:xfrm>
          <a:off x="8067675" y="2828925"/>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xdr:row>
      <xdr:rowOff>0</xdr:rowOff>
    </xdr:from>
    <xdr:to>
      <xdr:col>13</xdr:col>
      <xdr:colOff>561975</xdr:colOff>
      <xdr:row>28</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209550</xdr:colOff>
      <xdr:row>32</xdr:row>
      <xdr:rowOff>104775</xdr:rowOff>
    </xdr:from>
    <xdr:to>
      <xdr:col>2</xdr:col>
      <xdr:colOff>361950</xdr:colOff>
      <xdr:row>34</xdr:row>
      <xdr:rowOff>123825</xdr:rowOff>
    </xdr:to>
    <xdr:sp macro="" textlink="">
      <xdr:nvSpPr>
        <xdr:cNvPr id="2" name="Up Arrow 1"/>
        <xdr:cNvSpPr/>
      </xdr:nvSpPr>
      <xdr:spPr>
        <a:xfrm>
          <a:off x="1866900" y="5162550"/>
          <a:ext cx="152400" cy="3048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28575</xdr:colOff>
      <xdr:row>16</xdr:row>
      <xdr:rowOff>95250</xdr:rowOff>
    </xdr:from>
    <xdr:to>
      <xdr:col>14</xdr:col>
      <xdr:colOff>561975</xdr:colOff>
      <xdr:row>16</xdr:row>
      <xdr:rowOff>95250</xdr:rowOff>
    </xdr:to>
    <xdr:cxnSp macro="">
      <xdr:nvCxnSpPr>
        <xdr:cNvPr id="3" name="Straight Connector 2"/>
        <xdr:cNvCxnSpPr/>
      </xdr:nvCxnSpPr>
      <xdr:spPr>
        <a:xfrm>
          <a:off x="8067675" y="2800350"/>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xdr:row>
      <xdr:rowOff>0</xdr:rowOff>
    </xdr:from>
    <xdr:to>
      <xdr:col>13</xdr:col>
      <xdr:colOff>561975</xdr:colOff>
      <xdr:row>29</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28575</xdr:colOff>
      <xdr:row>16</xdr:row>
      <xdr:rowOff>95250</xdr:rowOff>
    </xdr:from>
    <xdr:to>
      <xdr:col>14</xdr:col>
      <xdr:colOff>561975</xdr:colOff>
      <xdr:row>16</xdr:row>
      <xdr:rowOff>95250</xdr:rowOff>
    </xdr:to>
    <xdr:cxnSp macro="">
      <xdr:nvCxnSpPr>
        <xdr:cNvPr id="3" name="Straight Connector 2"/>
        <xdr:cNvCxnSpPr/>
      </xdr:nvCxnSpPr>
      <xdr:spPr>
        <a:xfrm>
          <a:off x="8067675" y="2800350"/>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xdr:row>
      <xdr:rowOff>0</xdr:rowOff>
    </xdr:from>
    <xdr:to>
      <xdr:col>13</xdr:col>
      <xdr:colOff>561975</xdr:colOff>
      <xdr:row>29</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8</xdr:row>
      <xdr:rowOff>1</xdr:rowOff>
    </xdr:from>
    <xdr:to>
      <xdr:col>15</xdr:col>
      <xdr:colOff>9525</xdr:colOff>
      <xdr:row>39</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4</xdr:row>
      <xdr:rowOff>28575</xdr:rowOff>
    </xdr:from>
    <xdr:to>
      <xdr:col>1</xdr:col>
      <xdr:colOff>190500</xdr:colOff>
      <xdr:row>4</xdr:row>
      <xdr:rowOff>152400</xdr:rowOff>
    </xdr:to>
    <xdr:sp macro="" textlink="">
      <xdr:nvSpPr>
        <xdr:cNvPr id="3" name="Rectangle 2"/>
        <xdr:cNvSpPr/>
      </xdr:nvSpPr>
      <xdr:spPr>
        <a:xfrm>
          <a:off x="200025" y="5143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19050</xdr:colOff>
      <xdr:row>5</xdr:row>
      <xdr:rowOff>19050</xdr:rowOff>
    </xdr:from>
    <xdr:to>
      <xdr:col>1</xdr:col>
      <xdr:colOff>190500</xdr:colOff>
      <xdr:row>5</xdr:row>
      <xdr:rowOff>142875</xdr:rowOff>
    </xdr:to>
    <xdr:sp macro="" textlink="">
      <xdr:nvSpPr>
        <xdr:cNvPr id="4" name="Rectangle 3"/>
        <xdr:cNvSpPr/>
      </xdr:nvSpPr>
      <xdr:spPr>
        <a:xfrm>
          <a:off x="200025" y="6667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19050</xdr:colOff>
      <xdr:row>6</xdr:row>
      <xdr:rowOff>9525</xdr:rowOff>
    </xdr:from>
    <xdr:to>
      <xdr:col>1</xdr:col>
      <xdr:colOff>190500</xdr:colOff>
      <xdr:row>6</xdr:row>
      <xdr:rowOff>133350</xdr:rowOff>
    </xdr:to>
    <xdr:sp macro="" textlink="">
      <xdr:nvSpPr>
        <xdr:cNvPr id="5" name="Rectangle 4"/>
        <xdr:cNvSpPr/>
      </xdr:nvSpPr>
      <xdr:spPr>
        <a:xfrm>
          <a:off x="200025" y="8191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xdr:row>
      <xdr:rowOff>28575</xdr:rowOff>
    </xdr:from>
    <xdr:to>
      <xdr:col>1</xdr:col>
      <xdr:colOff>190500</xdr:colOff>
      <xdr:row>3</xdr:row>
      <xdr:rowOff>152400</xdr:rowOff>
    </xdr:to>
    <xdr:sp macro="" textlink="">
      <xdr:nvSpPr>
        <xdr:cNvPr id="3" name="Rectangle 2"/>
        <xdr:cNvSpPr/>
      </xdr:nvSpPr>
      <xdr:spPr>
        <a:xfrm>
          <a:off x="200025" y="5143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19050</xdr:colOff>
      <xdr:row>4</xdr:row>
      <xdr:rowOff>9525</xdr:rowOff>
    </xdr:from>
    <xdr:to>
      <xdr:col>1</xdr:col>
      <xdr:colOff>190500</xdr:colOff>
      <xdr:row>4</xdr:row>
      <xdr:rowOff>133350</xdr:rowOff>
    </xdr:to>
    <xdr:sp macro="" textlink="">
      <xdr:nvSpPr>
        <xdr:cNvPr id="4" name="Rectangle 3"/>
        <xdr:cNvSpPr/>
      </xdr:nvSpPr>
      <xdr:spPr>
        <a:xfrm>
          <a:off x="200025" y="6572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xdr:row>
      <xdr:rowOff>28575</xdr:rowOff>
    </xdr:from>
    <xdr:to>
      <xdr:col>1</xdr:col>
      <xdr:colOff>190500</xdr:colOff>
      <xdr:row>3</xdr:row>
      <xdr:rowOff>152400</xdr:rowOff>
    </xdr:to>
    <xdr:sp macro="" textlink="">
      <xdr:nvSpPr>
        <xdr:cNvPr id="3" name="Rectangle 2"/>
        <xdr:cNvSpPr/>
      </xdr:nvSpPr>
      <xdr:spPr>
        <a:xfrm>
          <a:off x="200025" y="5143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19050</xdr:colOff>
      <xdr:row>4</xdr:row>
      <xdr:rowOff>9525</xdr:rowOff>
    </xdr:from>
    <xdr:to>
      <xdr:col>1</xdr:col>
      <xdr:colOff>190500</xdr:colOff>
      <xdr:row>4</xdr:row>
      <xdr:rowOff>133350</xdr:rowOff>
    </xdr:to>
    <xdr:sp macro="" textlink="">
      <xdr:nvSpPr>
        <xdr:cNvPr id="4" name="Rectangle 3"/>
        <xdr:cNvSpPr/>
      </xdr:nvSpPr>
      <xdr:spPr>
        <a:xfrm>
          <a:off x="200025" y="6572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28575</xdr:rowOff>
    </xdr:from>
    <xdr:to>
      <xdr:col>1</xdr:col>
      <xdr:colOff>276225</xdr:colOff>
      <xdr:row>3</xdr:row>
      <xdr:rowOff>152400</xdr:rowOff>
    </xdr:to>
    <xdr:sp macro="" textlink="">
      <xdr:nvSpPr>
        <xdr:cNvPr id="3" name="Rectangle 2"/>
        <xdr:cNvSpPr/>
      </xdr:nvSpPr>
      <xdr:spPr>
        <a:xfrm>
          <a:off x="285750" y="6667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171450</xdr:rowOff>
    </xdr:from>
    <xdr:to>
      <xdr:col>1</xdr:col>
      <xdr:colOff>276225</xdr:colOff>
      <xdr:row>5</xdr:row>
      <xdr:rowOff>104775</xdr:rowOff>
    </xdr:to>
    <xdr:sp macro="" textlink="">
      <xdr:nvSpPr>
        <xdr:cNvPr id="4" name="Rectangle 3"/>
        <xdr:cNvSpPr/>
      </xdr:nvSpPr>
      <xdr:spPr>
        <a:xfrm>
          <a:off x="285750" y="10001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85750" y="82867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28575</xdr:rowOff>
    </xdr:from>
    <xdr:to>
      <xdr:col>1</xdr:col>
      <xdr:colOff>276225</xdr:colOff>
      <xdr:row>3</xdr:row>
      <xdr:rowOff>152400</xdr:rowOff>
    </xdr:to>
    <xdr:sp macro="" textlink="">
      <xdr:nvSpPr>
        <xdr:cNvPr id="3" name="Rectangle 2"/>
        <xdr:cNvSpPr/>
      </xdr:nvSpPr>
      <xdr:spPr>
        <a:xfrm>
          <a:off x="285750" y="6667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171450</xdr:rowOff>
    </xdr:from>
    <xdr:to>
      <xdr:col>1</xdr:col>
      <xdr:colOff>276225</xdr:colOff>
      <xdr:row>5</xdr:row>
      <xdr:rowOff>104775</xdr:rowOff>
    </xdr:to>
    <xdr:sp macro="" textlink="">
      <xdr:nvSpPr>
        <xdr:cNvPr id="4" name="Rectangle 3"/>
        <xdr:cNvSpPr/>
      </xdr:nvSpPr>
      <xdr:spPr>
        <a:xfrm>
          <a:off x="285750" y="10001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85750" y="82867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9525</xdr:rowOff>
    </xdr:from>
    <xdr:to>
      <xdr:col>13</xdr:col>
      <xdr:colOff>571500</xdr:colOff>
      <xdr:row>29</xdr:row>
      <xdr:rowOff>28575</xdr:rowOff>
    </xdr:to>
    <xdr:graphicFrame macro="">
      <xdr:nvGraphicFramePr>
        <xdr:cNvPr id="613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13</xdr:col>
      <xdr:colOff>571500</xdr:colOff>
      <xdr:row>29</xdr:row>
      <xdr:rowOff>19050</xdr:rowOff>
    </xdr:to>
    <xdr:graphicFrame macro="">
      <xdr:nvGraphicFramePr>
        <xdr:cNvPr id="613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17</xdr:row>
      <xdr:rowOff>95250</xdr:rowOff>
    </xdr:from>
    <xdr:to>
      <xdr:col>14</xdr:col>
      <xdr:colOff>561975</xdr:colOff>
      <xdr:row>17</xdr:row>
      <xdr:rowOff>95250</xdr:rowOff>
    </xdr:to>
    <xdr:cxnSp macro="">
      <xdr:nvCxnSpPr>
        <xdr:cNvPr id="4" name="Straight Connector 3"/>
        <xdr:cNvCxnSpPr/>
      </xdr:nvCxnSpPr>
      <xdr:spPr>
        <a:xfrm>
          <a:off x="8067675" y="2800350"/>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6</xdr:row>
      <xdr:rowOff>85725</xdr:rowOff>
    </xdr:from>
    <xdr:to>
      <xdr:col>15</xdr:col>
      <xdr:colOff>0</xdr:colOff>
      <xdr:row>34</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66676</xdr:rowOff>
    </xdr:from>
    <xdr:to>
      <xdr:col>15</xdr:col>
      <xdr:colOff>0</xdr:colOff>
      <xdr:row>56</xdr:row>
      <xdr:rowOff>1</xdr:rowOff>
    </xdr:to>
    <xdr:sp macro="" textlink="">
      <xdr:nvSpPr>
        <xdr:cNvPr id="3" name="TextBox 2"/>
        <xdr:cNvSpPr txBox="1">
          <a:spLocks noChangeArrowheads="1"/>
        </xdr:cNvSpPr>
      </xdr:nvSpPr>
      <xdr:spPr bwMode="auto">
        <a:xfrm>
          <a:off x="114300" y="5800726"/>
          <a:ext cx="8534400" cy="3333750"/>
        </a:xfrm>
        <a:prstGeom prst="rect">
          <a:avLst/>
        </a:prstGeom>
        <a:solidFill>
          <a:srgbClr val="FFFFFF"/>
        </a:solidFill>
        <a:ln w="9525">
          <a:solidFill>
            <a:srgbClr val="BCBCBC"/>
          </a:solidFill>
          <a:miter lim="800000"/>
          <a:headEnd/>
          <a:tailEnd/>
        </a:ln>
      </xdr:spPr>
      <xdr:txBody>
        <a:bodyPr vertOverflow="clip" wrap="square" lIns="27432" tIns="22860" rIns="0" bIns="0" anchor="t" upright="1"/>
        <a:lstStyle/>
        <a:p>
          <a:pPr algn="l" rtl="0">
            <a:defRPr sz="1000"/>
          </a:pPr>
          <a:r>
            <a:rPr lang="en-GB" sz="800" b="1" i="0" u="none" strike="noStrike" baseline="0">
              <a:solidFill>
                <a:srgbClr val="000000"/>
              </a:solidFill>
              <a:latin typeface="Arial"/>
              <a:cs typeface="Arial"/>
            </a:rPr>
            <a:t>Notes regarding Chart 1b</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1.  </a:t>
          </a:r>
          <a:r>
            <a:rPr lang="en-GB" sz="800" b="1" i="0" u="none" strike="noStrike" baseline="0">
              <a:solidFill>
                <a:srgbClr val="000000"/>
              </a:solidFill>
              <a:latin typeface="Arial"/>
              <a:cs typeface="Arial"/>
            </a:rPr>
            <a:t>A 'bundle' involves a group of specific interventions/ processes of care that significantly improve patient outcome if done together rather than separately and this also improves the  consistency with which patients are managed</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The Stroke Care Bundle involves four components: admission to a Stroke Unit, swallow screen, brain scan and aspirin. Not all patients are eligible for all four components. An aspirin allergy, for example, would preclude the prescribing of aspirin, so the term 'appropriate' refers to patients receiving the components for which they were eligible. A flow chart in Appendix B of this report describes the different categories of bundle depending on patients' eligibility.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For the specific components, exclusions are as follows: (1) Stroke Unit admission excludes patients with in-hospital strokes, patients transferred in from another acute hospital or patients discharged within 1 day of admission to hospital (2) aspirin excludes patients with valid contraindications to aspirin and also those receiving a 'non-stroke' final diagnosis who are discharged within 1 day of admission to hospital.</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In measuring the proportion of patients receiving an 'appropriate' bundle, patients ineligible for, and therefore not receiving, specific components of the bundle are counted as having received their appropriate bundle provided they received the remaining components for which they were eligible.</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2.  Due to the number of beds within some hospitals in the Health Boards indicated (*) and the small numbers of stroke admissions to these hospitals </a:t>
          </a:r>
          <a:r>
            <a:rPr lang="en-GB" sz="800" b="1" i="0" u="none" strike="noStrike" baseline="0">
              <a:solidFill>
                <a:srgbClr val="000000"/>
              </a:solidFill>
              <a:latin typeface="Arial"/>
              <a:cs typeface="Arial"/>
            </a:rPr>
            <a:t>it is not practical to have a defined Stroke Unit. </a:t>
          </a:r>
          <a:r>
            <a:rPr lang="en-GB" sz="800" b="0" i="0" u="none" strike="noStrike" baseline="0">
              <a:solidFill>
                <a:srgbClr val="000000"/>
              </a:solidFill>
              <a:latin typeface="Arial"/>
              <a:cs typeface="Arial"/>
            </a:rPr>
            <a:t>We have confirmed however that a defined stroke pathway is in place in these hospitals and that the Scottish Stroke Care Standard criteria are established within that pathway.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3. Balfour Hospital, NHS Orkney, implemented a CT scanning service during 2015. Prior to the introduction of this service, patients were airlifted to Aberdeen Royal Infirmary and a proportion may have arrived in sufficient time to have brain imaging within 24 hours of admission.</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4. </a:t>
          </a:r>
          <a:r>
            <a:rPr lang="en-GB" sz="800" b="1" i="0" u="none" strike="noStrike" baseline="0">
              <a:solidFill>
                <a:srgbClr val="000000"/>
              </a:solidFill>
              <a:latin typeface="Arial"/>
              <a:cs typeface="Arial"/>
            </a:rPr>
            <a:t>Uist &amp; Barra Hospital, NHS Western Isles does not have a CT scanner </a:t>
          </a:r>
          <a:r>
            <a:rPr lang="en-GB" sz="800" b="0" i="0" u="none" strike="noStrike" baseline="0">
              <a:solidFill>
                <a:srgbClr val="000000"/>
              </a:solidFill>
              <a:latin typeface="Arial"/>
              <a:cs typeface="Arial"/>
            </a:rPr>
            <a:t>but patients are airlifted to Western Isles Hospital and a proportion may arrive in sufficient time to have brain imaging within 24 hours of admission.</a:t>
          </a:r>
        </a:p>
        <a:p>
          <a:pPr algn="l" rtl="0">
            <a:defRPr sz="1000"/>
          </a:pPr>
          <a:endParaRPr lang="en-GB" sz="800" b="0" i="0" u="none" strike="noStrike" baseline="0">
            <a:solidFill>
              <a:srgbClr val="000000"/>
            </a:solidFill>
            <a:latin typeface="Arial"/>
            <a:cs typeface="Arial"/>
          </a:endParaRPr>
        </a:p>
      </xdr:txBody>
    </xdr:sp>
    <xdr:clientData/>
  </xdr:twoCellAnchor>
  <xdr:twoCellAnchor>
    <xdr:from>
      <xdr:col>1</xdr:col>
      <xdr:colOff>57150</xdr:colOff>
      <xdr:row>4</xdr:row>
      <xdr:rowOff>85725</xdr:rowOff>
    </xdr:from>
    <xdr:to>
      <xdr:col>1</xdr:col>
      <xdr:colOff>228600</xdr:colOff>
      <xdr:row>5</xdr:row>
      <xdr:rowOff>47625</xdr:rowOff>
    </xdr:to>
    <xdr:sp macro="" textlink="">
      <xdr:nvSpPr>
        <xdr:cNvPr id="5" name="Rectangle 4"/>
        <xdr:cNvSpPr/>
      </xdr:nvSpPr>
      <xdr:spPr>
        <a:xfrm>
          <a:off x="171450" y="8001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8</xdr:row>
      <xdr:rowOff>1</xdr:rowOff>
    </xdr:from>
    <xdr:to>
      <xdr:col>15</xdr:col>
      <xdr:colOff>9525</xdr:colOff>
      <xdr:row>39</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0</xdr:rowOff>
    </xdr:from>
    <xdr:to>
      <xdr:col>1</xdr:col>
      <xdr:colOff>276225</xdr:colOff>
      <xdr:row>3</xdr:row>
      <xdr:rowOff>123825</xdr:rowOff>
    </xdr:to>
    <xdr:sp macro="" textlink="">
      <xdr:nvSpPr>
        <xdr:cNvPr id="3" name="Rectangle 2"/>
        <xdr:cNvSpPr/>
      </xdr:nvSpPr>
      <xdr:spPr>
        <a:xfrm>
          <a:off x="285750" y="6381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9525</xdr:rowOff>
    </xdr:from>
    <xdr:to>
      <xdr:col>1</xdr:col>
      <xdr:colOff>276225</xdr:colOff>
      <xdr:row>5</xdr:row>
      <xdr:rowOff>133350</xdr:rowOff>
    </xdr:to>
    <xdr:sp macro="" textlink="">
      <xdr:nvSpPr>
        <xdr:cNvPr id="4" name="Rectangle 3"/>
        <xdr:cNvSpPr/>
      </xdr:nvSpPr>
      <xdr:spPr>
        <a:xfrm>
          <a:off x="285750" y="9715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85750" y="80010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19050</xdr:rowOff>
    </xdr:from>
    <xdr:to>
      <xdr:col>1</xdr:col>
      <xdr:colOff>276225</xdr:colOff>
      <xdr:row>6</xdr:row>
      <xdr:rowOff>142875</xdr:rowOff>
    </xdr:to>
    <xdr:sp macro="" textlink="">
      <xdr:nvSpPr>
        <xdr:cNvPr id="6" name="Rectangle 5"/>
        <xdr:cNvSpPr/>
      </xdr:nvSpPr>
      <xdr:spPr>
        <a:xfrm>
          <a:off x="285750" y="11430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8</xdr:row>
      <xdr:rowOff>1</xdr:rowOff>
    </xdr:from>
    <xdr:to>
      <xdr:col>15</xdr:col>
      <xdr:colOff>9525</xdr:colOff>
      <xdr:row>39</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0</xdr:rowOff>
    </xdr:from>
    <xdr:to>
      <xdr:col>1</xdr:col>
      <xdr:colOff>276225</xdr:colOff>
      <xdr:row>3</xdr:row>
      <xdr:rowOff>123825</xdr:rowOff>
    </xdr:to>
    <xdr:sp macro="" textlink="">
      <xdr:nvSpPr>
        <xdr:cNvPr id="3" name="Rectangle 2"/>
        <xdr:cNvSpPr/>
      </xdr:nvSpPr>
      <xdr:spPr>
        <a:xfrm>
          <a:off x="285750" y="6381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9525</xdr:rowOff>
    </xdr:from>
    <xdr:to>
      <xdr:col>1</xdr:col>
      <xdr:colOff>276225</xdr:colOff>
      <xdr:row>5</xdr:row>
      <xdr:rowOff>133350</xdr:rowOff>
    </xdr:to>
    <xdr:sp macro="" textlink="">
      <xdr:nvSpPr>
        <xdr:cNvPr id="4" name="Rectangle 3"/>
        <xdr:cNvSpPr/>
      </xdr:nvSpPr>
      <xdr:spPr>
        <a:xfrm>
          <a:off x="285750" y="9715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85750" y="80010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19050</xdr:rowOff>
    </xdr:from>
    <xdr:to>
      <xdr:col>1</xdr:col>
      <xdr:colOff>276225</xdr:colOff>
      <xdr:row>6</xdr:row>
      <xdr:rowOff>142875</xdr:rowOff>
    </xdr:to>
    <xdr:sp macro="" textlink="">
      <xdr:nvSpPr>
        <xdr:cNvPr id="6" name="Rectangle 5"/>
        <xdr:cNvSpPr/>
      </xdr:nvSpPr>
      <xdr:spPr>
        <a:xfrm>
          <a:off x="285750" y="11430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16</xdr:col>
      <xdr:colOff>228600</xdr:colOff>
      <xdr:row>46</xdr:row>
      <xdr:rowOff>180975</xdr:rowOff>
    </xdr:to>
    <xdr:pic>
      <xdr:nvPicPr>
        <xdr:cNvPr id="102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42875" y="819150"/>
          <a:ext cx="9372600" cy="818197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5</xdr:row>
      <xdr:rowOff>0</xdr:rowOff>
    </xdr:from>
    <xdr:to>
      <xdr:col>15</xdr:col>
      <xdr:colOff>28575</xdr:colOff>
      <xdr:row>29</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3</xdr:row>
      <xdr:rowOff>0</xdr:rowOff>
    </xdr:from>
    <xdr:to>
      <xdr:col>1</xdr:col>
      <xdr:colOff>228600</xdr:colOff>
      <xdr:row>3</xdr:row>
      <xdr:rowOff>123825</xdr:rowOff>
    </xdr:to>
    <xdr:sp macro="" textlink="">
      <xdr:nvSpPr>
        <xdr:cNvPr id="3" name="Rectangle 2"/>
        <xdr:cNvSpPr/>
      </xdr:nvSpPr>
      <xdr:spPr>
        <a:xfrm>
          <a:off x="171450" y="6000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57150</xdr:colOff>
      <xdr:row>4</xdr:row>
      <xdr:rowOff>0</xdr:rowOff>
    </xdr:from>
    <xdr:to>
      <xdr:col>1</xdr:col>
      <xdr:colOff>228600</xdr:colOff>
      <xdr:row>4</xdr:row>
      <xdr:rowOff>123825</xdr:rowOff>
    </xdr:to>
    <xdr:sp macro="" textlink="">
      <xdr:nvSpPr>
        <xdr:cNvPr id="4" name="Rectangle 3"/>
        <xdr:cNvSpPr/>
      </xdr:nvSpPr>
      <xdr:spPr>
        <a:xfrm>
          <a:off x="171450" y="7620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5</xdr:row>
      <xdr:rowOff>0</xdr:rowOff>
    </xdr:from>
    <xdr:to>
      <xdr:col>11</xdr:col>
      <xdr:colOff>466725</xdr:colOff>
      <xdr:row>34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285750</xdr:colOff>
      <xdr:row>11</xdr:row>
      <xdr:rowOff>95250</xdr:rowOff>
    </xdr:from>
    <xdr:to>
      <xdr:col>12</xdr:col>
      <xdr:colOff>285750</xdr:colOff>
      <xdr:row>13</xdr:row>
      <xdr:rowOff>95250</xdr:rowOff>
    </xdr:to>
    <xdr:sp macro="" textlink="">
      <xdr:nvSpPr>
        <xdr:cNvPr id="3" name="Line 2"/>
        <xdr:cNvSpPr>
          <a:spLocks noChangeShapeType="1"/>
        </xdr:cNvSpPr>
      </xdr:nvSpPr>
      <xdr:spPr bwMode="auto">
        <a:xfrm>
          <a:off x="9039225" y="1876425"/>
          <a:ext cx="0" cy="323850"/>
        </a:xfrm>
        <a:prstGeom prst="line">
          <a:avLst/>
        </a:prstGeom>
        <a:noFill/>
        <a:ln w="9525">
          <a:solidFill>
            <a:srgbClr val="000000"/>
          </a:solidFill>
          <a:round/>
          <a:headEnd/>
          <a:tailEnd type="triangle" w="med" len="med"/>
        </a:ln>
      </xdr:spPr>
    </xdr:sp>
    <xdr:clientData/>
  </xdr:twoCellAnchor>
  <xdr:twoCellAnchor editAs="absolute">
    <xdr:from>
      <xdr:col>12</xdr:col>
      <xdr:colOff>19050</xdr:colOff>
      <xdr:row>5</xdr:row>
      <xdr:rowOff>9525</xdr:rowOff>
    </xdr:from>
    <xdr:to>
      <xdr:col>12</xdr:col>
      <xdr:colOff>561975</xdr:colOff>
      <xdr:row>11</xdr:row>
      <xdr:rowOff>85725</xdr:rowOff>
    </xdr:to>
    <xdr:sp macro="" textlink="">
      <xdr:nvSpPr>
        <xdr:cNvPr id="4" name="Text Box 3"/>
        <xdr:cNvSpPr txBox="1">
          <a:spLocks noChangeArrowheads="1"/>
        </xdr:cNvSpPr>
      </xdr:nvSpPr>
      <xdr:spPr bwMode="auto">
        <a:xfrm>
          <a:off x="8772525" y="819150"/>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xdr:from>
      <xdr:col>1</xdr:col>
      <xdr:colOff>104775</xdr:colOff>
      <xdr:row>2</xdr:row>
      <xdr:rowOff>0</xdr:rowOff>
    </xdr:from>
    <xdr:to>
      <xdr:col>1</xdr:col>
      <xdr:colOff>276225</xdr:colOff>
      <xdr:row>2</xdr:row>
      <xdr:rowOff>123825</xdr:rowOff>
    </xdr:to>
    <xdr:sp macro="" textlink="">
      <xdr:nvSpPr>
        <xdr:cNvPr id="5" name="Rectangle 4"/>
        <xdr:cNvSpPr/>
      </xdr:nvSpPr>
      <xdr:spPr>
        <a:xfrm>
          <a:off x="219075" y="3238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19050</xdr:rowOff>
    </xdr:from>
    <xdr:to>
      <xdr:col>1</xdr:col>
      <xdr:colOff>276225</xdr:colOff>
      <xdr:row>4</xdr:row>
      <xdr:rowOff>142875</xdr:rowOff>
    </xdr:to>
    <xdr:sp macro="" textlink="">
      <xdr:nvSpPr>
        <xdr:cNvPr id="6" name="Rectangle 5"/>
        <xdr:cNvSpPr/>
      </xdr:nvSpPr>
      <xdr:spPr>
        <a:xfrm>
          <a:off x="219075" y="6667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0</xdr:rowOff>
    </xdr:from>
    <xdr:to>
      <xdr:col>1</xdr:col>
      <xdr:colOff>276225</xdr:colOff>
      <xdr:row>3</xdr:row>
      <xdr:rowOff>123825</xdr:rowOff>
    </xdr:to>
    <xdr:sp macro="" textlink="">
      <xdr:nvSpPr>
        <xdr:cNvPr id="7" name="Rectangle 6"/>
        <xdr:cNvSpPr/>
      </xdr:nvSpPr>
      <xdr:spPr>
        <a:xfrm>
          <a:off x="219075" y="48577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5</xdr:row>
      <xdr:rowOff>0</xdr:rowOff>
    </xdr:from>
    <xdr:to>
      <xdr:col>11</xdr:col>
      <xdr:colOff>466725</xdr:colOff>
      <xdr:row>34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285750</xdr:colOff>
      <xdr:row>11</xdr:row>
      <xdr:rowOff>95250</xdr:rowOff>
    </xdr:from>
    <xdr:to>
      <xdr:col>12</xdr:col>
      <xdr:colOff>285750</xdr:colOff>
      <xdr:row>13</xdr:row>
      <xdr:rowOff>95250</xdr:rowOff>
    </xdr:to>
    <xdr:sp macro="" textlink="">
      <xdr:nvSpPr>
        <xdr:cNvPr id="3" name="Line 2"/>
        <xdr:cNvSpPr>
          <a:spLocks noChangeShapeType="1"/>
        </xdr:cNvSpPr>
      </xdr:nvSpPr>
      <xdr:spPr bwMode="auto">
        <a:xfrm>
          <a:off x="9039225" y="1876425"/>
          <a:ext cx="0" cy="323850"/>
        </a:xfrm>
        <a:prstGeom prst="line">
          <a:avLst/>
        </a:prstGeom>
        <a:noFill/>
        <a:ln w="9525">
          <a:solidFill>
            <a:srgbClr val="000000"/>
          </a:solidFill>
          <a:round/>
          <a:headEnd/>
          <a:tailEnd type="triangle" w="med" len="med"/>
        </a:ln>
      </xdr:spPr>
    </xdr:sp>
    <xdr:clientData/>
  </xdr:twoCellAnchor>
  <xdr:twoCellAnchor editAs="absolute">
    <xdr:from>
      <xdr:col>12</xdr:col>
      <xdr:colOff>19050</xdr:colOff>
      <xdr:row>5</xdr:row>
      <xdr:rowOff>9525</xdr:rowOff>
    </xdr:from>
    <xdr:to>
      <xdr:col>12</xdr:col>
      <xdr:colOff>561975</xdr:colOff>
      <xdr:row>11</xdr:row>
      <xdr:rowOff>85725</xdr:rowOff>
    </xdr:to>
    <xdr:sp macro="" textlink="">
      <xdr:nvSpPr>
        <xdr:cNvPr id="4" name="Text Box 3"/>
        <xdr:cNvSpPr txBox="1">
          <a:spLocks noChangeArrowheads="1"/>
        </xdr:cNvSpPr>
      </xdr:nvSpPr>
      <xdr:spPr bwMode="auto">
        <a:xfrm>
          <a:off x="8772525" y="819150"/>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xdr:from>
      <xdr:col>1</xdr:col>
      <xdr:colOff>104775</xdr:colOff>
      <xdr:row>2</xdr:row>
      <xdr:rowOff>0</xdr:rowOff>
    </xdr:from>
    <xdr:to>
      <xdr:col>1</xdr:col>
      <xdr:colOff>276225</xdr:colOff>
      <xdr:row>2</xdr:row>
      <xdr:rowOff>123825</xdr:rowOff>
    </xdr:to>
    <xdr:sp macro="" textlink="">
      <xdr:nvSpPr>
        <xdr:cNvPr id="5" name="Rectangle 4"/>
        <xdr:cNvSpPr/>
      </xdr:nvSpPr>
      <xdr:spPr>
        <a:xfrm>
          <a:off x="219075" y="3238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19050</xdr:rowOff>
    </xdr:from>
    <xdr:to>
      <xdr:col>1</xdr:col>
      <xdr:colOff>276225</xdr:colOff>
      <xdr:row>4</xdr:row>
      <xdr:rowOff>142875</xdr:rowOff>
    </xdr:to>
    <xdr:sp macro="" textlink="">
      <xdr:nvSpPr>
        <xdr:cNvPr id="6" name="Rectangle 5"/>
        <xdr:cNvSpPr/>
      </xdr:nvSpPr>
      <xdr:spPr>
        <a:xfrm>
          <a:off x="219075" y="6667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0</xdr:rowOff>
    </xdr:from>
    <xdr:to>
      <xdr:col>1</xdr:col>
      <xdr:colOff>276225</xdr:colOff>
      <xdr:row>3</xdr:row>
      <xdr:rowOff>123825</xdr:rowOff>
    </xdr:to>
    <xdr:sp macro="" textlink="">
      <xdr:nvSpPr>
        <xdr:cNvPr id="7" name="Rectangle 6"/>
        <xdr:cNvSpPr/>
      </xdr:nvSpPr>
      <xdr:spPr>
        <a:xfrm>
          <a:off x="219075" y="48577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10</xdr:col>
      <xdr:colOff>342899</xdr:colOff>
      <xdr:row>49</xdr:row>
      <xdr:rowOff>133350</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4300" y="447675"/>
          <a:ext cx="7162799" cy="926782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9</xdr:col>
      <xdr:colOff>581025</xdr:colOff>
      <xdr:row>5</xdr:row>
      <xdr:rowOff>9525</xdr:rowOff>
    </xdr:from>
    <xdr:to>
      <xdr:col>10</xdr:col>
      <xdr:colOff>514350</xdr:colOff>
      <xdr:row>11</xdr:row>
      <xdr:rowOff>95250</xdr:rowOff>
    </xdr:to>
    <xdr:sp macro="" textlink="">
      <xdr:nvSpPr>
        <xdr:cNvPr id="2" name="Text Box 2"/>
        <xdr:cNvSpPr txBox="1">
          <a:spLocks noChangeArrowheads="1"/>
        </xdr:cNvSpPr>
      </xdr:nvSpPr>
      <xdr:spPr bwMode="auto">
        <a:xfrm>
          <a:off x="8410575" y="1228725"/>
          <a:ext cx="542925" cy="1057275"/>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editAs="absolute">
    <xdr:from>
      <xdr:col>10</xdr:col>
      <xdr:colOff>257175</xdr:colOff>
      <xdr:row>11</xdr:row>
      <xdr:rowOff>85725</xdr:rowOff>
    </xdr:from>
    <xdr:to>
      <xdr:col>10</xdr:col>
      <xdr:colOff>257175</xdr:colOff>
      <xdr:row>13</xdr:row>
      <xdr:rowOff>85725</xdr:rowOff>
    </xdr:to>
    <xdr:sp macro="" textlink="">
      <xdr:nvSpPr>
        <xdr:cNvPr id="5550400" name="Line 3"/>
        <xdr:cNvSpPr>
          <a:spLocks noChangeShapeType="1"/>
        </xdr:cNvSpPr>
      </xdr:nvSpPr>
      <xdr:spPr bwMode="auto">
        <a:xfrm>
          <a:off x="8696325" y="2276475"/>
          <a:ext cx="0" cy="323850"/>
        </a:xfrm>
        <a:prstGeom prst="line">
          <a:avLst/>
        </a:prstGeom>
        <a:noFill/>
        <a:ln w="9525">
          <a:solidFill>
            <a:srgbClr val="000000"/>
          </a:solidFill>
          <a:round/>
          <a:headEnd/>
          <a:tailEnd type="triangle" w="med" len="med"/>
        </a:ln>
      </xdr:spPr>
    </xdr:sp>
    <xdr:clientData/>
  </xdr:twoCellAnchor>
  <xdr:twoCellAnchor editAs="absolute">
    <xdr:from>
      <xdr:col>1</xdr:col>
      <xdr:colOff>0</xdr:colOff>
      <xdr:row>5</xdr:row>
      <xdr:rowOff>0</xdr:rowOff>
    </xdr:from>
    <xdr:to>
      <xdr:col>9</xdr:col>
      <xdr:colOff>419100</xdr:colOff>
      <xdr:row>33</xdr:row>
      <xdr:rowOff>114300</xdr:rowOff>
    </xdr:to>
    <xdr:graphicFrame macro="">
      <xdr:nvGraphicFramePr>
        <xdr:cNvPr id="55504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4</xdr:row>
      <xdr:rowOff>0</xdr:rowOff>
    </xdr:from>
    <xdr:to>
      <xdr:col>1</xdr:col>
      <xdr:colOff>228600</xdr:colOff>
      <xdr:row>4</xdr:row>
      <xdr:rowOff>123825</xdr:rowOff>
    </xdr:to>
    <xdr:sp macro="" textlink="">
      <xdr:nvSpPr>
        <xdr:cNvPr id="5" name="Rectangle 4"/>
        <xdr:cNvSpPr/>
      </xdr:nvSpPr>
      <xdr:spPr>
        <a:xfrm>
          <a:off x="171450" y="6000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57150</xdr:colOff>
      <xdr:row>4</xdr:row>
      <xdr:rowOff>180975</xdr:rowOff>
    </xdr:from>
    <xdr:to>
      <xdr:col>1</xdr:col>
      <xdr:colOff>228600</xdr:colOff>
      <xdr:row>4</xdr:row>
      <xdr:rowOff>304800</xdr:rowOff>
    </xdr:to>
    <xdr:sp macro="" textlink="">
      <xdr:nvSpPr>
        <xdr:cNvPr id="6" name="Rectangle 5"/>
        <xdr:cNvSpPr/>
      </xdr:nvSpPr>
      <xdr:spPr>
        <a:xfrm>
          <a:off x="171450" y="9906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10</xdr:row>
      <xdr:rowOff>1</xdr:rowOff>
    </xdr:from>
    <xdr:to>
      <xdr:col>15</xdr:col>
      <xdr:colOff>600075</xdr:colOff>
      <xdr:row>41</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4</xdr:row>
      <xdr:rowOff>38100</xdr:rowOff>
    </xdr:from>
    <xdr:to>
      <xdr:col>1</xdr:col>
      <xdr:colOff>276225</xdr:colOff>
      <xdr:row>5</xdr:row>
      <xdr:rowOff>0</xdr:rowOff>
    </xdr:to>
    <xdr:sp macro="" textlink="">
      <xdr:nvSpPr>
        <xdr:cNvPr id="3" name="Rectangle 2"/>
        <xdr:cNvSpPr/>
      </xdr:nvSpPr>
      <xdr:spPr>
        <a:xfrm>
          <a:off x="285750" y="88582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47625</xdr:rowOff>
    </xdr:from>
    <xdr:to>
      <xdr:col>1</xdr:col>
      <xdr:colOff>276225</xdr:colOff>
      <xdr:row>7</xdr:row>
      <xdr:rowOff>9525</xdr:rowOff>
    </xdr:to>
    <xdr:sp macro="" textlink="">
      <xdr:nvSpPr>
        <xdr:cNvPr id="4" name="Rectangle 3"/>
        <xdr:cNvSpPr/>
      </xdr:nvSpPr>
      <xdr:spPr>
        <a:xfrm>
          <a:off x="285750" y="121920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38100</xdr:rowOff>
    </xdr:from>
    <xdr:to>
      <xdr:col>1</xdr:col>
      <xdr:colOff>276225</xdr:colOff>
      <xdr:row>6</xdr:row>
      <xdr:rowOff>0</xdr:rowOff>
    </xdr:to>
    <xdr:sp macro="" textlink="">
      <xdr:nvSpPr>
        <xdr:cNvPr id="5" name="Rectangle 4"/>
        <xdr:cNvSpPr/>
      </xdr:nvSpPr>
      <xdr:spPr>
        <a:xfrm>
          <a:off x="285750" y="104775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7</xdr:row>
      <xdr:rowOff>57150</xdr:rowOff>
    </xdr:from>
    <xdr:to>
      <xdr:col>1</xdr:col>
      <xdr:colOff>276225</xdr:colOff>
      <xdr:row>8</xdr:row>
      <xdr:rowOff>19050</xdr:rowOff>
    </xdr:to>
    <xdr:sp macro="" textlink="">
      <xdr:nvSpPr>
        <xdr:cNvPr id="6" name="Rectangle 5"/>
        <xdr:cNvSpPr/>
      </xdr:nvSpPr>
      <xdr:spPr>
        <a:xfrm>
          <a:off x="285750" y="13906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38100</xdr:rowOff>
    </xdr:from>
    <xdr:to>
      <xdr:col>1</xdr:col>
      <xdr:colOff>276225</xdr:colOff>
      <xdr:row>4</xdr:row>
      <xdr:rowOff>0</xdr:rowOff>
    </xdr:to>
    <xdr:sp macro="" textlink="">
      <xdr:nvSpPr>
        <xdr:cNvPr id="7" name="Rectangle 6"/>
        <xdr:cNvSpPr/>
      </xdr:nvSpPr>
      <xdr:spPr>
        <a:xfrm>
          <a:off x="285750" y="695325"/>
          <a:ext cx="171450" cy="152400"/>
        </a:xfrm>
        <a:prstGeom prst="rect">
          <a:avLst/>
        </a:prstGeom>
        <a:solidFill>
          <a:srgbClr val="969696"/>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10</xdr:row>
      <xdr:rowOff>1</xdr:rowOff>
    </xdr:from>
    <xdr:to>
      <xdr:col>15</xdr:col>
      <xdr:colOff>600075</xdr:colOff>
      <xdr:row>41</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4</xdr:row>
      <xdr:rowOff>38100</xdr:rowOff>
    </xdr:from>
    <xdr:to>
      <xdr:col>1</xdr:col>
      <xdr:colOff>276225</xdr:colOff>
      <xdr:row>5</xdr:row>
      <xdr:rowOff>0</xdr:rowOff>
    </xdr:to>
    <xdr:sp macro="" textlink="">
      <xdr:nvSpPr>
        <xdr:cNvPr id="3" name="Rectangle 2"/>
        <xdr:cNvSpPr/>
      </xdr:nvSpPr>
      <xdr:spPr>
        <a:xfrm>
          <a:off x="285750" y="88582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47625</xdr:rowOff>
    </xdr:from>
    <xdr:to>
      <xdr:col>1</xdr:col>
      <xdr:colOff>276225</xdr:colOff>
      <xdr:row>7</xdr:row>
      <xdr:rowOff>9525</xdr:rowOff>
    </xdr:to>
    <xdr:sp macro="" textlink="">
      <xdr:nvSpPr>
        <xdr:cNvPr id="4" name="Rectangle 3"/>
        <xdr:cNvSpPr/>
      </xdr:nvSpPr>
      <xdr:spPr>
        <a:xfrm>
          <a:off x="285750" y="121920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38100</xdr:rowOff>
    </xdr:from>
    <xdr:to>
      <xdr:col>1</xdr:col>
      <xdr:colOff>276225</xdr:colOff>
      <xdr:row>6</xdr:row>
      <xdr:rowOff>0</xdr:rowOff>
    </xdr:to>
    <xdr:sp macro="" textlink="">
      <xdr:nvSpPr>
        <xdr:cNvPr id="5" name="Rectangle 4"/>
        <xdr:cNvSpPr/>
      </xdr:nvSpPr>
      <xdr:spPr>
        <a:xfrm>
          <a:off x="285750" y="104775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7</xdr:row>
      <xdr:rowOff>57150</xdr:rowOff>
    </xdr:from>
    <xdr:to>
      <xdr:col>1</xdr:col>
      <xdr:colOff>276225</xdr:colOff>
      <xdr:row>8</xdr:row>
      <xdr:rowOff>19050</xdr:rowOff>
    </xdr:to>
    <xdr:sp macro="" textlink="">
      <xdr:nvSpPr>
        <xdr:cNvPr id="6" name="Rectangle 5"/>
        <xdr:cNvSpPr/>
      </xdr:nvSpPr>
      <xdr:spPr>
        <a:xfrm>
          <a:off x="285750" y="13906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38100</xdr:rowOff>
    </xdr:from>
    <xdr:to>
      <xdr:col>1</xdr:col>
      <xdr:colOff>276225</xdr:colOff>
      <xdr:row>4</xdr:row>
      <xdr:rowOff>0</xdr:rowOff>
    </xdr:to>
    <xdr:sp macro="" textlink="">
      <xdr:nvSpPr>
        <xdr:cNvPr id="7" name="Rectangle 6"/>
        <xdr:cNvSpPr/>
      </xdr:nvSpPr>
      <xdr:spPr>
        <a:xfrm>
          <a:off x="285750" y="695325"/>
          <a:ext cx="171450" cy="152400"/>
        </a:xfrm>
        <a:prstGeom prst="rect">
          <a:avLst/>
        </a:prstGeom>
        <a:solidFill>
          <a:srgbClr val="969696"/>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6</xdr:row>
      <xdr:rowOff>85725</xdr:rowOff>
    </xdr:from>
    <xdr:to>
      <xdr:col>15</xdr:col>
      <xdr:colOff>0</xdr:colOff>
      <xdr:row>34</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57150</xdr:rowOff>
    </xdr:from>
    <xdr:to>
      <xdr:col>15</xdr:col>
      <xdr:colOff>0</xdr:colOff>
      <xdr:row>59</xdr:row>
      <xdr:rowOff>9525</xdr:rowOff>
    </xdr:to>
    <xdr:sp macro="" textlink="">
      <xdr:nvSpPr>
        <xdr:cNvPr id="3" name="TextBox 2"/>
        <xdr:cNvSpPr txBox="1">
          <a:spLocks noChangeArrowheads="1"/>
        </xdr:cNvSpPr>
      </xdr:nvSpPr>
      <xdr:spPr bwMode="auto">
        <a:xfrm>
          <a:off x="114300" y="5791200"/>
          <a:ext cx="8534400" cy="3838575"/>
        </a:xfrm>
        <a:prstGeom prst="rect">
          <a:avLst/>
        </a:prstGeom>
        <a:solidFill>
          <a:srgbClr val="FFFFFF"/>
        </a:solidFill>
        <a:ln w="9525">
          <a:solidFill>
            <a:srgbClr val="BCBCBC"/>
          </a:solidFill>
          <a:miter lim="800000"/>
          <a:headEnd/>
          <a:tailEnd/>
        </a:ln>
      </xdr:spPr>
      <xdr:txBody>
        <a:bodyPr vertOverflow="clip" wrap="square" lIns="27432" tIns="22860" rIns="0" bIns="0" anchor="t" upright="1"/>
        <a:lstStyle/>
        <a:p>
          <a:pPr algn="l" rtl="0">
            <a:defRPr sz="1000"/>
          </a:pPr>
          <a:r>
            <a:rPr lang="en-GB" sz="800" b="1" i="0" u="none" strike="noStrike" baseline="0">
              <a:solidFill>
                <a:srgbClr val="000000"/>
              </a:solidFill>
              <a:latin typeface="Arial"/>
              <a:cs typeface="Arial"/>
            </a:rPr>
            <a:t>Notes regarding Chart 1b (final diagnosis)</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1.  </a:t>
          </a:r>
          <a:r>
            <a:rPr lang="en-GB" sz="800" b="1" i="0" u="none" strike="noStrike" baseline="0">
              <a:solidFill>
                <a:srgbClr val="000000"/>
              </a:solidFill>
              <a:latin typeface="Arial"/>
              <a:cs typeface="Arial"/>
            </a:rPr>
            <a:t>A 'bundle' involves a group of specific interventions/ processes of care that significantly improve patient outcome if done together rather than separately and this also improves the  consistency with which patients are managed</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The Stroke Care Bundle involves four components: admission to a Stroke Unit, swallow screen, brain scan and aspirin. Not all patients are eligible for all four components. An aspirin allergy, for example, would preclude the prescribing of aspirin, so the term 'appropriate' refers to patients receiving the components for which they were eligible. A flow chart in Appendix B of this report describes the different categories of bundle depending on patients' eligibility.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For the specific components, exclusions are as follows: (1) Stroke Unit admission excludes patients with in-hospital strokes, patients transferred in from another acute hospital or patients discharged within 1 day of admission to hospital (2) aspirin excludes patients with valid contraindications to aspirin and also those receiving a 'non-stroke' final diagnosis who are discharged within 1 day of admission to hospital.</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In measuring the proportion of patients receiving an 'appropriate' bundle, patients ineligible for, and therefore not receiving, specific components of the bundle are counted as having received their appropriate bundle provided they received the remaining components for which they were eligible.</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2.  Due to the number of beds within some hospitals in the Health Boards indicated (*) and the small numbers of stroke admissions to these hospitals </a:t>
          </a:r>
          <a:r>
            <a:rPr lang="en-GB" sz="800" b="1" i="0" u="none" strike="noStrike" baseline="0">
              <a:solidFill>
                <a:srgbClr val="000000"/>
              </a:solidFill>
              <a:latin typeface="Arial"/>
              <a:cs typeface="Arial"/>
            </a:rPr>
            <a:t>it is not practical to have a defined Stroke Unit. </a:t>
          </a:r>
          <a:r>
            <a:rPr lang="en-GB" sz="800" b="0" i="0" u="none" strike="noStrike" baseline="0">
              <a:solidFill>
                <a:srgbClr val="000000"/>
              </a:solidFill>
              <a:latin typeface="Arial"/>
              <a:cs typeface="Arial"/>
            </a:rPr>
            <a:t>We have confirmed however that a defined stroke pathway is in place in these hospitals and that the Scottish Stroke Care Standard criteria are established within that pathway.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3. </a:t>
          </a:r>
          <a:r>
            <a:rPr lang="en-GB" sz="800" b="1" i="0" u="none" strike="noStrike" baseline="0">
              <a:solidFill>
                <a:srgbClr val="000000"/>
              </a:solidFill>
              <a:latin typeface="Arial"/>
              <a:cs typeface="Arial"/>
            </a:rPr>
            <a:t>Uist &amp; Barra Hospital, NHS Western Isles does not have a CT scanner </a:t>
          </a:r>
          <a:r>
            <a:rPr lang="en-GB" sz="800" b="0" i="0" u="none" strike="noStrike" baseline="0">
              <a:solidFill>
                <a:srgbClr val="000000"/>
              </a:solidFill>
              <a:latin typeface="Arial"/>
              <a:cs typeface="Arial"/>
            </a:rPr>
            <a:t>but patients are airlifted to Western Isles Hospital and a proportion may arrive in sufficient time to have brain imaging within 24 hours of admission.</a:t>
          </a:r>
        </a:p>
        <a:p>
          <a:pPr algn="l" rtl="0">
            <a:defRPr sz="1000"/>
          </a:pPr>
          <a:endParaRPr lang="en-GB" sz="800" b="0" i="0" u="none" strike="noStrike" baseline="0">
            <a:solidFill>
              <a:srgbClr val="000000"/>
            </a:solidFill>
            <a:latin typeface="Arial"/>
            <a:cs typeface="Arial"/>
          </a:endParaRPr>
        </a:p>
      </xdr:txBody>
    </xdr:sp>
    <xdr:clientData/>
  </xdr:twoCellAnchor>
  <xdr:twoCellAnchor>
    <xdr:from>
      <xdr:col>1</xdr:col>
      <xdr:colOff>57150</xdr:colOff>
      <xdr:row>4</xdr:row>
      <xdr:rowOff>95250</xdr:rowOff>
    </xdr:from>
    <xdr:to>
      <xdr:col>1</xdr:col>
      <xdr:colOff>228600</xdr:colOff>
      <xdr:row>5</xdr:row>
      <xdr:rowOff>57150</xdr:rowOff>
    </xdr:to>
    <xdr:sp macro="" textlink="">
      <xdr:nvSpPr>
        <xdr:cNvPr id="5" name="Rectangle 4"/>
        <xdr:cNvSpPr/>
      </xdr:nvSpPr>
      <xdr:spPr>
        <a:xfrm>
          <a:off x="171450" y="8096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6</xdr:row>
      <xdr:rowOff>0</xdr:rowOff>
    </xdr:from>
    <xdr:to>
      <xdr:col>13</xdr:col>
      <xdr:colOff>323850</xdr:colOff>
      <xdr:row>35</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2</xdr:row>
      <xdr:rowOff>0</xdr:rowOff>
    </xdr:from>
    <xdr:to>
      <xdr:col>1</xdr:col>
      <xdr:colOff>276225</xdr:colOff>
      <xdr:row>2</xdr:row>
      <xdr:rowOff>123825</xdr:rowOff>
    </xdr:to>
    <xdr:sp macro="" textlink="">
      <xdr:nvSpPr>
        <xdr:cNvPr id="5" name="Rectangle 4"/>
        <xdr:cNvSpPr/>
      </xdr:nvSpPr>
      <xdr:spPr>
        <a:xfrm>
          <a:off x="219075" y="3238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19050</xdr:rowOff>
    </xdr:from>
    <xdr:to>
      <xdr:col>1</xdr:col>
      <xdr:colOff>276225</xdr:colOff>
      <xdr:row>4</xdr:row>
      <xdr:rowOff>142875</xdr:rowOff>
    </xdr:to>
    <xdr:sp macro="" textlink="">
      <xdr:nvSpPr>
        <xdr:cNvPr id="6" name="Rectangle 5"/>
        <xdr:cNvSpPr/>
      </xdr:nvSpPr>
      <xdr:spPr>
        <a:xfrm>
          <a:off x="219075" y="6477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0</xdr:rowOff>
    </xdr:from>
    <xdr:to>
      <xdr:col>1</xdr:col>
      <xdr:colOff>276225</xdr:colOff>
      <xdr:row>3</xdr:row>
      <xdr:rowOff>123825</xdr:rowOff>
    </xdr:to>
    <xdr:sp macro="" textlink="">
      <xdr:nvSpPr>
        <xdr:cNvPr id="7" name="Rectangle 6"/>
        <xdr:cNvSpPr/>
      </xdr:nvSpPr>
      <xdr:spPr>
        <a:xfrm>
          <a:off x="219075" y="4762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6</xdr:row>
      <xdr:rowOff>0</xdr:rowOff>
    </xdr:from>
    <xdr:to>
      <xdr:col>13</xdr:col>
      <xdr:colOff>323850</xdr:colOff>
      <xdr:row>35</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2</xdr:row>
      <xdr:rowOff>0</xdr:rowOff>
    </xdr:from>
    <xdr:to>
      <xdr:col>1</xdr:col>
      <xdr:colOff>276225</xdr:colOff>
      <xdr:row>2</xdr:row>
      <xdr:rowOff>123825</xdr:rowOff>
    </xdr:to>
    <xdr:sp macro="" textlink="">
      <xdr:nvSpPr>
        <xdr:cNvPr id="5" name="Rectangle 4"/>
        <xdr:cNvSpPr/>
      </xdr:nvSpPr>
      <xdr:spPr>
        <a:xfrm>
          <a:off x="219075" y="3238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19050</xdr:rowOff>
    </xdr:from>
    <xdr:to>
      <xdr:col>1</xdr:col>
      <xdr:colOff>276225</xdr:colOff>
      <xdr:row>4</xdr:row>
      <xdr:rowOff>142875</xdr:rowOff>
    </xdr:to>
    <xdr:sp macro="" textlink="">
      <xdr:nvSpPr>
        <xdr:cNvPr id="6" name="Rectangle 5"/>
        <xdr:cNvSpPr/>
      </xdr:nvSpPr>
      <xdr:spPr>
        <a:xfrm>
          <a:off x="219075" y="6477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0</xdr:rowOff>
    </xdr:from>
    <xdr:to>
      <xdr:col>1</xdr:col>
      <xdr:colOff>276225</xdr:colOff>
      <xdr:row>3</xdr:row>
      <xdr:rowOff>123825</xdr:rowOff>
    </xdr:to>
    <xdr:sp macro="" textlink="">
      <xdr:nvSpPr>
        <xdr:cNvPr id="7" name="Rectangle 6"/>
        <xdr:cNvSpPr/>
      </xdr:nvSpPr>
      <xdr:spPr>
        <a:xfrm>
          <a:off x="219075" y="4762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28575</xdr:colOff>
      <xdr:row>5</xdr:row>
      <xdr:rowOff>0</xdr:rowOff>
    </xdr:from>
    <xdr:to>
      <xdr:col>9</xdr:col>
      <xdr:colOff>419100</xdr:colOff>
      <xdr:row>32</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2</xdr:row>
      <xdr:rowOff>66675</xdr:rowOff>
    </xdr:from>
    <xdr:to>
      <xdr:col>1</xdr:col>
      <xdr:colOff>276225</xdr:colOff>
      <xdr:row>3</xdr:row>
      <xdr:rowOff>28575</xdr:rowOff>
    </xdr:to>
    <xdr:sp macro="" textlink="">
      <xdr:nvSpPr>
        <xdr:cNvPr id="3" name="Rectangle 2"/>
        <xdr:cNvSpPr/>
      </xdr:nvSpPr>
      <xdr:spPr>
        <a:xfrm>
          <a:off x="219075" y="39052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57150</xdr:rowOff>
    </xdr:from>
    <xdr:to>
      <xdr:col>1</xdr:col>
      <xdr:colOff>276225</xdr:colOff>
      <xdr:row>4</xdr:row>
      <xdr:rowOff>19050</xdr:rowOff>
    </xdr:to>
    <xdr:sp macro="" textlink="">
      <xdr:nvSpPr>
        <xdr:cNvPr id="4" name="Rectangle 3"/>
        <xdr:cNvSpPr/>
      </xdr:nvSpPr>
      <xdr:spPr>
        <a:xfrm>
          <a:off x="219075" y="5429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8</xdr:col>
      <xdr:colOff>209550</xdr:colOff>
      <xdr:row>18</xdr:row>
      <xdr:rowOff>85725</xdr:rowOff>
    </xdr:from>
    <xdr:to>
      <xdr:col>9</xdr:col>
      <xdr:colOff>333374</xdr:colOff>
      <xdr:row>24</xdr:row>
      <xdr:rowOff>123825</xdr:rowOff>
    </xdr:to>
    <xdr:sp macro="" textlink="">
      <xdr:nvSpPr>
        <xdr:cNvPr id="5" name="TextBox 4"/>
        <xdr:cNvSpPr txBox="1"/>
      </xdr:nvSpPr>
      <xdr:spPr>
        <a:xfrm>
          <a:off x="7724775" y="3000375"/>
          <a:ext cx="838199"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800" i="1">
              <a:latin typeface="Arial" pitchFamily="34" charset="0"/>
              <a:cs typeface="Arial" pitchFamily="34" charset="0"/>
            </a:rPr>
            <a:t>* Note that some percentages are based on very small denominators</a:t>
          </a:r>
        </a:p>
      </xdr:txBody>
    </xdr:sp>
    <xdr:clientData/>
  </xdr:twoCellAnchor>
  <xdr:twoCellAnchor editAs="absolute">
    <xdr:from>
      <xdr:col>9</xdr:col>
      <xdr:colOff>438150</xdr:colOff>
      <xdr:row>5</xdr:row>
      <xdr:rowOff>9525</xdr:rowOff>
    </xdr:from>
    <xdr:to>
      <xdr:col>10</xdr:col>
      <xdr:colOff>266700</xdr:colOff>
      <xdr:row>11</xdr:row>
      <xdr:rowOff>85725</xdr:rowOff>
    </xdr:to>
    <xdr:sp macro="" textlink="">
      <xdr:nvSpPr>
        <xdr:cNvPr id="6" name="Text Box 3"/>
        <xdr:cNvSpPr txBox="1">
          <a:spLocks noChangeArrowheads="1"/>
        </xdr:cNvSpPr>
      </xdr:nvSpPr>
      <xdr:spPr bwMode="auto">
        <a:xfrm>
          <a:off x="8667750" y="819150"/>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editAs="absolute">
    <xdr:from>
      <xdr:col>10</xdr:col>
      <xdr:colOff>9525</xdr:colOff>
      <xdr:row>11</xdr:row>
      <xdr:rowOff>85725</xdr:rowOff>
    </xdr:from>
    <xdr:to>
      <xdr:col>10</xdr:col>
      <xdr:colOff>9525</xdr:colOff>
      <xdr:row>13</xdr:row>
      <xdr:rowOff>85725</xdr:rowOff>
    </xdr:to>
    <xdr:sp macro="" textlink="">
      <xdr:nvSpPr>
        <xdr:cNvPr id="7" name="Line 2"/>
        <xdr:cNvSpPr>
          <a:spLocks noChangeShapeType="1"/>
        </xdr:cNvSpPr>
      </xdr:nvSpPr>
      <xdr:spPr bwMode="auto">
        <a:xfrm>
          <a:off x="8953500" y="1866900"/>
          <a:ext cx="0" cy="323850"/>
        </a:xfrm>
        <a:prstGeom prst="line">
          <a:avLst/>
        </a:prstGeom>
        <a:noFill/>
        <a:ln w="9525">
          <a:solidFill>
            <a:srgbClr val="000000"/>
          </a:solidFill>
          <a:round/>
          <a:headEnd/>
          <a:tailEnd type="triangle" w="med" len="med"/>
        </a:ln>
      </xdr:spPr>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28575</xdr:colOff>
      <xdr:row>5</xdr:row>
      <xdr:rowOff>0</xdr:rowOff>
    </xdr:from>
    <xdr:to>
      <xdr:col>9</xdr:col>
      <xdr:colOff>419100</xdr:colOff>
      <xdr:row>32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2</xdr:row>
      <xdr:rowOff>66675</xdr:rowOff>
    </xdr:from>
    <xdr:to>
      <xdr:col>1</xdr:col>
      <xdr:colOff>276225</xdr:colOff>
      <xdr:row>3</xdr:row>
      <xdr:rowOff>28575</xdr:rowOff>
    </xdr:to>
    <xdr:sp macro="" textlink="">
      <xdr:nvSpPr>
        <xdr:cNvPr id="3" name="Rectangle 2"/>
        <xdr:cNvSpPr/>
      </xdr:nvSpPr>
      <xdr:spPr>
        <a:xfrm>
          <a:off x="219075" y="39052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57150</xdr:rowOff>
    </xdr:from>
    <xdr:to>
      <xdr:col>1</xdr:col>
      <xdr:colOff>276225</xdr:colOff>
      <xdr:row>4</xdr:row>
      <xdr:rowOff>19050</xdr:rowOff>
    </xdr:to>
    <xdr:sp macro="" textlink="">
      <xdr:nvSpPr>
        <xdr:cNvPr id="4" name="Rectangle 3"/>
        <xdr:cNvSpPr/>
      </xdr:nvSpPr>
      <xdr:spPr>
        <a:xfrm>
          <a:off x="219075" y="5429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8</xdr:col>
      <xdr:colOff>209550</xdr:colOff>
      <xdr:row>18</xdr:row>
      <xdr:rowOff>85725</xdr:rowOff>
    </xdr:from>
    <xdr:to>
      <xdr:col>9</xdr:col>
      <xdr:colOff>333374</xdr:colOff>
      <xdr:row>24</xdr:row>
      <xdr:rowOff>123825</xdr:rowOff>
    </xdr:to>
    <xdr:sp macro="" textlink="">
      <xdr:nvSpPr>
        <xdr:cNvPr id="5" name="TextBox 4"/>
        <xdr:cNvSpPr txBox="1"/>
      </xdr:nvSpPr>
      <xdr:spPr>
        <a:xfrm>
          <a:off x="7724775" y="3000375"/>
          <a:ext cx="838199"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800" i="1">
              <a:latin typeface="Arial" pitchFamily="34" charset="0"/>
              <a:cs typeface="Arial" pitchFamily="34" charset="0"/>
            </a:rPr>
            <a:t>* Note that some percentages are based on very small denominators</a:t>
          </a:r>
        </a:p>
      </xdr:txBody>
    </xdr:sp>
    <xdr:clientData/>
  </xdr:twoCellAnchor>
  <xdr:twoCellAnchor editAs="absolute">
    <xdr:from>
      <xdr:col>9</xdr:col>
      <xdr:colOff>438150</xdr:colOff>
      <xdr:row>5</xdr:row>
      <xdr:rowOff>9525</xdr:rowOff>
    </xdr:from>
    <xdr:to>
      <xdr:col>10</xdr:col>
      <xdr:colOff>266700</xdr:colOff>
      <xdr:row>11</xdr:row>
      <xdr:rowOff>85725</xdr:rowOff>
    </xdr:to>
    <xdr:sp macro="" textlink="">
      <xdr:nvSpPr>
        <xdr:cNvPr id="6" name="Text Box 3"/>
        <xdr:cNvSpPr txBox="1">
          <a:spLocks noChangeArrowheads="1"/>
        </xdr:cNvSpPr>
      </xdr:nvSpPr>
      <xdr:spPr bwMode="auto">
        <a:xfrm>
          <a:off x="8667750" y="819150"/>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editAs="absolute">
    <xdr:from>
      <xdr:col>10</xdr:col>
      <xdr:colOff>9525</xdr:colOff>
      <xdr:row>11</xdr:row>
      <xdr:rowOff>85725</xdr:rowOff>
    </xdr:from>
    <xdr:to>
      <xdr:col>10</xdr:col>
      <xdr:colOff>9525</xdr:colOff>
      <xdr:row>13</xdr:row>
      <xdr:rowOff>85725</xdr:rowOff>
    </xdr:to>
    <xdr:sp macro="" textlink="">
      <xdr:nvSpPr>
        <xdr:cNvPr id="7" name="Line 2"/>
        <xdr:cNvSpPr>
          <a:spLocks noChangeShapeType="1"/>
        </xdr:cNvSpPr>
      </xdr:nvSpPr>
      <xdr:spPr bwMode="auto">
        <a:xfrm>
          <a:off x="8953500" y="1866900"/>
          <a:ext cx="0" cy="323850"/>
        </a:xfrm>
        <a:prstGeom prst="line">
          <a:avLst/>
        </a:prstGeom>
        <a:noFill/>
        <a:ln w="9525">
          <a:solidFill>
            <a:srgbClr val="000000"/>
          </a:solidFill>
          <a:round/>
          <a:headEnd/>
          <a:tailEnd type="triangle" w="med" len="med"/>
        </a:ln>
      </xdr:spPr>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219075</xdr:colOff>
      <xdr:row>27</xdr:row>
      <xdr:rowOff>171450</xdr:rowOff>
    </xdr:to>
    <xdr:pic>
      <xdr:nvPicPr>
        <xdr:cNvPr id="102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161925" y="381000"/>
          <a:ext cx="9363075" cy="4933950"/>
        </a:xfrm>
        <a:prstGeom prst="rect">
          <a:avLst/>
        </a:prstGeom>
        <a:noFill/>
      </xdr:spPr>
    </xdr:pic>
    <xdr:clientData/>
  </xdr:twoCellAnchor>
  <xdr:twoCellAnchor editAs="oneCell">
    <xdr:from>
      <xdr:col>14</xdr:col>
      <xdr:colOff>34925</xdr:colOff>
      <xdr:row>8</xdr:row>
      <xdr:rowOff>134257</xdr:rowOff>
    </xdr:from>
    <xdr:to>
      <xdr:col>15</xdr:col>
      <xdr:colOff>460828</xdr:colOff>
      <xdr:row>13</xdr:row>
      <xdr:rowOff>153307</xdr:rowOff>
    </xdr:to>
    <xdr:pic>
      <xdr:nvPicPr>
        <xdr:cNvPr id="1046"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8121650" y="1658257"/>
          <a:ext cx="1035503" cy="9715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xdr:colOff>
      <xdr:row>2</xdr:row>
      <xdr:rowOff>0</xdr:rowOff>
    </xdr:from>
    <xdr:to>
      <xdr:col>16</xdr:col>
      <xdr:colOff>95251</xdr:colOff>
      <xdr:row>27</xdr:row>
      <xdr:rowOff>171450</xdr:rowOff>
    </xdr:to>
    <xdr:pic>
      <xdr:nvPicPr>
        <xdr:cNvPr id="2054"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61926" y="381000"/>
          <a:ext cx="9239250" cy="4933950"/>
        </a:xfrm>
        <a:prstGeom prst="rect">
          <a:avLst/>
        </a:prstGeom>
        <a:noFill/>
      </xdr:spPr>
    </xdr:pic>
    <xdr:clientData/>
  </xdr:twoCellAnchor>
  <xdr:twoCellAnchor editAs="oneCell">
    <xdr:from>
      <xdr:col>14</xdr:col>
      <xdr:colOff>57150</xdr:colOff>
      <xdr:row>8</xdr:row>
      <xdr:rowOff>114300</xdr:rowOff>
    </xdr:from>
    <xdr:to>
      <xdr:col>15</xdr:col>
      <xdr:colOff>488496</xdr:colOff>
      <xdr:row>13</xdr:row>
      <xdr:rowOff>38100</xdr:rowOff>
    </xdr:to>
    <xdr:pic>
      <xdr:nvPicPr>
        <xdr:cNvPr id="7"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8143875" y="1638300"/>
          <a:ext cx="1040946" cy="876300"/>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190500</xdr:colOff>
      <xdr:row>29</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190500</xdr:colOff>
      <xdr:row>29</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190500</xdr:colOff>
      <xdr:row>29</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1</xdr:col>
      <xdr:colOff>28575</xdr:colOff>
      <xdr:row>5</xdr:row>
      <xdr:rowOff>0</xdr:rowOff>
    </xdr:from>
    <xdr:to>
      <xdr:col>9</xdr:col>
      <xdr:colOff>419100</xdr:colOff>
      <xdr:row>31</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2</xdr:row>
      <xdr:rowOff>66675</xdr:rowOff>
    </xdr:from>
    <xdr:to>
      <xdr:col>1</xdr:col>
      <xdr:colOff>276225</xdr:colOff>
      <xdr:row>3</xdr:row>
      <xdr:rowOff>28575</xdr:rowOff>
    </xdr:to>
    <xdr:sp macro="" textlink="">
      <xdr:nvSpPr>
        <xdr:cNvPr id="3" name="Rectangle 2"/>
        <xdr:cNvSpPr/>
      </xdr:nvSpPr>
      <xdr:spPr>
        <a:xfrm>
          <a:off x="219075" y="39052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57150</xdr:rowOff>
    </xdr:from>
    <xdr:to>
      <xdr:col>1</xdr:col>
      <xdr:colOff>276225</xdr:colOff>
      <xdr:row>4</xdr:row>
      <xdr:rowOff>19050</xdr:rowOff>
    </xdr:to>
    <xdr:sp macro="" textlink="">
      <xdr:nvSpPr>
        <xdr:cNvPr id="4" name="Rectangle 3"/>
        <xdr:cNvSpPr/>
      </xdr:nvSpPr>
      <xdr:spPr>
        <a:xfrm>
          <a:off x="219075" y="5429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8</xdr:col>
      <xdr:colOff>209550</xdr:colOff>
      <xdr:row>18</xdr:row>
      <xdr:rowOff>85725</xdr:rowOff>
    </xdr:from>
    <xdr:to>
      <xdr:col>9</xdr:col>
      <xdr:colOff>333374</xdr:colOff>
      <xdr:row>24</xdr:row>
      <xdr:rowOff>123825</xdr:rowOff>
    </xdr:to>
    <xdr:sp macro="" textlink="">
      <xdr:nvSpPr>
        <xdr:cNvPr id="5" name="TextBox 4"/>
        <xdr:cNvSpPr txBox="1"/>
      </xdr:nvSpPr>
      <xdr:spPr>
        <a:xfrm>
          <a:off x="7724775" y="3000375"/>
          <a:ext cx="838199"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800" i="1">
              <a:latin typeface="Arial" pitchFamily="34" charset="0"/>
              <a:cs typeface="Arial" pitchFamily="34" charset="0"/>
            </a:rPr>
            <a:t>* Note that some percentages are based on very small denominators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219075</xdr:colOff>
      <xdr:row>17</xdr:row>
      <xdr:rowOff>76200</xdr:rowOff>
    </xdr:from>
    <xdr:to>
      <xdr:col>2</xdr:col>
      <xdr:colOff>371475</xdr:colOff>
      <xdr:row>19</xdr:row>
      <xdr:rowOff>95250</xdr:rowOff>
    </xdr:to>
    <xdr:sp macro="" textlink="">
      <xdr:nvSpPr>
        <xdr:cNvPr id="2" name="Up Arrow 1"/>
        <xdr:cNvSpPr/>
      </xdr:nvSpPr>
      <xdr:spPr>
        <a:xfrm>
          <a:off x="2095500" y="2895600"/>
          <a:ext cx="152400" cy="3048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8</xdr:row>
      <xdr:rowOff>1</xdr:rowOff>
    </xdr:from>
    <xdr:to>
      <xdr:col>15</xdr:col>
      <xdr:colOff>9525</xdr:colOff>
      <xdr:row>39</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0</xdr:rowOff>
    </xdr:from>
    <xdr:to>
      <xdr:col>1</xdr:col>
      <xdr:colOff>276225</xdr:colOff>
      <xdr:row>3</xdr:row>
      <xdr:rowOff>123825</xdr:rowOff>
    </xdr:to>
    <xdr:sp macro="" textlink="">
      <xdr:nvSpPr>
        <xdr:cNvPr id="3" name="Rectangle 2"/>
        <xdr:cNvSpPr/>
      </xdr:nvSpPr>
      <xdr:spPr>
        <a:xfrm>
          <a:off x="285750" y="6381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9525</xdr:rowOff>
    </xdr:from>
    <xdr:to>
      <xdr:col>1</xdr:col>
      <xdr:colOff>276225</xdr:colOff>
      <xdr:row>5</xdr:row>
      <xdr:rowOff>133350</xdr:rowOff>
    </xdr:to>
    <xdr:sp macro="" textlink="">
      <xdr:nvSpPr>
        <xdr:cNvPr id="4" name="Rectangle 3"/>
        <xdr:cNvSpPr/>
      </xdr:nvSpPr>
      <xdr:spPr>
        <a:xfrm>
          <a:off x="285750" y="9715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85750" y="80010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19050</xdr:rowOff>
    </xdr:from>
    <xdr:to>
      <xdr:col>1</xdr:col>
      <xdr:colOff>276225</xdr:colOff>
      <xdr:row>6</xdr:row>
      <xdr:rowOff>142875</xdr:rowOff>
    </xdr:to>
    <xdr:sp macro="" textlink="">
      <xdr:nvSpPr>
        <xdr:cNvPr id="6" name="Rectangle 5"/>
        <xdr:cNvSpPr/>
      </xdr:nvSpPr>
      <xdr:spPr>
        <a:xfrm>
          <a:off x="285750" y="11430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8</xdr:row>
      <xdr:rowOff>1</xdr:rowOff>
    </xdr:from>
    <xdr:to>
      <xdr:col>15</xdr:col>
      <xdr:colOff>9525</xdr:colOff>
      <xdr:row>39</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0</xdr:rowOff>
    </xdr:from>
    <xdr:to>
      <xdr:col>1</xdr:col>
      <xdr:colOff>276225</xdr:colOff>
      <xdr:row>3</xdr:row>
      <xdr:rowOff>123825</xdr:rowOff>
    </xdr:to>
    <xdr:sp macro="" textlink="">
      <xdr:nvSpPr>
        <xdr:cNvPr id="3" name="Rectangle 2"/>
        <xdr:cNvSpPr/>
      </xdr:nvSpPr>
      <xdr:spPr>
        <a:xfrm>
          <a:off x="285750" y="6381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9525</xdr:rowOff>
    </xdr:from>
    <xdr:to>
      <xdr:col>1</xdr:col>
      <xdr:colOff>276225</xdr:colOff>
      <xdr:row>5</xdr:row>
      <xdr:rowOff>133350</xdr:rowOff>
    </xdr:to>
    <xdr:sp macro="" textlink="">
      <xdr:nvSpPr>
        <xdr:cNvPr id="4" name="Rectangle 3"/>
        <xdr:cNvSpPr/>
      </xdr:nvSpPr>
      <xdr:spPr>
        <a:xfrm>
          <a:off x="285750" y="9715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85750" y="80010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19050</xdr:rowOff>
    </xdr:from>
    <xdr:to>
      <xdr:col>1</xdr:col>
      <xdr:colOff>276225</xdr:colOff>
      <xdr:row>6</xdr:row>
      <xdr:rowOff>142875</xdr:rowOff>
    </xdr:to>
    <xdr:sp macro="" textlink="">
      <xdr:nvSpPr>
        <xdr:cNvPr id="6" name="Rectangle 5"/>
        <xdr:cNvSpPr/>
      </xdr:nvSpPr>
      <xdr:spPr>
        <a:xfrm>
          <a:off x="285750" y="11430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114300</xdr:colOff>
      <xdr:row>4</xdr:row>
      <xdr:rowOff>161925</xdr:rowOff>
    </xdr:from>
    <xdr:to>
      <xdr:col>4</xdr:col>
      <xdr:colOff>714375</xdr:colOff>
      <xdr:row>6</xdr:row>
      <xdr:rowOff>142875</xdr:rowOff>
    </xdr:to>
    <xdr:sp macro="" textlink="">
      <xdr:nvSpPr>
        <xdr:cNvPr id="2" name="Oval 1"/>
        <xdr:cNvSpPr/>
      </xdr:nvSpPr>
      <xdr:spPr>
        <a:xfrm>
          <a:off x="2705100" y="1114425"/>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95250</xdr:colOff>
      <xdr:row>15</xdr:row>
      <xdr:rowOff>171450</xdr:rowOff>
    </xdr:from>
    <xdr:to>
      <xdr:col>11</xdr:col>
      <xdr:colOff>695325</xdr:colOff>
      <xdr:row>17</xdr:row>
      <xdr:rowOff>152400</xdr:rowOff>
    </xdr:to>
    <xdr:sp macro="" textlink="">
      <xdr:nvSpPr>
        <xdr:cNvPr id="3" name="Oval 2"/>
        <xdr:cNvSpPr/>
      </xdr:nvSpPr>
      <xdr:spPr>
        <a:xfrm>
          <a:off x="8153400" y="4581525"/>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66675</xdr:colOff>
      <xdr:row>6</xdr:row>
      <xdr:rowOff>180975</xdr:rowOff>
    </xdr:from>
    <xdr:to>
      <xdr:col>9</xdr:col>
      <xdr:colOff>666750</xdr:colOff>
      <xdr:row>8</xdr:row>
      <xdr:rowOff>161925</xdr:rowOff>
    </xdr:to>
    <xdr:sp macro="" textlink="">
      <xdr:nvSpPr>
        <xdr:cNvPr id="4" name="Oval 3"/>
        <xdr:cNvSpPr/>
      </xdr:nvSpPr>
      <xdr:spPr>
        <a:xfrm>
          <a:off x="6562725" y="1762125"/>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95250</xdr:colOff>
      <xdr:row>2</xdr:row>
      <xdr:rowOff>209550</xdr:rowOff>
    </xdr:from>
    <xdr:to>
      <xdr:col>2</xdr:col>
      <xdr:colOff>695325</xdr:colOff>
      <xdr:row>4</xdr:row>
      <xdr:rowOff>190500</xdr:rowOff>
    </xdr:to>
    <xdr:sp macro="" textlink="">
      <xdr:nvSpPr>
        <xdr:cNvPr id="5" name="Oval 4"/>
        <xdr:cNvSpPr/>
      </xdr:nvSpPr>
      <xdr:spPr>
        <a:xfrm>
          <a:off x="1123950" y="53340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171450</xdr:rowOff>
    </xdr:from>
    <xdr:to>
      <xdr:col>1</xdr:col>
      <xdr:colOff>704850</xdr:colOff>
      <xdr:row>6</xdr:row>
      <xdr:rowOff>152400</xdr:rowOff>
    </xdr:to>
    <xdr:sp macro="" textlink="">
      <xdr:nvSpPr>
        <xdr:cNvPr id="6" name="Oval 5"/>
        <xdr:cNvSpPr/>
      </xdr:nvSpPr>
      <xdr:spPr>
        <a:xfrm>
          <a:off x="352425" y="112395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xdr:col>
      <xdr:colOff>104775</xdr:colOff>
      <xdr:row>3</xdr:row>
      <xdr:rowOff>161925</xdr:rowOff>
    </xdr:from>
    <xdr:to>
      <xdr:col>4</xdr:col>
      <xdr:colOff>704850</xdr:colOff>
      <xdr:row>5</xdr:row>
      <xdr:rowOff>142875</xdr:rowOff>
    </xdr:to>
    <xdr:sp macro="" textlink="">
      <xdr:nvSpPr>
        <xdr:cNvPr id="7" name="Oval 6"/>
        <xdr:cNvSpPr/>
      </xdr:nvSpPr>
      <xdr:spPr>
        <a:xfrm>
          <a:off x="2695575" y="80010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5</xdr:col>
      <xdr:colOff>85725</xdr:colOff>
      <xdr:row>5</xdr:row>
      <xdr:rowOff>180975</xdr:rowOff>
    </xdr:from>
    <xdr:to>
      <xdr:col>5</xdr:col>
      <xdr:colOff>685800</xdr:colOff>
      <xdr:row>7</xdr:row>
      <xdr:rowOff>161925</xdr:rowOff>
    </xdr:to>
    <xdr:sp macro="" textlink="">
      <xdr:nvSpPr>
        <xdr:cNvPr id="8" name="Oval 7"/>
        <xdr:cNvSpPr/>
      </xdr:nvSpPr>
      <xdr:spPr>
        <a:xfrm>
          <a:off x="3457575" y="144780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85725</xdr:colOff>
      <xdr:row>6</xdr:row>
      <xdr:rowOff>171450</xdr:rowOff>
    </xdr:from>
    <xdr:to>
      <xdr:col>6</xdr:col>
      <xdr:colOff>685800</xdr:colOff>
      <xdr:row>8</xdr:row>
      <xdr:rowOff>152400</xdr:rowOff>
    </xdr:to>
    <xdr:sp macro="" textlink="">
      <xdr:nvSpPr>
        <xdr:cNvPr id="9" name="Oval 8"/>
        <xdr:cNvSpPr/>
      </xdr:nvSpPr>
      <xdr:spPr>
        <a:xfrm>
          <a:off x="4238625" y="175260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76200</xdr:colOff>
      <xdr:row>7</xdr:row>
      <xdr:rowOff>209550</xdr:rowOff>
    </xdr:from>
    <xdr:to>
      <xdr:col>9</xdr:col>
      <xdr:colOff>676275</xdr:colOff>
      <xdr:row>9</xdr:row>
      <xdr:rowOff>190500</xdr:rowOff>
    </xdr:to>
    <xdr:sp macro="" textlink="">
      <xdr:nvSpPr>
        <xdr:cNvPr id="10" name="Oval 9"/>
        <xdr:cNvSpPr/>
      </xdr:nvSpPr>
      <xdr:spPr>
        <a:xfrm>
          <a:off x="6572250" y="2105025"/>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95250</xdr:colOff>
      <xdr:row>8</xdr:row>
      <xdr:rowOff>180975</xdr:rowOff>
    </xdr:from>
    <xdr:to>
      <xdr:col>10</xdr:col>
      <xdr:colOff>695325</xdr:colOff>
      <xdr:row>10</xdr:row>
      <xdr:rowOff>161925</xdr:rowOff>
    </xdr:to>
    <xdr:sp macro="" textlink="">
      <xdr:nvSpPr>
        <xdr:cNvPr id="11" name="Oval 10"/>
        <xdr:cNvSpPr/>
      </xdr:nvSpPr>
      <xdr:spPr>
        <a:xfrm>
          <a:off x="7372350" y="2390775"/>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xdr:col>
      <xdr:colOff>95250</xdr:colOff>
      <xdr:row>9</xdr:row>
      <xdr:rowOff>171450</xdr:rowOff>
    </xdr:from>
    <xdr:to>
      <xdr:col>3</xdr:col>
      <xdr:colOff>695325</xdr:colOff>
      <xdr:row>11</xdr:row>
      <xdr:rowOff>152400</xdr:rowOff>
    </xdr:to>
    <xdr:sp macro="" textlink="">
      <xdr:nvSpPr>
        <xdr:cNvPr id="12" name="Oval 11"/>
        <xdr:cNvSpPr/>
      </xdr:nvSpPr>
      <xdr:spPr>
        <a:xfrm>
          <a:off x="1905000" y="2695575"/>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95250</xdr:colOff>
      <xdr:row>10</xdr:row>
      <xdr:rowOff>171450</xdr:rowOff>
    </xdr:from>
    <xdr:to>
      <xdr:col>13</xdr:col>
      <xdr:colOff>695325</xdr:colOff>
      <xdr:row>12</xdr:row>
      <xdr:rowOff>152400</xdr:rowOff>
    </xdr:to>
    <xdr:sp macro="" textlink="">
      <xdr:nvSpPr>
        <xdr:cNvPr id="13" name="Oval 12"/>
        <xdr:cNvSpPr/>
      </xdr:nvSpPr>
      <xdr:spPr>
        <a:xfrm>
          <a:off x="9715500" y="300990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7</xdr:col>
      <xdr:colOff>95250</xdr:colOff>
      <xdr:row>11</xdr:row>
      <xdr:rowOff>180975</xdr:rowOff>
    </xdr:from>
    <xdr:to>
      <xdr:col>7</xdr:col>
      <xdr:colOff>695325</xdr:colOff>
      <xdr:row>13</xdr:row>
      <xdr:rowOff>161925</xdr:rowOff>
    </xdr:to>
    <xdr:sp macro="" textlink="">
      <xdr:nvSpPr>
        <xdr:cNvPr id="14" name="Oval 13"/>
        <xdr:cNvSpPr/>
      </xdr:nvSpPr>
      <xdr:spPr>
        <a:xfrm>
          <a:off x="5029200" y="333375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8</xdr:col>
      <xdr:colOff>95250</xdr:colOff>
      <xdr:row>12</xdr:row>
      <xdr:rowOff>171450</xdr:rowOff>
    </xdr:from>
    <xdr:to>
      <xdr:col>8</xdr:col>
      <xdr:colOff>695325</xdr:colOff>
      <xdr:row>14</xdr:row>
      <xdr:rowOff>152400</xdr:rowOff>
    </xdr:to>
    <xdr:sp macro="" textlink="">
      <xdr:nvSpPr>
        <xdr:cNvPr id="15" name="Oval 14"/>
        <xdr:cNvSpPr/>
      </xdr:nvSpPr>
      <xdr:spPr>
        <a:xfrm>
          <a:off x="5810250" y="363855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104775</xdr:colOff>
      <xdr:row>13</xdr:row>
      <xdr:rowOff>171450</xdr:rowOff>
    </xdr:from>
    <xdr:to>
      <xdr:col>12</xdr:col>
      <xdr:colOff>704850</xdr:colOff>
      <xdr:row>15</xdr:row>
      <xdr:rowOff>152400</xdr:rowOff>
    </xdr:to>
    <xdr:sp macro="" textlink="">
      <xdr:nvSpPr>
        <xdr:cNvPr id="16" name="Oval 15"/>
        <xdr:cNvSpPr/>
      </xdr:nvSpPr>
      <xdr:spPr>
        <a:xfrm>
          <a:off x="8943975" y="3952875"/>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114300</xdr:colOff>
      <xdr:row>15</xdr:row>
      <xdr:rowOff>180975</xdr:rowOff>
    </xdr:from>
    <xdr:to>
      <xdr:col>14</xdr:col>
      <xdr:colOff>714375</xdr:colOff>
      <xdr:row>17</xdr:row>
      <xdr:rowOff>161925</xdr:rowOff>
    </xdr:to>
    <xdr:sp macro="" textlink="">
      <xdr:nvSpPr>
        <xdr:cNvPr id="17" name="Oval 16"/>
        <xdr:cNvSpPr/>
      </xdr:nvSpPr>
      <xdr:spPr>
        <a:xfrm>
          <a:off x="10515600" y="459105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11</xdr:col>
      <xdr:colOff>95250</xdr:colOff>
      <xdr:row>14</xdr:row>
      <xdr:rowOff>171450</xdr:rowOff>
    </xdr:from>
    <xdr:to>
      <xdr:col>11</xdr:col>
      <xdr:colOff>695325</xdr:colOff>
      <xdr:row>16</xdr:row>
      <xdr:rowOff>152400</xdr:rowOff>
    </xdr:to>
    <xdr:sp macro="" textlink="">
      <xdr:nvSpPr>
        <xdr:cNvPr id="18" name="Oval 17"/>
        <xdr:cNvSpPr/>
      </xdr:nvSpPr>
      <xdr:spPr>
        <a:xfrm>
          <a:off x="8153400" y="426720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123826</xdr:colOff>
      <xdr:row>3</xdr:row>
      <xdr:rowOff>76201</xdr:rowOff>
    </xdr:from>
    <xdr:to>
      <xdr:col>2</xdr:col>
      <xdr:colOff>685800</xdr:colOff>
      <xdr:row>3</xdr:row>
      <xdr:rowOff>295275</xdr:rowOff>
    </xdr:to>
    <xdr:sp macro="" textlink="">
      <xdr:nvSpPr>
        <xdr:cNvPr id="19" name="TextBox 18"/>
        <xdr:cNvSpPr txBox="1"/>
      </xdr:nvSpPr>
      <xdr:spPr>
        <a:xfrm>
          <a:off x="1152526" y="714376"/>
          <a:ext cx="561974" cy="21907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Borders</a:t>
          </a:r>
        </a:p>
      </xdr:txBody>
    </xdr:sp>
    <xdr:clientData/>
  </xdr:twoCellAnchor>
  <xdr:twoCellAnchor>
    <xdr:from>
      <xdr:col>1</xdr:col>
      <xdr:colOff>57150</xdr:colOff>
      <xdr:row>4</xdr:row>
      <xdr:rowOff>200025</xdr:rowOff>
    </xdr:from>
    <xdr:to>
      <xdr:col>1</xdr:col>
      <xdr:colOff>761999</xdr:colOff>
      <xdr:row>6</xdr:row>
      <xdr:rowOff>66675</xdr:rowOff>
    </xdr:to>
    <xdr:sp macro="" textlink="">
      <xdr:nvSpPr>
        <xdr:cNvPr id="20" name="TextBox 19"/>
        <xdr:cNvSpPr txBox="1"/>
      </xdr:nvSpPr>
      <xdr:spPr>
        <a:xfrm>
          <a:off x="304800" y="1152525"/>
          <a:ext cx="704849" cy="4953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900" b="1">
              <a:solidFill>
                <a:schemeClr val="bg1"/>
              </a:solidFill>
            </a:rPr>
            <a:t>Ayrshire</a:t>
          </a:r>
          <a:br>
            <a:rPr lang="en-GB" sz="900" b="1">
              <a:solidFill>
                <a:schemeClr val="bg1"/>
              </a:solidFill>
            </a:rPr>
          </a:br>
          <a:r>
            <a:rPr lang="en-GB" sz="900" b="1">
              <a:solidFill>
                <a:schemeClr val="bg1"/>
              </a:solidFill>
            </a:rPr>
            <a:t>&amp; Arran</a:t>
          </a:r>
        </a:p>
      </xdr:txBody>
    </xdr:sp>
    <xdr:clientData/>
  </xdr:twoCellAnchor>
  <xdr:twoCellAnchor>
    <xdr:from>
      <xdr:col>1</xdr:col>
      <xdr:colOff>114300</xdr:colOff>
      <xdr:row>9</xdr:row>
      <xdr:rowOff>200025</xdr:rowOff>
    </xdr:from>
    <xdr:to>
      <xdr:col>1</xdr:col>
      <xdr:colOff>714375</xdr:colOff>
      <xdr:row>11</xdr:row>
      <xdr:rowOff>180975</xdr:rowOff>
    </xdr:to>
    <xdr:sp macro="" textlink="">
      <xdr:nvSpPr>
        <xdr:cNvPr id="21" name="Oval 20"/>
        <xdr:cNvSpPr/>
      </xdr:nvSpPr>
      <xdr:spPr>
        <a:xfrm>
          <a:off x="361950" y="2724150"/>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295275</xdr:colOff>
      <xdr:row>6</xdr:row>
      <xdr:rowOff>219075</xdr:rowOff>
    </xdr:from>
    <xdr:to>
      <xdr:col>1</xdr:col>
      <xdr:colOff>552450</xdr:colOff>
      <xdr:row>9</xdr:row>
      <xdr:rowOff>0</xdr:rowOff>
    </xdr:to>
    <xdr:sp macro="" textlink="">
      <xdr:nvSpPr>
        <xdr:cNvPr id="22" name="Up Arrow 21"/>
        <xdr:cNvSpPr/>
      </xdr:nvSpPr>
      <xdr:spPr>
        <a:xfrm>
          <a:off x="542925" y="1800225"/>
          <a:ext cx="257175" cy="723900"/>
        </a:xfrm>
        <a:prstGeom prst="upArrow">
          <a:avLst/>
        </a:prstGeom>
        <a:no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xdr:col>
      <xdr:colOff>47625</xdr:colOff>
      <xdr:row>9</xdr:row>
      <xdr:rowOff>161925</xdr:rowOff>
    </xdr:from>
    <xdr:to>
      <xdr:col>3</xdr:col>
      <xdr:colOff>752474</xdr:colOff>
      <xdr:row>11</xdr:row>
      <xdr:rowOff>161925</xdr:rowOff>
    </xdr:to>
    <xdr:sp macro="" textlink="">
      <xdr:nvSpPr>
        <xdr:cNvPr id="23" name="TextBox 22"/>
        <xdr:cNvSpPr txBox="1"/>
      </xdr:nvSpPr>
      <xdr:spPr>
        <a:xfrm>
          <a:off x="1857375" y="2686050"/>
          <a:ext cx="704849" cy="6286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900" b="1">
              <a:solidFill>
                <a:schemeClr val="bg1"/>
              </a:solidFill>
            </a:rPr>
            <a:t>Dumfries &amp; Galloway</a:t>
          </a:r>
        </a:p>
      </xdr:txBody>
    </xdr:sp>
    <xdr:clientData/>
  </xdr:twoCellAnchor>
  <xdr:twoCellAnchor>
    <xdr:from>
      <xdr:col>3</xdr:col>
      <xdr:colOff>95250</xdr:colOff>
      <xdr:row>3</xdr:row>
      <xdr:rowOff>152400</xdr:rowOff>
    </xdr:from>
    <xdr:to>
      <xdr:col>3</xdr:col>
      <xdr:colOff>695325</xdr:colOff>
      <xdr:row>5</xdr:row>
      <xdr:rowOff>133350</xdr:rowOff>
    </xdr:to>
    <xdr:sp macro="" textlink="">
      <xdr:nvSpPr>
        <xdr:cNvPr id="24" name="Oval 23"/>
        <xdr:cNvSpPr/>
      </xdr:nvSpPr>
      <xdr:spPr>
        <a:xfrm>
          <a:off x="1905000" y="790575"/>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xdr:col>
      <xdr:colOff>238125</xdr:colOff>
      <xdr:row>6</xdr:row>
      <xdr:rowOff>19050</xdr:rowOff>
    </xdr:from>
    <xdr:to>
      <xdr:col>3</xdr:col>
      <xdr:colOff>542925</xdr:colOff>
      <xdr:row>9</xdr:row>
      <xdr:rowOff>0</xdr:rowOff>
    </xdr:to>
    <xdr:sp macro="" textlink="">
      <xdr:nvSpPr>
        <xdr:cNvPr id="25" name="Down Arrow 24"/>
        <xdr:cNvSpPr/>
      </xdr:nvSpPr>
      <xdr:spPr>
        <a:xfrm>
          <a:off x="2047875" y="1600200"/>
          <a:ext cx="304800" cy="923925"/>
        </a:xfrm>
        <a:prstGeom prst="downArrow">
          <a:avLst/>
        </a:prstGeom>
        <a:no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xdr:col>
      <xdr:colOff>123825</xdr:colOff>
      <xdr:row>4</xdr:row>
      <xdr:rowOff>28575</xdr:rowOff>
    </xdr:from>
    <xdr:to>
      <xdr:col>4</xdr:col>
      <xdr:colOff>685799</xdr:colOff>
      <xdr:row>4</xdr:row>
      <xdr:rowOff>247649</xdr:rowOff>
    </xdr:to>
    <xdr:sp macro="" textlink="">
      <xdr:nvSpPr>
        <xdr:cNvPr id="26" name="TextBox 25"/>
        <xdr:cNvSpPr txBox="1"/>
      </xdr:nvSpPr>
      <xdr:spPr>
        <a:xfrm>
          <a:off x="2714625" y="981075"/>
          <a:ext cx="561974" cy="21907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Fife</a:t>
          </a:r>
        </a:p>
      </xdr:txBody>
    </xdr:sp>
    <xdr:clientData/>
  </xdr:twoCellAnchor>
  <xdr:twoCellAnchor>
    <xdr:from>
      <xdr:col>5</xdr:col>
      <xdr:colOff>28575</xdr:colOff>
      <xdr:row>5</xdr:row>
      <xdr:rowOff>238125</xdr:rowOff>
    </xdr:from>
    <xdr:to>
      <xdr:col>5</xdr:col>
      <xdr:colOff>733424</xdr:colOff>
      <xdr:row>7</xdr:row>
      <xdr:rowOff>104775</xdr:rowOff>
    </xdr:to>
    <xdr:sp macro="" textlink="">
      <xdr:nvSpPr>
        <xdr:cNvPr id="27" name="TextBox 26"/>
        <xdr:cNvSpPr txBox="1"/>
      </xdr:nvSpPr>
      <xdr:spPr>
        <a:xfrm>
          <a:off x="3400425" y="1504950"/>
          <a:ext cx="704849" cy="4953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900" b="1">
              <a:solidFill>
                <a:schemeClr val="bg1"/>
              </a:solidFill>
            </a:rPr>
            <a:t>Forth Valley</a:t>
          </a:r>
        </a:p>
      </xdr:txBody>
    </xdr:sp>
    <xdr:clientData/>
  </xdr:twoCellAnchor>
  <xdr:twoCellAnchor>
    <xdr:from>
      <xdr:col>5</xdr:col>
      <xdr:colOff>104775</xdr:colOff>
      <xdr:row>8</xdr:row>
      <xdr:rowOff>180975</xdr:rowOff>
    </xdr:from>
    <xdr:to>
      <xdr:col>5</xdr:col>
      <xdr:colOff>704850</xdr:colOff>
      <xdr:row>10</xdr:row>
      <xdr:rowOff>161925</xdr:rowOff>
    </xdr:to>
    <xdr:sp macro="" textlink="">
      <xdr:nvSpPr>
        <xdr:cNvPr id="28" name="Oval 27"/>
        <xdr:cNvSpPr/>
      </xdr:nvSpPr>
      <xdr:spPr>
        <a:xfrm>
          <a:off x="3476625" y="2390775"/>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5</xdr:col>
      <xdr:colOff>257175</xdr:colOff>
      <xdr:row>7</xdr:row>
      <xdr:rowOff>219075</xdr:rowOff>
    </xdr:from>
    <xdr:to>
      <xdr:col>5</xdr:col>
      <xdr:colOff>514350</xdr:colOff>
      <xdr:row>8</xdr:row>
      <xdr:rowOff>123825</xdr:rowOff>
    </xdr:to>
    <xdr:sp macro="" textlink="">
      <xdr:nvSpPr>
        <xdr:cNvPr id="29" name="Up Arrow 28"/>
        <xdr:cNvSpPr/>
      </xdr:nvSpPr>
      <xdr:spPr>
        <a:xfrm>
          <a:off x="3629025" y="2114550"/>
          <a:ext cx="257175" cy="219075"/>
        </a:xfrm>
        <a:prstGeom prst="upArrow">
          <a:avLst/>
        </a:prstGeom>
        <a:no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104775</xdr:colOff>
      <xdr:row>10</xdr:row>
      <xdr:rowOff>180975</xdr:rowOff>
    </xdr:from>
    <xdr:to>
      <xdr:col>6</xdr:col>
      <xdr:colOff>704850</xdr:colOff>
      <xdr:row>12</xdr:row>
      <xdr:rowOff>161925</xdr:rowOff>
    </xdr:to>
    <xdr:sp macro="" textlink="">
      <xdr:nvSpPr>
        <xdr:cNvPr id="30" name="Oval 29"/>
        <xdr:cNvSpPr/>
      </xdr:nvSpPr>
      <xdr:spPr>
        <a:xfrm>
          <a:off x="4257675" y="3019425"/>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266700</xdr:colOff>
      <xdr:row>8</xdr:row>
      <xdr:rowOff>190500</xdr:rowOff>
    </xdr:from>
    <xdr:to>
      <xdr:col>6</xdr:col>
      <xdr:colOff>523875</xdr:colOff>
      <xdr:row>10</xdr:row>
      <xdr:rowOff>123825</xdr:rowOff>
    </xdr:to>
    <xdr:sp macro="" textlink="">
      <xdr:nvSpPr>
        <xdr:cNvPr id="31" name="Up Arrow 30"/>
        <xdr:cNvSpPr/>
      </xdr:nvSpPr>
      <xdr:spPr>
        <a:xfrm>
          <a:off x="4419600" y="2400300"/>
          <a:ext cx="257175" cy="561975"/>
        </a:xfrm>
        <a:prstGeom prst="upArrow">
          <a:avLst/>
        </a:prstGeom>
        <a:no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38100</xdr:colOff>
      <xdr:row>7</xdr:row>
      <xdr:rowOff>19050</xdr:rowOff>
    </xdr:from>
    <xdr:to>
      <xdr:col>6</xdr:col>
      <xdr:colOff>742950</xdr:colOff>
      <xdr:row>7</xdr:row>
      <xdr:rowOff>247650</xdr:rowOff>
    </xdr:to>
    <xdr:sp macro="" textlink="">
      <xdr:nvSpPr>
        <xdr:cNvPr id="32" name="TextBox 31"/>
        <xdr:cNvSpPr txBox="1"/>
      </xdr:nvSpPr>
      <xdr:spPr>
        <a:xfrm>
          <a:off x="4191000" y="1914525"/>
          <a:ext cx="704850"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Grampian</a:t>
          </a:r>
        </a:p>
      </xdr:txBody>
    </xdr:sp>
    <xdr:clientData/>
  </xdr:twoCellAnchor>
  <xdr:twoCellAnchor>
    <xdr:from>
      <xdr:col>7</xdr:col>
      <xdr:colOff>47625</xdr:colOff>
      <xdr:row>11</xdr:row>
      <xdr:rowOff>161925</xdr:rowOff>
    </xdr:from>
    <xdr:to>
      <xdr:col>7</xdr:col>
      <xdr:colOff>752474</xdr:colOff>
      <xdr:row>13</xdr:row>
      <xdr:rowOff>161925</xdr:rowOff>
    </xdr:to>
    <xdr:sp macro="" textlink="">
      <xdr:nvSpPr>
        <xdr:cNvPr id="33" name="TextBox 32"/>
        <xdr:cNvSpPr txBox="1"/>
      </xdr:nvSpPr>
      <xdr:spPr>
        <a:xfrm>
          <a:off x="4981575" y="3314700"/>
          <a:ext cx="704849" cy="6286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900" b="1">
              <a:solidFill>
                <a:schemeClr val="bg1"/>
              </a:solidFill>
            </a:rPr>
            <a:t>Greater Glasgow &amp; Clyde</a:t>
          </a:r>
        </a:p>
      </xdr:txBody>
    </xdr:sp>
    <xdr:clientData/>
  </xdr:twoCellAnchor>
  <xdr:twoCellAnchor>
    <xdr:from>
      <xdr:col>8</xdr:col>
      <xdr:colOff>104775</xdr:colOff>
      <xdr:row>14</xdr:row>
      <xdr:rowOff>171450</xdr:rowOff>
    </xdr:from>
    <xdr:to>
      <xdr:col>8</xdr:col>
      <xdr:colOff>704850</xdr:colOff>
      <xdr:row>16</xdr:row>
      <xdr:rowOff>152400</xdr:rowOff>
    </xdr:to>
    <xdr:sp macro="" textlink="">
      <xdr:nvSpPr>
        <xdr:cNvPr id="34" name="Oval 33"/>
        <xdr:cNvSpPr/>
      </xdr:nvSpPr>
      <xdr:spPr>
        <a:xfrm>
          <a:off x="5819775" y="4267200"/>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8</xdr:col>
      <xdr:colOff>66674</xdr:colOff>
      <xdr:row>13</xdr:row>
      <xdr:rowOff>19049</xdr:rowOff>
    </xdr:from>
    <xdr:to>
      <xdr:col>8</xdr:col>
      <xdr:colOff>752475</xdr:colOff>
      <xdr:row>13</xdr:row>
      <xdr:rowOff>276225</xdr:rowOff>
    </xdr:to>
    <xdr:sp macro="" textlink="">
      <xdr:nvSpPr>
        <xdr:cNvPr id="35" name="TextBox 34"/>
        <xdr:cNvSpPr txBox="1"/>
      </xdr:nvSpPr>
      <xdr:spPr>
        <a:xfrm>
          <a:off x="5781674" y="3800474"/>
          <a:ext cx="685801" cy="25717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Highland</a:t>
          </a:r>
        </a:p>
      </xdr:txBody>
    </xdr:sp>
    <xdr:clientData/>
  </xdr:twoCellAnchor>
  <xdr:twoCellAnchor>
    <xdr:from>
      <xdr:col>8</xdr:col>
      <xdr:colOff>771525</xdr:colOff>
      <xdr:row>8</xdr:row>
      <xdr:rowOff>76200</xdr:rowOff>
    </xdr:from>
    <xdr:to>
      <xdr:col>9</xdr:col>
      <xdr:colOff>771525</xdr:colOff>
      <xdr:row>9</xdr:row>
      <xdr:rowOff>19051</xdr:rowOff>
    </xdr:to>
    <xdr:sp macro="" textlink="">
      <xdr:nvSpPr>
        <xdr:cNvPr id="36" name="TextBox 35"/>
        <xdr:cNvSpPr txBox="1"/>
      </xdr:nvSpPr>
      <xdr:spPr>
        <a:xfrm>
          <a:off x="6486525" y="2286000"/>
          <a:ext cx="781050" cy="25717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Lanarkshire</a:t>
          </a:r>
        </a:p>
      </xdr:txBody>
    </xdr:sp>
    <xdr:clientData/>
  </xdr:twoCellAnchor>
  <xdr:twoCellAnchor>
    <xdr:from>
      <xdr:col>10</xdr:col>
      <xdr:colOff>95250</xdr:colOff>
      <xdr:row>13</xdr:row>
      <xdr:rowOff>171450</xdr:rowOff>
    </xdr:from>
    <xdr:to>
      <xdr:col>10</xdr:col>
      <xdr:colOff>695325</xdr:colOff>
      <xdr:row>15</xdr:row>
      <xdr:rowOff>152400</xdr:rowOff>
    </xdr:to>
    <xdr:sp macro="" textlink="">
      <xdr:nvSpPr>
        <xdr:cNvPr id="37" name="Oval 36"/>
        <xdr:cNvSpPr/>
      </xdr:nvSpPr>
      <xdr:spPr>
        <a:xfrm>
          <a:off x="7372350" y="3952875"/>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276225</xdr:colOff>
      <xdr:row>10</xdr:row>
      <xdr:rowOff>228600</xdr:rowOff>
    </xdr:from>
    <xdr:to>
      <xdr:col>10</xdr:col>
      <xdr:colOff>533400</xdr:colOff>
      <xdr:row>13</xdr:row>
      <xdr:rowOff>104775</xdr:rowOff>
    </xdr:to>
    <xdr:sp macro="" textlink="">
      <xdr:nvSpPr>
        <xdr:cNvPr id="38" name="Up Arrow 37"/>
        <xdr:cNvSpPr/>
      </xdr:nvSpPr>
      <xdr:spPr>
        <a:xfrm>
          <a:off x="7553325" y="3067050"/>
          <a:ext cx="257175" cy="819150"/>
        </a:xfrm>
        <a:prstGeom prst="upArrow">
          <a:avLst/>
        </a:prstGeom>
        <a:no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9525</xdr:colOff>
      <xdr:row>9</xdr:row>
      <xdr:rowOff>38100</xdr:rowOff>
    </xdr:from>
    <xdr:to>
      <xdr:col>11</xdr:col>
      <xdr:colOff>9525</xdr:colOff>
      <xdr:row>9</xdr:row>
      <xdr:rowOff>295276</xdr:rowOff>
    </xdr:to>
    <xdr:sp macro="" textlink="">
      <xdr:nvSpPr>
        <xdr:cNvPr id="39" name="TextBox 38"/>
        <xdr:cNvSpPr txBox="1"/>
      </xdr:nvSpPr>
      <xdr:spPr>
        <a:xfrm>
          <a:off x="7286625" y="2562225"/>
          <a:ext cx="781050" cy="25717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Lothian</a:t>
          </a:r>
        </a:p>
      </xdr:txBody>
    </xdr:sp>
    <xdr:clientData/>
  </xdr:twoCellAnchor>
  <xdr:twoCellAnchor>
    <xdr:from>
      <xdr:col>11</xdr:col>
      <xdr:colOff>19050</xdr:colOff>
      <xdr:row>15</xdr:row>
      <xdr:rowOff>28575</xdr:rowOff>
    </xdr:from>
    <xdr:to>
      <xdr:col>12</xdr:col>
      <xdr:colOff>19050</xdr:colOff>
      <xdr:row>15</xdr:row>
      <xdr:rowOff>285751</xdr:rowOff>
    </xdr:to>
    <xdr:sp macro="" textlink="">
      <xdr:nvSpPr>
        <xdr:cNvPr id="40" name="TextBox 39"/>
        <xdr:cNvSpPr txBox="1"/>
      </xdr:nvSpPr>
      <xdr:spPr>
        <a:xfrm>
          <a:off x="8077200" y="4438650"/>
          <a:ext cx="781050" cy="25717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Orkney</a:t>
          </a:r>
        </a:p>
      </xdr:txBody>
    </xdr:sp>
    <xdr:clientData/>
  </xdr:twoCellAnchor>
  <xdr:twoCellAnchor>
    <xdr:from>
      <xdr:col>12</xdr:col>
      <xdr:colOff>85725</xdr:colOff>
      <xdr:row>5</xdr:row>
      <xdr:rowOff>171450</xdr:rowOff>
    </xdr:from>
    <xdr:to>
      <xdr:col>12</xdr:col>
      <xdr:colOff>685800</xdr:colOff>
      <xdr:row>7</xdr:row>
      <xdr:rowOff>152400</xdr:rowOff>
    </xdr:to>
    <xdr:sp macro="" textlink="">
      <xdr:nvSpPr>
        <xdr:cNvPr id="41" name="Oval 40"/>
        <xdr:cNvSpPr/>
      </xdr:nvSpPr>
      <xdr:spPr>
        <a:xfrm>
          <a:off x="8924925" y="1438275"/>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238125</xdr:colOff>
      <xdr:row>7</xdr:row>
      <xdr:rowOff>266700</xdr:rowOff>
    </xdr:from>
    <xdr:to>
      <xdr:col>12</xdr:col>
      <xdr:colOff>542925</xdr:colOff>
      <xdr:row>13</xdr:row>
      <xdr:rowOff>95250</xdr:rowOff>
    </xdr:to>
    <xdr:sp macro="" textlink="">
      <xdr:nvSpPr>
        <xdr:cNvPr id="42" name="Down Arrow 41"/>
        <xdr:cNvSpPr/>
      </xdr:nvSpPr>
      <xdr:spPr>
        <a:xfrm>
          <a:off x="9077325" y="2162175"/>
          <a:ext cx="304800" cy="1714500"/>
        </a:xfrm>
        <a:prstGeom prst="downArrow">
          <a:avLst/>
        </a:prstGeom>
        <a:no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19050</xdr:colOff>
      <xdr:row>14</xdr:row>
      <xdr:rowOff>38100</xdr:rowOff>
    </xdr:from>
    <xdr:to>
      <xdr:col>13</xdr:col>
      <xdr:colOff>19050</xdr:colOff>
      <xdr:row>14</xdr:row>
      <xdr:rowOff>295276</xdr:rowOff>
    </xdr:to>
    <xdr:sp macro="" textlink="">
      <xdr:nvSpPr>
        <xdr:cNvPr id="43" name="TextBox 42"/>
        <xdr:cNvSpPr txBox="1"/>
      </xdr:nvSpPr>
      <xdr:spPr>
        <a:xfrm>
          <a:off x="8858250" y="4133850"/>
          <a:ext cx="781050" cy="25717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Shetland</a:t>
          </a:r>
        </a:p>
      </xdr:txBody>
    </xdr:sp>
    <xdr:clientData/>
  </xdr:twoCellAnchor>
  <xdr:twoCellAnchor>
    <xdr:from>
      <xdr:col>13</xdr:col>
      <xdr:colOff>95250</xdr:colOff>
      <xdr:row>12</xdr:row>
      <xdr:rowOff>190500</xdr:rowOff>
    </xdr:from>
    <xdr:to>
      <xdr:col>13</xdr:col>
      <xdr:colOff>695325</xdr:colOff>
      <xdr:row>14</xdr:row>
      <xdr:rowOff>171450</xdr:rowOff>
    </xdr:to>
    <xdr:sp macro="" textlink="">
      <xdr:nvSpPr>
        <xdr:cNvPr id="44" name="Oval 43"/>
        <xdr:cNvSpPr/>
      </xdr:nvSpPr>
      <xdr:spPr>
        <a:xfrm>
          <a:off x="9715500" y="3657600"/>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9525</xdr:colOff>
      <xdr:row>11</xdr:row>
      <xdr:rowOff>28575</xdr:rowOff>
    </xdr:from>
    <xdr:to>
      <xdr:col>14</xdr:col>
      <xdr:colOff>9525</xdr:colOff>
      <xdr:row>11</xdr:row>
      <xdr:rowOff>285751</xdr:rowOff>
    </xdr:to>
    <xdr:sp macro="" textlink="">
      <xdr:nvSpPr>
        <xdr:cNvPr id="45" name="TextBox 44"/>
        <xdr:cNvSpPr txBox="1"/>
      </xdr:nvSpPr>
      <xdr:spPr>
        <a:xfrm>
          <a:off x="9629775" y="3181350"/>
          <a:ext cx="781050" cy="25717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Tayside</a:t>
          </a:r>
        </a:p>
      </xdr:txBody>
    </xdr:sp>
    <xdr:clientData/>
  </xdr:twoCellAnchor>
  <xdr:twoCellAnchor>
    <xdr:from>
      <xdr:col>14</xdr:col>
      <xdr:colOff>66675</xdr:colOff>
      <xdr:row>15</xdr:row>
      <xdr:rowOff>238125</xdr:rowOff>
    </xdr:from>
    <xdr:to>
      <xdr:col>14</xdr:col>
      <xdr:colOff>771524</xdr:colOff>
      <xdr:row>17</xdr:row>
      <xdr:rowOff>104775</xdr:rowOff>
    </xdr:to>
    <xdr:sp macro="" textlink="">
      <xdr:nvSpPr>
        <xdr:cNvPr id="46" name="TextBox 45"/>
        <xdr:cNvSpPr txBox="1"/>
      </xdr:nvSpPr>
      <xdr:spPr>
        <a:xfrm>
          <a:off x="10467975" y="4648200"/>
          <a:ext cx="704849" cy="4953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900" b="1">
              <a:solidFill>
                <a:schemeClr val="bg1"/>
              </a:solidFill>
            </a:rPr>
            <a:t>Western Isles</a:t>
          </a:r>
        </a:p>
      </xdr:txBody>
    </xdr:sp>
    <xdr:clientData/>
  </xdr:twoCellAnchor>
  <xdr:twoCellAnchor>
    <xdr:from>
      <xdr:col>14</xdr:col>
      <xdr:colOff>95250</xdr:colOff>
      <xdr:row>7</xdr:row>
      <xdr:rowOff>180975</xdr:rowOff>
    </xdr:from>
    <xdr:to>
      <xdr:col>14</xdr:col>
      <xdr:colOff>695325</xdr:colOff>
      <xdr:row>9</xdr:row>
      <xdr:rowOff>161925</xdr:rowOff>
    </xdr:to>
    <xdr:sp macro="" textlink="">
      <xdr:nvSpPr>
        <xdr:cNvPr id="47" name="Oval 46"/>
        <xdr:cNvSpPr/>
      </xdr:nvSpPr>
      <xdr:spPr>
        <a:xfrm>
          <a:off x="10496550" y="2076450"/>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247650</xdr:colOff>
      <xdr:row>9</xdr:row>
      <xdr:rowOff>247649</xdr:rowOff>
    </xdr:from>
    <xdr:to>
      <xdr:col>14</xdr:col>
      <xdr:colOff>552450</xdr:colOff>
      <xdr:row>15</xdr:row>
      <xdr:rowOff>123824</xdr:rowOff>
    </xdr:to>
    <xdr:sp macro="" textlink="">
      <xdr:nvSpPr>
        <xdr:cNvPr id="48" name="Down Arrow 47"/>
        <xdr:cNvSpPr/>
      </xdr:nvSpPr>
      <xdr:spPr>
        <a:xfrm>
          <a:off x="10648950" y="2771774"/>
          <a:ext cx="304800" cy="1762125"/>
        </a:xfrm>
        <a:prstGeom prst="downArrow">
          <a:avLst/>
        </a:prstGeom>
        <a:no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5</xdr:col>
      <xdr:colOff>0</xdr:colOff>
      <xdr:row>20</xdr:row>
      <xdr:rowOff>0</xdr:rowOff>
    </xdr:from>
    <xdr:to>
      <xdr:col>5</xdr:col>
      <xdr:colOff>600075</xdr:colOff>
      <xdr:row>23</xdr:row>
      <xdr:rowOff>123825</xdr:rowOff>
    </xdr:to>
    <xdr:sp macro="" textlink="">
      <xdr:nvSpPr>
        <xdr:cNvPr id="49" name="Oval 48"/>
        <xdr:cNvSpPr/>
      </xdr:nvSpPr>
      <xdr:spPr>
        <a:xfrm>
          <a:off x="3371850" y="5676900"/>
          <a:ext cx="600075" cy="609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5</xdr:col>
      <xdr:colOff>19050</xdr:colOff>
      <xdr:row>20</xdr:row>
      <xdr:rowOff>104775</xdr:rowOff>
    </xdr:from>
    <xdr:to>
      <xdr:col>5</xdr:col>
      <xdr:colOff>581024</xdr:colOff>
      <xdr:row>23</xdr:row>
      <xdr:rowOff>57150</xdr:rowOff>
    </xdr:to>
    <xdr:sp macro="" textlink="">
      <xdr:nvSpPr>
        <xdr:cNvPr id="50" name="TextBox 49"/>
        <xdr:cNvSpPr txBox="1"/>
      </xdr:nvSpPr>
      <xdr:spPr>
        <a:xfrm>
          <a:off x="3390900" y="5781675"/>
          <a:ext cx="561974" cy="4381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bg1"/>
              </a:solidFill>
            </a:rPr>
            <a:t>2016</a:t>
          </a:r>
          <a:br>
            <a:rPr lang="en-GB" sz="900" b="1">
              <a:solidFill>
                <a:schemeClr val="bg1"/>
              </a:solidFill>
            </a:rPr>
          </a:br>
          <a:r>
            <a:rPr lang="en-GB" sz="900" b="1">
              <a:solidFill>
                <a:schemeClr val="bg1"/>
              </a:solidFill>
            </a:rPr>
            <a:t>ranking</a:t>
          </a:r>
        </a:p>
      </xdr:txBody>
    </xdr:sp>
    <xdr:clientData/>
  </xdr:twoCellAnchor>
  <xdr:twoCellAnchor>
    <xdr:from>
      <xdr:col>6</xdr:col>
      <xdr:colOff>0</xdr:colOff>
      <xdr:row>20</xdr:row>
      <xdr:rowOff>0</xdr:rowOff>
    </xdr:from>
    <xdr:to>
      <xdr:col>6</xdr:col>
      <xdr:colOff>600075</xdr:colOff>
      <xdr:row>23</xdr:row>
      <xdr:rowOff>123825</xdr:rowOff>
    </xdr:to>
    <xdr:sp macro="" textlink="">
      <xdr:nvSpPr>
        <xdr:cNvPr id="51" name="Oval 50"/>
        <xdr:cNvSpPr/>
      </xdr:nvSpPr>
      <xdr:spPr>
        <a:xfrm>
          <a:off x="4152900" y="5676900"/>
          <a:ext cx="600075" cy="609600"/>
        </a:xfrm>
        <a:prstGeom prst="ellipse">
          <a:avLst/>
        </a:prstGeom>
        <a:solidFill>
          <a:schemeClr val="accent1">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9525</xdr:colOff>
      <xdr:row>20</xdr:row>
      <xdr:rowOff>104775</xdr:rowOff>
    </xdr:from>
    <xdr:to>
      <xdr:col>6</xdr:col>
      <xdr:colOff>571499</xdr:colOff>
      <xdr:row>23</xdr:row>
      <xdr:rowOff>57150</xdr:rowOff>
    </xdr:to>
    <xdr:sp macro="" textlink="">
      <xdr:nvSpPr>
        <xdr:cNvPr id="52" name="TextBox 51"/>
        <xdr:cNvSpPr txBox="1"/>
      </xdr:nvSpPr>
      <xdr:spPr>
        <a:xfrm>
          <a:off x="4162425" y="5781675"/>
          <a:ext cx="561974" cy="4381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1">
              <a:solidFill>
                <a:schemeClr val="accent1">
                  <a:lumMod val="75000"/>
                </a:schemeClr>
              </a:solidFill>
            </a:rPr>
            <a:t>2015</a:t>
          </a:r>
          <a:br>
            <a:rPr lang="en-GB" sz="900" b="1">
              <a:solidFill>
                <a:schemeClr val="accent1">
                  <a:lumMod val="75000"/>
                </a:schemeClr>
              </a:solidFill>
            </a:rPr>
          </a:br>
          <a:r>
            <a:rPr lang="en-GB" sz="900" b="1">
              <a:solidFill>
                <a:schemeClr val="accent1">
                  <a:lumMod val="75000"/>
                </a:schemeClr>
              </a:solidFill>
            </a:rPr>
            <a:t>ranking</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9524</xdr:colOff>
      <xdr:row>5</xdr:row>
      <xdr:rowOff>180975</xdr:rowOff>
    </xdr:from>
    <xdr:to>
      <xdr:col>17</xdr:col>
      <xdr:colOff>600075</xdr:colOff>
      <xdr:row>38</xdr:row>
      <xdr:rowOff>9524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10</xdr:row>
      <xdr:rowOff>1</xdr:rowOff>
    </xdr:from>
    <xdr:to>
      <xdr:col>15</xdr:col>
      <xdr:colOff>9525</xdr:colOff>
      <xdr:row>41</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5</xdr:row>
      <xdr:rowOff>9525</xdr:rowOff>
    </xdr:from>
    <xdr:to>
      <xdr:col>1</xdr:col>
      <xdr:colOff>276225</xdr:colOff>
      <xdr:row>5</xdr:row>
      <xdr:rowOff>133350</xdr:rowOff>
    </xdr:to>
    <xdr:sp macro="" textlink="">
      <xdr:nvSpPr>
        <xdr:cNvPr id="3" name="Rectangle 2"/>
        <xdr:cNvSpPr/>
      </xdr:nvSpPr>
      <xdr:spPr>
        <a:xfrm>
          <a:off x="285750" y="9715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7</xdr:row>
      <xdr:rowOff>9525</xdr:rowOff>
    </xdr:from>
    <xdr:to>
      <xdr:col>1</xdr:col>
      <xdr:colOff>276225</xdr:colOff>
      <xdr:row>7</xdr:row>
      <xdr:rowOff>133350</xdr:rowOff>
    </xdr:to>
    <xdr:sp macro="" textlink="">
      <xdr:nvSpPr>
        <xdr:cNvPr id="4" name="Rectangle 3"/>
        <xdr:cNvSpPr/>
      </xdr:nvSpPr>
      <xdr:spPr>
        <a:xfrm>
          <a:off x="285750" y="129540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9525</xdr:rowOff>
    </xdr:from>
    <xdr:to>
      <xdr:col>1</xdr:col>
      <xdr:colOff>276225</xdr:colOff>
      <xdr:row>6</xdr:row>
      <xdr:rowOff>133350</xdr:rowOff>
    </xdr:to>
    <xdr:sp macro="" textlink="">
      <xdr:nvSpPr>
        <xdr:cNvPr id="5" name="Rectangle 4"/>
        <xdr:cNvSpPr/>
      </xdr:nvSpPr>
      <xdr:spPr>
        <a:xfrm>
          <a:off x="285750" y="1133475"/>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8</xdr:row>
      <xdr:rowOff>9525</xdr:rowOff>
    </xdr:from>
    <xdr:to>
      <xdr:col>1</xdr:col>
      <xdr:colOff>276225</xdr:colOff>
      <xdr:row>8</xdr:row>
      <xdr:rowOff>133350</xdr:rowOff>
    </xdr:to>
    <xdr:sp macro="" textlink="">
      <xdr:nvSpPr>
        <xdr:cNvPr id="6" name="Rectangle 5"/>
        <xdr:cNvSpPr/>
      </xdr:nvSpPr>
      <xdr:spPr>
        <a:xfrm>
          <a:off x="285750" y="12954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9525</xdr:rowOff>
    </xdr:from>
    <xdr:to>
      <xdr:col>1</xdr:col>
      <xdr:colOff>276225</xdr:colOff>
      <xdr:row>4</xdr:row>
      <xdr:rowOff>133350</xdr:rowOff>
    </xdr:to>
    <xdr:sp macro="" textlink="">
      <xdr:nvSpPr>
        <xdr:cNvPr id="7" name="Rectangle 6"/>
        <xdr:cNvSpPr/>
      </xdr:nvSpPr>
      <xdr:spPr>
        <a:xfrm>
          <a:off x="285750" y="809625"/>
          <a:ext cx="171450" cy="123825"/>
        </a:xfrm>
        <a:prstGeom prst="rect">
          <a:avLst/>
        </a:prstGeom>
        <a:solidFill>
          <a:srgbClr val="D9D9D9"/>
        </a:solidFill>
        <a:ln>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9525</xdr:rowOff>
    </xdr:from>
    <xdr:to>
      <xdr:col>1</xdr:col>
      <xdr:colOff>276225</xdr:colOff>
      <xdr:row>3</xdr:row>
      <xdr:rowOff>133350</xdr:rowOff>
    </xdr:to>
    <xdr:sp macro="" textlink="">
      <xdr:nvSpPr>
        <xdr:cNvPr id="8" name="Rectangle 7"/>
        <xdr:cNvSpPr/>
      </xdr:nvSpPr>
      <xdr:spPr>
        <a:xfrm>
          <a:off x="285750" y="647700"/>
          <a:ext cx="171450" cy="123825"/>
        </a:xfrm>
        <a:prstGeom prst="rect">
          <a:avLst/>
        </a:prstGeom>
        <a:solidFill>
          <a:srgbClr val="7F7F7F"/>
        </a:solidFill>
        <a:ln>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10</xdr:row>
      <xdr:rowOff>1</xdr:rowOff>
    </xdr:from>
    <xdr:to>
      <xdr:col>15</xdr:col>
      <xdr:colOff>9525</xdr:colOff>
      <xdr:row>41</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5</xdr:row>
      <xdr:rowOff>9525</xdr:rowOff>
    </xdr:from>
    <xdr:to>
      <xdr:col>1</xdr:col>
      <xdr:colOff>276225</xdr:colOff>
      <xdr:row>5</xdr:row>
      <xdr:rowOff>133350</xdr:rowOff>
    </xdr:to>
    <xdr:sp macro="" textlink="">
      <xdr:nvSpPr>
        <xdr:cNvPr id="3" name="Rectangle 2"/>
        <xdr:cNvSpPr/>
      </xdr:nvSpPr>
      <xdr:spPr>
        <a:xfrm>
          <a:off x="285750" y="9715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7</xdr:row>
      <xdr:rowOff>9525</xdr:rowOff>
    </xdr:from>
    <xdr:to>
      <xdr:col>1</xdr:col>
      <xdr:colOff>276225</xdr:colOff>
      <xdr:row>7</xdr:row>
      <xdr:rowOff>133350</xdr:rowOff>
    </xdr:to>
    <xdr:sp macro="" textlink="">
      <xdr:nvSpPr>
        <xdr:cNvPr id="4" name="Rectangle 3"/>
        <xdr:cNvSpPr/>
      </xdr:nvSpPr>
      <xdr:spPr>
        <a:xfrm>
          <a:off x="285750" y="129540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9525</xdr:rowOff>
    </xdr:from>
    <xdr:to>
      <xdr:col>1</xdr:col>
      <xdr:colOff>276225</xdr:colOff>
      <xdr:row>6</xdr:row>
      <xdr:rowOff>133350</xdr:rowOff>
    </xdr:to>
    <xdr:sp macro="" textlink="">
      <xdr:nvSpPr>
        <xdr:cNvPr id="5" name="Rectangle 4"/>
        <xdr:cNvSpPr/>
      </xdr:nvSpPr>
      <xdr:spPr>
        <a:xfrm>
          <a:off x="285750" y="1133475"/>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8</xdr:row>
      <xdr:rowOff>9525</xdr:rowOff>
    </xdr:from>
    <xdr:to>
      <xdr:col>1</xdr:col>
      <xdr:colOff>276225</xdr:colOff>
      <xdr:row>8</xdr:row>
      <xdr:rowOff>133350</xdr:rowOff>
    </xdr:to>
    <xdr:sp macro="" textlink="">
      <xdr:nvSpPr>
        <xdr:cNvPr id="6" name="Rectangle 5"/>
        <xdr:cNvSpPr/>
      </xdr:nvSpPr>
      <xdr:spPr>
        <a:xfrm>
          <a:off x="285750" y="14573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9525</xdr:rowOff>
    </xdr:from>
    <xdr:to>
      <xdr:col>1</xdr:col>
      <xdr:colOff>276225</xdr:colOff>
      <xdr:row>4</xdr:row>
      <xdr:rowOff>133350</xdr:rowOff>
    </xdr:to>
    <xdr:sp macro="" textlink="">
      <xdr:nvSpPr>
        <xdr:cNvPr id="7" name="Rectangle 6"/>
        <xdr:cNvSpPr/>
      </xdr:nvSpPr>
      <xdr:spPr>
        <a:xfrm>
          <a:off x="285750" y="809625"/>
          <a:ext cx="171450" cy="123825"/>
        </a:xfrm>
        <a:prstGeom prst="rect">
          <a:avLst/>
        </a:prstGeom>
        <a:solidFill>
          <a:srgbClr val="D9D9D9"/>
        </a:solidFill>
        <a:ln>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9525</xdr:rowOff>
    </xdr:from>
    <xdr:to>
      <xdr:col>1</xdr:col>
      <xdr:colOff>276225</xdr:colOff>
      <xdr:row>3</xdr:row>
      <xdr:rowOff>133350</xdr:rowOff>
    </xdr:to>
    <xdr:sp macro="" textlink="">
      <xdr:nvSpPr>
        <xdr:cNvPr id="8" name="Rectangle 7"/>
        <xdr:cNvSpPr/>
      </xdr:nvSpPr>
      <xdr:spPr>
        <a:xfrm>
          <a:off x="285750" y="647700"/>
          <a:ext cx="171450" cy="123825"/>
        </a:xfrm>
        <a:prstGeom prst="rect">
          <a:avLst/>
        </a:prstGeom>
        <a:solidFill>
          <a:srgbClr val="7F7F7F"/>
        </a:solidFill>
        <a:ln>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7</xdr:row>
      <xdr:rowOff>9525</xdr:rowOff>
    </xdr:from>
    <xdr:to>
      <xdr:col>13</xdr:col>
      <xdr:colOff>571500</xdr:colOff>
      <xdr:row>32</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5</xdr:row>
      <xdr:rowOff>95250</xdr:rowOff>
    </xdr:from>
    <xdr:to>
      <xdr:col>1</xdr:col>
      <xdr:colOff>200025</xdr:colOff>
      <xdr:row>6</xdr:row>
      <xdr:rowOff>57150</xdr:rowOff>
    </xdr:to>
    <xdr:sp macro="" textlink="">
      <xdr:nvSpPr>
        <xdr:cNvPr id="4" name="Rectangle 3"/>
        <xdr:cNvSpPr/>
      </xdr:nvSpPr>
      <xdr:spPr>
        <a:xfrm>
          <a:off x="142875" y="90487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152400</xdr:colOff>
      <xdr:row>32</xdr:row>
      <xdr:rowOff>85725</xdr:rowOff>
    </xdr:from>
    <xdr:to>
      <xdr:col>2</xdr:col>
      <xdr:colOff>304800</xdr:colOff>
      <xdr:row>34</xdr:row>
      <xdr:rowOff>104775</xdr:rowOff>
    </xdr:to>
    <xdr:sp macro="" textlink="">
      <xdr:nvSpPr>
        <xdr:cNvPr id="2" name="Up Arrow 1"/>
        <xdr:cNvSpPr/>
      </xdr:nvSpPr>
      <xdr:spPr>
        <a:xfrm>
          <a:off x="1685925" y="5143500"/>
          <a:ext cx="152400" cy="3048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7</xdr:row>
      <xdr:rowOff>9525</xdr:rowOff>
    </xdr:from>
    <xdr:to>
      <xdr:col>13</xdr:col>
      <xdr:colOff>571500</xdr:colOff>
      <xdr:row>32</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5</xdr:row>
      <xdr:rowOff>95250</xdr:rowOff>
    </xdr:from>
    <xdr:to>
      <xdr:col>1</xdr:col>
      <xdr:colOff>200025</xdr:colOff>
      <xdr:row>6</xdr:row>
      <xdr:rowOff>57150</xdr:rowOff>
    </xdr:to>
    <xdr:sp macro="" textlink="">
      <xdr:nvSpPr>
        <xdr:cNvPr id="4" name="Rectangle 3"/>
        <xdr:cNvSpPr/>
      </xdr:nvSpPr>
      <xdr:spPr>
        <a:xfrm>
          <a:off x="142875" y="90487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161925</xdr:colOff>
      <xdr:row>32</xdr:row>
      <xdr:rowOff>85725</xdr:rowOff>
    </xdr:from>
    <xdr:to>
      <xdr:col>2</xdr:col>
      <xdr:colOff>314325</xdr:colOff>
      <xdr:row>34</xdr:row>
      <xdr:rowOff>104775</xdr:rowOff>
    </xdr:to>
    <xdr:sp macro="" textlink="">
      <xdr:nvSpPr>
        <xdr:cNvPr id="2" name="Up Arrow 1"/>
        <xdr:cNvSpPr/>
      </xdr:nvSpPr>
      <xdr:spPr>
        <a:xfrm>
          <a:off x="1695450" y="5143500"/>
          <a:ext cx="152400" cy="3048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28575</xdr:colOff>
      <xdr:row>16</xdr:row>
      <xdr:rowOff>95250</xdr:rowOff>
    </xdr:from>
    <xdr:to>
      <xdr:col>14</xdr:col>
      <xdr:colOff>561975</xdr:colOff>
      <xdr:row>16</xdr:row>
      <xdr:rowOff>95250</xdr:rowOff>
    </xdr:to>
    <xdr:cxnSp macro="">
      <xdr:nvCxnSpPr>
        <xdr:cNvPr id="3" name="Straight Connector 2"/>
        <xdr:cNvCxnSpPr/>
      </xdr:nvCxnSpPr>
      <xdr:spPr>
        <a:xfrm>
          <a:off x="8067675" y="2800350"/>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xdr:row>
      <xdr:rowOff>0</xdr:rowOff>
    </xdr:from>
    <xdr:to>
      <xdr:col>13</xdr:col>
      <xdr:colOff>561975</xdr:colOff>
      <xdr:row>29</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sstats01.csa.scot.nhs.uk\strokeaudit\quality\Active\(04)%20Project%20Reports\Annual%20Reports\2016%20Annual%20Report\Final%20Outputs\SSCA_2016_National_Report_tables_and_cha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ive/(04)%20Project%20Reports/Annual%20Reports/2017%20Annual%20Report/SSCA_2017_National_Report_tables_and_charts%23WORKING_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sstats01.csa.scot.nhs.uk\strokeaudit\Active\(04)%20Project%20Reports\Annual%20Reports\2016%20Annual%20Report\Final%20Outputs\SSCA_2016_National_Report_tables_and_chart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 of Tables &amp; Charts"/>
      <sheetName val="Tables 1a 1b 1c combined"/>
      <sheetName val="Tables 1a 1b 1c extra detail"/>
      <sheetName val="Table 2"/>
      <sheetName val="Table 3"/>
      <sheetName val="Table 4 (2015)"/>
      <sheetName val="Table 4 (2014)"/>
      <sheetName val="Table 5"/>
      <sheetName val="Table 6 (2015)"/>
      <sheetName val="Table 6 (2014)"/>
      <sheetName val="Chart 1a"/>
      <sheetName val="Chart 1a DATA"/>
      <sheetName val="Chart 1a (final diagnosis)"/>
      <sheetName val="Chart 1a DATA (final diagnosis)"/>
      <sheetName val="Chart 1b"/>
      <sheetName val="Chart 1b DATA"/>
      <sheetName val="Chart 1b (final diag)"/>
      <sheetName val="Chart 1b DATA (final diag)"/>
      <sheetName val="Chart 1c"/>
      <sheetName val="Chart 1c DATA"/>
      <sheetName val="Chart 1c (final diag)"/>
      <sheetName val="Chart 1c DATA (final diag)"/>
      <sheetName val="Chart 2a"/>
      <sheetName val="Chart 2a DATA"/>
      <sheetName val="Chart 2b"/>
      <sheetName val="Chart 2b DATA"/>
      <sheetName val="Chart 2c"/>
      <sheetName val="Chart 2c DATA"/>
      <sheetName val="Chart 2d"/>
      <sheetName val="Chart 2d DATA"/>
      <sheetName val="Chart 3 (2015)"/>
      <sheetName val="Chart 3 (2015) DATA"/>
      <sheetName val="Chart 3 (2014)"/>
      <sheetName val="Chart 3 (2014) DATA"/>
      <sheetName val="Chart 4 (2015)"/>
      <sheetName val="Chart 4 (2015) DATA"/>
      <sheetName val="Chart 4 (2014)"/>
      <sheetName val="Chart 4 (2014) DATA"/>
      <sheetName val="Chart 5 (2015)"/>
      <sheetName val="Chart 5 (2015) DATA"/>
      <sheetName val="Chart 5 (2014)"/>
      <sheetName val="Chart 5 (2014) DATA"/>
      <sheetName val="Chart 6"/>
      <sheetName val="Chart 6 DATA"/>
      <sheetName val="Chart 7 (2015)"/>
      <sheetName val="Chart 7 (2015) DATA"/>
      <sheetName val="Chart 7 (2014)"/>
      <sheetName val="Chart 7 (2014) DATA"/>
      <sheetName val="Chart 8"/>
      <sheetName val="Chart 9"/>
      <sheetName val="Chart 9 DATA"/>
      <sheetName val="Chart 10 (2015)"/>
      <sheetName val="Chart 10 (2014)"/>
      <sheetName val="Chart 11"/>
      <sheetName val="Chart 12"/>
      <sheetName val="Chart 13 (2015)"/>
      <sheetName val="Chart 13 (2015) DATA"/>
      <sheetName val="Chart 13 (2014)(revised)"/>
      <sheetName val="Chart 13 (2014) DATA (revised)"/>
      <sheetName val="Chart 14a (2015)"/>
      <sheetName val="Chart 14a (2015) DATA"/>
      <sheetName val="Chart 14a (2014)"/>
      <sheetName val="Chart 14a (2014) DATA"/>
      <sheetName val="Chart 14b"/>
      <sheetName val="Chart 14b DATA"/>
      <sheetName val="Chart 15 (2015)"/>
      <sheetName val="Chart 15 (2014)"/>
      <sheetName val="Chart 16a"/>
      <sheetName val="Chart 16b"/>
      <sheetName val="Chart 17a"/>
      <sheetName val="Chart 17a DATA"/>
      <sheetName val="Chart 17b"/>
      <sheetName val="Chart 17b DATA"/>
      <sheetName val="Chart 17c"/>
      <sheetName val="Chart 17c DATA"/>
      <sheetName val="Chart 17d"/>
      <sheetName val="Chart 17d DATA"/>
      <sheetName val="Chart 17e"/>
      <sheetName val="Chart 17e DATA"/>
      <sheetName val="Poisson sub 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V3" t="str">
            <v>NHSSCOTLAND</v>
          </cell>
          <cell r="W3" t="str">
            <v>Scotland</v>
          </cell>
          <cell r="X3" t="str">
            <v>Scotland</v>
          </cell>
        </row>
        <row r="4">
          <cell r="V4" t="str">
            <v>Aberdeen Royal Infirmary</v>
          </cell>
          <cell r="W4" t="str">
            <v>ARI</v>
          </cell>
          <cell r="X4" t="str">
            <v>ARI</v>
          </cell>
        </row>
        <row r="5">
          <cell r="V5" t="str">
            <v>Ayr Hospital</v>
          </cell>
          <cell r="W5" t="str">
            <v>Ayr</v>
          </cell>
          <cell r="X5" t="str">
            <v>Ayr</v>
          </cell>
        </row>
        <row r="6">
          <cell r="V6" t="str">
            <v>Balfour Hospital</v>
          </cell>
          <cell r="W6" t="str">
            <v>Balfour</v>
          </cell>
          <cell r="X6" t="str">
            <v>Balfour</v>
          </cell>
        </row>
        <row r="7">
          <cell r="V7" t="str">
            <v>Belford Hospital</v>
          </cell>
          <cell r="W7" t="str">
            <v>Belford*</v>
          </cell>
          <cell r="X7" t="str">
            <v>Belford</v>
          </cell>
        </row>
        <row r="8">
          <cell r="V8" t="str">
            <v>Borders General Hospital</v>
          </cell>
          <cell r="W8" t="str">
            <v>Borders</v>
          </cell>
          <cell r="X8" t="str">
            <v>Borders</v>
          </cell>
        </row>
        <row r="9">
          <cell r="V9" t="str">
            <v>Caithness General Hospital</v>
          </cell>
          <cell r="W9" t="str">
            <v>Caithness*</v>
          </cell>
          <cell r="X9" t="str">
            <v>Caithness</v>
          </cell>
        </row>
        <row r="10">
          <cell r="V10" t="str">
            <v>Crosshouse Hospital</v>
          </cell>
          <cell r="W10" t="str">
            <v>Crosshouse</v>
          </cell>
          <cell r="X10" t="str">
            <v>Crosshouse</v>
          </cell>
        </row>
        <row r="11">
          <cell r="V11" t="str">
            <v>Dr Gray's Hospital</v>
          </cell>
          <cell r="W11" t="str">
            <v>Dr Grays</v>
          </cell>
          <cell r="X11" t="str">
            <v>Dr Grays</v>
          </cell>
        </row>
        <row r="12">
          <cell r="V12" t="str">
            <v>Dumfries &amp; Galloway Royal Infirmary</v>
          </cell>
          <cell r="W12" t="str">
            <v>DGRI</v>
          </cell>
          <cell r="X12" t="str">
            <v>DGRI</v>
          </cell>
        </row>
        <row r="13">
          <cell r="V13" t="str">
            <v>Forth Valley Royal Hospital</v>
          </cell>
          <cell r="W13" t="str">
            <v>FVRH</v>
          </cell>
          <cell r="X13" t="str">
            <v>FVRH</v>
          </cell>
        </row>
        <row r="14">
          <cell r="V14" t="str">
            <v>Galloway Community Hospital</v>
          </cell>
          <cell r="W14" t="str">
            <v>GCH*</v>
          </cell>
          <cell r="X14" t="str">
            <v>GCH</v>
          </cell>
        </row>
        <row r="15">
          <cell r="V15" t="str">
            <v>Gilbert Bain Hospital</v>
          </cell>
          <cell r="W15" t="str">
            <v>Gilbert Bain*</v>
          </cell>
          <cell r="X15" t="str">
            <v>Gilbert Bain</v>
          </cell>
        </row>
        <row r="16">
          <cell r="V16" t="str">
            <v>Glasgow Royal Infirmary</v>
          </cell>
          <cell r="W16" t="str">
            <v>GRI</v>
          </cell>
          <cell r="X16" t="str">
            <v>GRI</v>
          </cell>
        </row>
        <row r="17">
          <cell r="V17" t="str">
            <v>Hairmyres Hospital</v>
          </cell>
          <cell r="W17" t="str">
            <v>Hairmyres</v>
          </cell>
          <cell r="X17" t="str">
            <v>Hairmyres</v>
          </cell>
        </row>
        <row r="18">
          <cell r="V18" t="str">
            <v>Inverclyde Royal Hospital</v>
          </cell>
          <cell r="W18" t="str">
            <v>IRH</v>
          </cell>
          <cell r="X18" t="str">
            <v>IRH</v>
          </cell>
        </row>
        <row r="19">
          <cell r="V19" t="str">
            <v>Lorn &amp; Islands Hospital</v>
          </cell>
          <cell r="W19" t="str">
            <v>L&amp;I</v>
          </cell>
          <cell r="X19" t="str">
            <v>L&amp;I</v>
          </cell>
        </row>
        <row r="20">
          <cell r="V20" t="str">
            <v>Monklands Hospital</v>
          </cell>
          <cell r="W20" t="str">
            <v>Monklands</v>
          </cell>
          <cell r="X20" t="str">
            <v>Monklands</v>
          </cell>
        </row>
        <row r="21">
          <cell r="V21" t="str">
            <v>Ninewells Hospital</v>
          </cell>
          <cell r="W21" t="str">
            <v>Ninewells</v>
          </cell>
          <cell r="X21" t="str">
            <v>Ninewells</v>
          </cell>
        </row>
        <row r="22">
          <cell r="V22" t="str">
            <v>Perth Royal Infirmary</v>
          </cell>
          <cell r="W22" t="str">
            <v>PRI</v>
          </cell>
          <cell r="X22" t="str">
            <v>PRI</v>
          </cell>
        </row>
        <row r="23">
          <cell r="V23" t="str">
            <v>Queen Elizabeth University Hospital - Glasgow</v>
          </cell>
          <cell r="W23" t="str">
            <v>QEUH</v>
          </cell>
          <cell r="X23" t="str">
            <v>QEUH</v>
          </cell>
        </row>
        <row r="24">
          <cell r="V24" t="str">
            <v>Raigmore Hospital</v>
          </cell>
          <cell r="W24" t="str">
            <v>Raigmore</v>
          </cell>
          <cell r="X24" t="str">
            <v>Raigmore</v>
          </cell>
        </row>
        <row r="25">
          <cell r="V25" t="str">
            <v>Royal Alexandra Hospital</v>
          </cell>
          <cell r="W25" t="str">
            <v>RAH</v>
          </cell>
          <cell r="X25" t="str">
            <v>RAH</v>
          </cell>
        </row>
        <row r="26">
          <cell r="V26" t="str">
            <v>Royal Infirmary of Edinburgh</v>
          </cell>
          <cell r="W26" t="str">
            <v>RIE</v>
          </cell>
          <cell r="X26" t="str">
            <v>RIE</v>
          </cell>
        </row>
        <row r="27">
          <cell r="V27" t="str">
            <v>St John's Hospital</v>
          </cell>
          <cell r="W27" t="str">
            <v>SJH</v>
          </cell>
          <cell r="X27" t="str">
            <v>SJH</v>
          </cell>
        </row>
        <row r="28">
          <cell r="V28" t="str">
            <v>Uist &amp; Barra Hospital</v>
          </cell>
          <cell r="W28" t="str">
            <v>Uist &amp; Barra</v>
          </cell>
          <cell r="X28" t="str">
            <v>Uist &amp; Barra</v>
          </cell>
        </row>
        <row r="29">
          <cell r="V29" t="str">
            <v>Victoria Hospital Kirkcaldy</v>
          </cell>
          <cell r="W29" t="str">
            <v>VHK</v>
          </cell>
          <cell r="X29" t="str">
            <v>VHK</v>
          </cell>
        </row>
        <row r="30">
          <cell r="V30" t="str">
            <v>Western General Hospital</v>
          </cell>
          <cell r="W30" t="str">
            <v>WGH</v>
          </cell>
          <cell r="X30" t="str">
            <v>WGH</v>
          </cell>
        </row>
        <row r="31">
          <cell r="V31" t="str">
            <v>Western Isles Hospital</v>
          </cell>
          <cell r="W31" t="str">
            <v>Western Isles</v>
          </cell>
          <cell r="X31" t="str">
            <v>Western Isles</v>
          </cell>
        </row>
        <row r="32">
          <cell r="V32" t="str">
            <v>Wishaw General Hospital</v>
          </cell>
          <cell r="W32" t="str">
            <v>Wishaw</v>
          </cell>
          <cell r="X32" t="str">
            <v>Wishaw</v>
          </cell>
        </row>
        <row r="33">
          <cell r="V33" t="str">
            <v>Queen Margaret Hospital</v>
          </cell>
          <cell r="W33" t="str">
            <v>QMH</v>
          </cell>
          <cell r="X33" t="str">
            <v>QMH</v>
          </cell>
        </row>
        <row r="34">
          <cell r="V34" t="str">
            <v>Stracathro Hospital</v>
          </cell>
          <cell r="W34" t="str">
            <v>Stracathro</v>
          </cell>
          <cell r="X34" t="str">
            <v>Stracathro</v>
          </cell>
        </row>
        <row r="35">
          <cell r="V35" t="str">
            <v>Western Infirmary/Gartnavel General</v>
          </cell>
          <cell r="W35" t="str">
            <v>WIG</v>
          </cell>
          <cell r="X35" t="str">
            <v>WIG</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 of Tables &amp; Charts"/>
      <sheetName val="Tables 1a 1b 1c combined"/>
      <sheetName val="Tables 1a 1b 1c extra detail"/>
      <sheetName val="Table 2"/>
      <sheetName val="Table 3"/>
      <sheetName val="Table 4 (2016)"/>
      <sheetName val="Table 4 (2015)"/>
      <sheetName val="Table 5"/>
      <sheetName val="Table 6 (2016)"/>
      <sheetName val="Table 6 (2015)"/>
      <sheetName val="Chart 1a"/>
      <sheetName val="Chart 1a DATA"/>
      <sheetName val="Chart 1a (final diagnosis)"/>
      <sheetName val="Chart 1a DATA (final diagnosis)"/>
      <sheetName val="Chart 1b"/>
      <sheetName val="Chart 1b DATA"/>
      <sheetName val="Chart 1b (final diag)"/>
      <sheetName val="Chart 1b DATA (final diag)"/>
      <sheetName val="Chart 1c"/>
      <sheetName val="Chart 1c DATA"/>
      <sheetName val="Chart 1c (final diag)"/>
      <sheetName val="Chart 1c DATA (final diag)"/>
      <sheetName val="Chart 2a"/>
      <sheetName val="Chart 2a DATA"/>
      <sheetName val="Chart 2b"/>
      <sheetName val="Chart 2b DATA"/>
      <sheetName val="Chart 2c"/>
      <sheetName val="Chart 2c DATA"/>
      <sheetName val="Chart 2d"/>
      <sheetName val="Chart 2d DATA"/>
      <sheetName val="Chart 3 (2016)"/>
      <sheetName val="Chart 3 (2016) DATA"/>
      <sheetName val="Chart 4 (2016)"/>
      <sheetName val="Chart 4 (2016) DATA"/>
      <sheetName val="Chart 4 (2015)"/>
      <sheetName val="Chart 4 (2015) DATA"/>
      <sheetName val="Chart 5 (2016)"/>
      <sheetName val="Chart 5 (2016) DATA"/>
      <sheetName val="Chart 5 (2015)"/>
      <sheetName val="Chart 5 (2015) DATA"/>
      <sheetName val="Chart 6"/>
      <sheetName val="Chart 6 DATA"/>
      <sheetName val="Chart 7 (2016)"/>
      <sheetName val="Chart 7 (2016) DATA"/>
      <sheetName val="Chart 7 (2015)"/>
      <sheetName val="Chart 7 (2015) DATA"/>
      <sheetName val="Chart 8"/>
      <sheetName val="Chart 9"/>
      <sheetName val="Chart 9 DATA"/>
      <sheetName val="Chart 10 (2016)"/>
      <sheetName val="Chart 10 (2015)"/>
      <sheetName val="Chart 11"/>
      <sheetName val="Chart 12"/>
      <sheetName val="Chart 13 (2016)"/>
      <sheetName val="Chart 13 (2016) DATA"/>
      <sheetName val="Chart 13 (2015)"/>
      <sheetName val="Chart 13 (2015) DATA"/>
      <sheetName val="Chart 14a (2016)"/>
      <sheetName val="Chart 14a (2016) DATA"/>
      <sheetName val="Chart 14a (2015)"/>
      <sheetName val="Chart 14a (2015) DATA"/>
      <sheetName val="Chart 14b"/>
      <sheetName val="Chart 14b DATA"/>
      <sheetName val="Chart 15 (2016)"/>
      <sheetName val="Chart 15 (2015)"/>
      <sheetName val="Chart 16a"/>
      <sheetName val="Chart 16b"/>
      <sheetName val="Chart 17a"/>
      <sheetName val="Chart 17a DATA"/>
      <sheetName val="Chart 17b"/>
      <sheetName val="Chart 17b DATA"/>
      <sheetName val="Chart 17c"/>
      <sheetName val="Chart 17c DATA"/>
      <sheetName val="Chart 17d"/>
      <sheetName val="Chart 17d DATA"/>
      <sheetName val="Chart 17e"/>
      <sheetName val="Chart 17e DATA"/>
      <sheetName val="AF Inpatients (2016)"/>
      <sheetName val="AF Inpatients (2015)"/>
      <sheetName val="AF Outpatients (2016)"/>
      <sheetName val="AF Outpatients (2015)"/>
      <sheetName val="Days To SU (2016)"/>
      <sheetName val="Days to SU (2016) DATA"/>
      <sheetName val="Days To SU (2015)"/>
      <sheetName val="Days to SU (2015) DATA"/>
      <sheetName val="Poisson sub 100"/>
      <sheetName val="Outpatient Diags (2016)"/>
      <sheetName val="Outpatient Diags (2016) DATA"/>
      <sheetName val="Outpatient Diags (2015)"/>
      <sheetName val="Outpatient Diags (2015) DATA"/>
      <sheetName val="InHospital Strokes"/>
      <sheetName val="Bundle Rankings"/>
      <sheetName val="Bundle Rankings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5">
          <cell r="V35" t="str">
            <v>NHSSCOTLAND</v>
          </cell>
          <cell r="W35" t="str">
            <v>Scotland</v>
          </cell>
          <cell r="X35" t="str">
            <v>Scotland</v>
          </cell>
        </row>
        <row r="36">
          <cell r="V36" t="str">
            <v>Aberdeen Royal Infirmary</v>
          </cell>
          <cell r="W36" t="str">
            <v>ARI</v>
          </cell>
          <cell r="X36" t="str">
            <v>ARI</v>
          </cell>
        </row>
        <row r="37">
          <cell r="V37" t="str">
            <v>Ayr Hospital</v>
          </cell>
          <cell r="W37" t="str">
            <v>Ayr</v>
          </cell>
          <cell r="X37" t="str">
            <v>Ayr</v>
          </cell>
        </row>
        <row r="38">
          <cell r="V38" t="str">
            <v>Balfour Hospital</v>
          </cell>
          <cell r="W38" t="str">
            <v>Balfour</v>
          </cell>
          <cell r="X38" t="str">
            <v>Balfour</v>
          </cell>
        </row>
        <row r="39">
          <cell r="V39" t="str">
            <v>Belford Hospital</v>
          </cell>
          <cell r="W39" t="str">
            <v>Belford*</v>
          </cell>
          <cell r="X39" t="str">
            <v>Belford</v>
          </cell>
        </row>
        <row r="40">
          <cell r="V40" t="str">
            <v>Borders General Hospital</v>
          </cell>
          <cell r="W40" t="str">
            <v>Borders</v>
          </cell>
          <cell r="X40" t="str">
            <v>Borders</v>
          </cell>
        </row>
        <row r="41">
          <cell r="V41" t="str">
            <v>Caithness General Hospital</v>
          </cell>
          <cell r="W41" t="str">
            <v>Caithness*</v>
          </cell>
          <cell r="X41" t="str">
            <v>Caithness</v>
          </cell>
        </row>
        <row r="42">
          <cell r="V42" t="str">
            <v>Crosshouse Hospital</v>
          </cell>
          <cell r="W42" t="str">
            <v>Crosshouse</v>
          </cell>
          <cell r="X42" t="str">
            <v>Crosshouse</v>
          </cell>
        </row>
        <row r="43">
          <cell r="V43" t="str">
            <v>Dr Gray's Hospital</v>
          </cell>
          <cell r="W43" t="str">
            <v>Dr Grays</v>
          </cell>
          <cell r="X43" t="str">
            <v>Dr Grays</v>
          </cell>
        </row>
        <row r="44">
          <cell r="V44" t="str">
            <v>Dumfries &amp; Galloway Royal Infirmary</v>
          </cell>
          <cell r="W44" t="str">
            <v>DGRI</v>
          </cell>
          <cell r="X44" t="str">
            <v>DGRI</v>
          </cell>
        </row>
        <row r="45">
          <cell r="V45" t="str">
            <v>Forth Valley Royal Hospital</v>
          </cell>
          <cell r="W45" t="str">
            <v>FVRH</v>
          </cell>
          <cell r="X45" t="str">
            <v>FVRH</v>
          </cell>
        </row>
        <row r="46">
          <cell r="V46" t="str">
            <v>Galloway Community Hospital</v>
          </cell>
          <cell r="W46" t="str">
            <v>GCH*</v>
          </cell>
          <cell r="X46" t="str">
            <v>GCH</v>
          </cell>
        </row>
        <row r="47">
          <cell r="V47" t="str">
            <v>Gilbert Bain Hospital</v>
          </cell>
          <cell r="W47" t="str">
            <v>Gilbert Bain*</v>
          </cell>
          <cell r="X47" t="str">
            <v>Gilbert Bain</v>
          </cell>
        </row>
        <row r="48">
          <cell r="V48" t="str">
            <v>Glasgow Royal Infirmary</v>
          </cell>
          <cell r="W48" t="str">
            <v>GRI</v>
          </cell>
          <cell r="X48" t="str">
            <v>GRI</v>
          </cell>
        </row>
        <row r="49">
          <cell r="V49" t="str">
            <v>Hairmyres Hospital</v>
          </cell>
          <cell r="W49" t="str">
            <v>Hairmyres</v>
          </cell>
          <cell r="X49" t="str">
            <v>Hairmyres</v>
          </cell>
        </row>
        <row r="50">
          <cell r="V50" t="str">
            <v>Inverclyde Royal Hospital</v>
          </cell>
          <cell r="W50" t="str">
            <v>IRH</v>
          </cell>
          <cell r="X50" t="str">
            <v>IRH</v>
          </cell>
        </row>
        <row r="51">
          <cell r="V51" t="str">
            <v>Lorn &amp; Islands Hospital</v>
          </cell>
          <cell r="W51" t="str">
            <v>L&amp;I</v>
          </cell>
          <cell r="X51" t="str">
            <v>L&amp;I</v>
          </cell>
        </row>
        <row r="52">
          <cell r="V52" t="str">
            <v>Monklands Hospital</v>
          </cell>
          <cell r="W52" t="str">
            <v>Monklands</v>
          </cell>
          <cell r="X52" t="str">
            <v>Monklands</v>
          </cell>
        </row>
        <row r="53">
          <cell r="V53" t="str">
            <v>Ninewells Hospital</v>
          </cell>
          <cell r="W53" t="str">
            <v>Ninewells</v>
          </cell>
          <cell r="X53" t="str">
            <v>Ninewells</v>
          </cell>
        </row>
        <row r="54">
          <cell r="V54" t="str">
            <v>Perth Royal Infirmary</v>
          </cell>
          <cell r="W54" t="str">
            <v>PRI</v>
          </cell>
          <cell r="X54" t="str">
            <v>PRI</v>
          </cell>
        </row>
        <row r="55">
          <cell r="V55" t="str">
            <v>Queen Elizabeth University Hospital - Glasgow</v>
          </cell>
          <cell r="W55" t="str">
            <v>QEUH</v>
          </cell>
          <cell r="X55" t="str">
            <v>QEUH</v>
          </cell>
        </row>
        <row r="56">
          <cell r="V56" t="str">
            <v>Raigmore Hospital</v>
          </cell>
          <cell r="W56" t="str">
            <v>Raigmore</v>
          </cell>
          <cell r="X56" t="str">
            <v>Raigmore</v>
          </cell>
        </row>
        <row r="57">
          <cell r="V57" t="str">
            <v>Royal Alexandra Hospital</v>
          </cell>
          <cell r="W57" t="str">
            <v>RAH</v>
          </cell>
          <cell r="X57" t="str">
            <v>RAH</v>
          </cell>
        </row>
        <row r="58">
          <cell r="V58" t="str">
            <v>Royal Infirmary of Edinburgh</v>
          </cell>
          <cell r="W58" t="str">
            <v>RIE</v>
          </cell>
          <cell r="X58" t="str">
            <v>RIE</v>
          </cell>
        </row>
        <row r="59">
          <cell r="V59" t="str">
            <v>St John's Hospital</v>
          </cell>
          <cell r="W59" t="str">
            <v>SJH</v>
          </cell>
          <cell r="X59" t="str">
            <v>SJH</v>
          </cell>
        </row>
        <row r="60">
          <cell r="V60" t="str">
            <v>Uist &amp; Barra Hospital</v>
          </cell>
          <cell r="W60" t="str">
            <v>Uist &amp; Barra</v>
          </cell>
          <cell r="X60" t="str">
            <v>Uist &amp; Barra</v>
          </cell>
        </row>
        <row r="61">
          <cell r="V61" t="str">
            <v>Victoria Hospital Kirkcaldy</v>
          </cell>
          <cell r="W61" t="str">
            <v>VHK</v>
          </cell>
          <cell r="X61" t="str">
            <v>VHK</v>
          </cell>
        </row>
        <row r="62">
          <cell r="V62" t="str">
            <v>Western General Hospital</v>
          </cell>
          <cell r="W62" t="str">
            <v>WGH</v>
          </cell>
          <cell r="X62" t="str">
            <v>WGH</v>
          </cell>
        </row>
        <row r="63">
          <cell r="V63" t="str">
            <v>Western Isles Hospital</v>
          </cell>
          <cell r="W63" t="str">
            <v>Western Isles</v>
          </cell>
          <cell r="X63" t="str">
            <v>Western Isles</v>
          </cell>
        </row>
        <row r="64">
          <cell r="V64" t="str">
            <v>Wishaw General Hospital</v>
          </cell>
          <cell r="W64" t="str">
            <v>Wishaw</v>
          </cell>
          <cell r="X64" t="str">
            <v>Wishaw</v>
          </cell>
        </row>
        <row r="65">
          <cell r="V65" t="str">
            <v>Queen Margaret Hospital</v>
          </cell>
          <cell r="W65" t="str">
            <v>QMH</v>
          </cell>
          <cell r="X65" t="str">
            <v>QMH</v>
          </cell>
        </row>
        <row r="66">
          <cell r="V66" t="str">
            <v>Stracathro Hospital</v>
          </cell>
          <cell r="W66" t="str">
            <v>Stracathro</v>
          </cell>
          <cell r="X66" t="str">
            <v>Stracathro</v>
          </cell>
        </row>
        <row r="67">
          <cell r="V67" t="str">
            <v>Western Infirmary/Gartnavel General</v>
          </cell>
          <cell r="W67" t="str">
            <v>WIG</v>
          </cell>
          <cell r="X67" t="str">
            <v>WIG</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List of Tables &amp; Charts"/>
      <sheetName val="Tables 1a 1b 1c combined"/>
      <sheetName val="Tables 1a 1b 1c extra detail"/>
      <sheetName val="Table 2"/>
      <sheetName val="Table 3"/>
      <sheetName val="Table 4 (2015)"/>
      <sheetName val="Table 4 (2014)"/>
      <sheetName val="Table 5"/>
      <sheetName val="Table 6 (2015)"/>
      <sheetName val="Table 6 (2014)"/>
      <sheetName val="Chart 1a"/>
      <sheetName val="Chart 1a DATA"/>
      <sheetName val="Chart 1a (final diagnosis)"/>
      <sheetName val="Chart 1a DATA (final diagnosis)"/>
      <sheetName val="Chart 1b"/>
      <sheetName val="Chart 1b DATA"/>
      <sheetName val="Chart 1b (final diag)"/>
      <sheetName val="Chart 1b DATA (final diag)"/>
      <sheetName val="Chart 1c"/>
      <sheetName val="Chart 1c DATA"/>
      <sheetName val="Chart 1c (final diag)"/>
      <sheetName val="Chart 1c DATA (final diag)"/>
      <sheetName val="Chart 2a"/>
      <sheetName val="Chart 2a DATA"/>
      <sheetName val="Chart 2b"/>
      <sheetName val="Chart 2b DATA"/>
      <sheetName val="Chart 2c"/>
      <sheetName val="Chart 2c DATA"/>
      <sheetName val="Chart 2d"/>
      <sheetName val="Chart 2d DATA"/>
      <sheetName val="Chart 3 (2015)"/>
      <sheetName val="Chart 3 (2015) DATA"/>
      <sheetName val="Chart 3 (2014)"/>
      <sheetName val="Chart 3 (2014) DATA"/>
      <sheetName val="Chart 4 (2015)"/>
      <sheetName val="Chart 4 (2015) DATA"/>
      <sheetName val="Chart 4 (2014)"/>
      <sheetName val="Chart 4 (2014) DATA"/>
      <sheetName val="Chart 5 (2015)"/>
      <sheetName val="Chart 5 (2015) DATA"/>
      <sheetName val="Chart 5 (2014)"/>
      <sheetName val="Chart 5 (2014) DATA"/>
      <sheetName val="Chart 6"/>
      <sheetName val="Chart 6 DATA"/>
      <sheetName val="Chart 7 (2015)"/>
      <sheetName val="Chart 7 (2015) DATA"/>
      <sheetName val="Chart 7 (2014)"/>
      <sheetName val="Chart 7 (2014) DATA"/>
      <sheetName val="Chart 8"/>
      <sheetName val="Chart 9"/>
      <sheetName val="Chart 9 DATA"/>
      <sheetName val="Chart 10 (2015)"/>
      <sheetName val="Chart 10 (2014)"/>
      <sheetName val="Chart 11"/>
      <sheetName val="Chart 12"/>
      <sheetName val="Chart 13 (2015)"/>
      <sheetName val="Chart 13 (2015) DATA"/>
      <sheetName val="Chart 13 (2014)(revised)"/>
      <sheetName val="Chart 13 (2014) DATA (revised)"/>
      <sheetName val="Chart 14a (2015)"/>
      <sheetName val="Chart 14a (2015) DATA"/>
      <sheetName val="Chart 14a (2014)"/>
      <sheetName val="Chart 14a (2014) DATA"/>
      <sheetName val="Chart 14b"/>
      <sheetName val="Chart 14b DATA"/>
      <sheetName val="Chart 15 (2015)"/>
      <sheetName val="Chart 15 (2014)"/>
      <sheetName val="Chart 16a"/>
      <sheetName val="Chart 16b"/>
      <sheetName val="Chart 17a"/>
      <sheetName val="Chart 17a DATA"/>
      <sheetName val="Chart 17b"/>
      <sheetName val="Chart 17b DATA"/>
      <sheetName val="Chart 17c"/>
      <sheetName val="Chart 17c DATA"/>
      <sheetName val="Chart 17d"/>
      <sheetName val="Chart 17d DATA"/>
      <sheetName val="Chart 17e"/>
      <sheetName val="Chart 17e DATA"/>
      <sheetName val="Poisson sub 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
          <cell r="V3" t="str">
            <v>NHSSCOTLAND</v>
          </cell>
          <cell r="W3" t="str">
            <v>Scotland</v>
          </cell>
          <cell r="X3" t="str">
            <v>Scotland</v>
          </cell>
        </row>
        <row r="4">
          <cell r="V4" t="str">
            <v>Aberdeen Royal Infirmary</v>
          </cell>
          <cell r="W4" t="str">
            <v>ARI</v>
          </cell>
          <cell r="X4" t="str">
            <v>ARI</v>
          </cell>
        </row>
        <row r="5">
          <cell r="V5" t="str">
            <v>Ayr Hospital</v>
          </cell>
          <cell r="W5" t="str">
            <v>Ayr</v>
          </cell>
          <cell r="X5" t="str">
            <v>Ayr</v>
          </cell>
        </row>
        <row r="6">
          <cell r="V6" t="str">
            <v>Balfour Hospital</v>
          </cell>
          <cell r="W6" t="str">
            <v>Balfour</v>
          </cell>
          <cell r="X6" t="str">
            <v>Balfour</v>
          </cell>
        </row>
        <row r="7">
          <cell r="V7" t="str">
            <v>Belford Hospital</v>
          </cell>
          <cell r="W7" t="str">
            <v>Belford*</v>
          </cell>
          <cell r="X7" t="str">
            <v>Belford</v>
          </cell>
        </row>
        <row r="8">
          <cell r="V8" t="str">
            <v>Borders General Hospital</v>
          </cell>
          <cell r="W8" t="str">
            <v>Borders</v>
          </cell>
          <cell r="X8" t="str">
            <v>Borders</v>
          </cell>
        </row>
        <row r="9">
          <cell r="V9" t="str">
            <v>Caithness General Hospital</v>
          </cell>
          <cell r="W9" t="str">
            <v>Caithness*</v>
          </cell>
          <cell r="X9" t="str">
            <v>Caithness</v>
          </cell>
        </row>
        <row r="10">
          <cell r="V10" t="str">
            <v>Crosshouse Hospital</v>
          </cell>
          <cell r="W10" t="str">
            <v>Crosshouse</v>
          </cell>
          <cell r="X10" t="str">
            <v>Crosshouse</v>
          </cell>
        </row>
        <row r="11">
          <cell r="V11" t="str">
            <v>Dr Gray's Hospital</v>
          </cell>
          <cell r="W11" t="str">
            <v>Dr Grays</v>
          </cell>
          <cell r="X11" t="str">
            <v>Dr Grays</v>
          </cell>
        </row>
        <row r="12">
          <cell r="V12" t="str">
            <v>Dumfries &amp; Galloway Royal Infirmary</v>
          </cell>
          <cell r="W12" t="str">
            <v>DGRI</v>
          </cell>
          <cell r="X12" t="str">
            <v>DGRI</v>
          </cell>
        </row>
        <row r="13">
          <cell r="V13" t="str">
            <v>Forth Valley Royal Hospital</v>
          </cell>
          <cell r="W13" t="str">
            <v>FVRH</v>
          </cell>
          <cell r="X13" t="str">
            <v>FVRH</v>
          </cell>
        </row>
        <row r="14">
          <cell r="V14" t="str">
            <v>Galloway Community Hospital</v>
          </cell>
          <cell r="W14" t="str">
            <v>GCH*</v>
          </cell>
          <cell r="X14" t="str">
            <v>GCH</v>
          </cell>
        </row>
        <row r="15">
          <cell r="V15" t="str">
            <v>Gilbert Bain Hospital</v>
          </cell>
          <cell r="W15" t="str">
            <v>Gilbert Bain*</v>
          </cell>
          <cell r="X15" t="str">
            <v>Gilbert Bain</v>
          </cell>
        </row>
        <row r="16">
          <cell r="V16" t="str">
            <v>Glasgow Royal Infirmary</v>
          </cell>
          <cell r="W16" t="str">
            <v>GRI</v>
          </cell>
          <cell r="X16" t="str">
            <v>GRI</v>
          </cell>
        </row>
        <row r="17">
          <cell r="V17" t="str">
            <v>Hairmyres Hospital</v>
          </cell>
          <cell r="W17" t="str">
            <v>Hairmyres</v>
          </cell>
          <cell r="X17" t="str">
            <v>Hairmyres</v>
          </cell>
        </row>
        <row r="18">
          <cell r="V18" t="str">
            <v>Inverclyde Royal Hospital</v>
          </cell>
          <cell r="W18" t="str">
            <v>IRH</v>
          </cell>
          <cell r="X18" t="str">
            <v>IRH</v>
          </cell>
        </row>
        <row r="19">
          <cell r="V19" t="str">
            <v>Lorn &amp; Islands Hospital</v>
          </cell>
          <cell r="W19" t="str">
            <v>L&amp;I</v>
          </cell>
          <cell r="X19" t="str">
            <v>L&amp;I</v>
          </cell>
        </row>
        <row r="20">
          <cell r="V20" t="str">
            <v>Monklands Hospital</v>
          </cell>
          <cell r="W20" t="str">
            <v>Monklands</v>
          </cell>
          <cell r="X20" t="str">
            <v>Monklands</v>
          </cell>
        </row>
        <row r="21">
          <cell r="V21" t="str">
            <v>Ninewells Hospital</v>
          </cell>
          <cell r="W21" t="str">
            <v>Ninewells</v>
          </cell>
          <cell r="X21" t="str">
            <v>Ninewells</v>
          </cell>
        </row>
        <row r="22">
          <cell r="V22" t="str">
            <v>Perth Royal Infirmary</v>
          </cell>
          <cell r="W22" t="str">
            <v>PRI</v>
          </cell>
          <cell r="X22" t="str">
            <v>PRI</v>
          </cell>
        </row>
        <row r="23">
          <cell r="V23" t="str">
            <v>Queen Elizabeth University Hospital - Glasgow</v>
          </cell>
          <cell r="W23" t="str">
            <v>QEUH</v>
          </cell>
          <cell r="X23" t="str">
            <v>QEUH</v>
          </cell>
        </row>
        <row r="24">
          <cell r="V24" t="str">
            <v>Raigmore Hospital</v>
          </cell>
          <cell r="W24" t="str">
            <v>Raigmore</v>
          </cell>
          <cell r="X24" t="str">
            <v>Raigmore</v>
          </cell>
        </row>
        <row r="25">
          <cell r="V25" t="str">
            <v>Royal Alexandra Hospital</v>
          </cell>
          <cell r="W25" t="str">
            <v>RAH</v>
          </cell>
          <cell r="X25" t="str">
            <v>RAH</v>
          </cell>
        </row>
        <row r="26">
          <cell r="V26" t="str">
            <v>Royal Infirmary of Edinburgh</v>
          </cell>
          <cell r="W26" t="str">
            <v>RIE</v>
          </cell>
          <cell r="X26" t="str">
            <v>RIE</v>
          </cell>
        </row>
        <row r="27">
          <cell r="V27" t="str">
            <v>St John's Hospital</v>
          </cell>
          <cell r="W27" t="str">
            <v>SJH</v>
          </cell>
          <cell r="X27" t="str">
            <v>SJH</v>
          </cell>
        </row>
        <row r="28">
          <cell r="V28" t="str">
            <v>Uist &amp; Barra Hospital</v>
          </cell>
          <cell r="W28" t="str">
            <v>Uist &amp; Barra</v>
          </cell>
          <cell r="X28" t="str">
            <v>Uist &amp; Barra</v>
          </cell>
        </row>
        <row r="29">
          <cell r="V29" t="str">
            <v>Victoria Hospital Kirkcaldy</v>
          </cell>
          <cell r="W29" t="str">
            <v>VHK</v>
          </cell>
          <cell r="X29" t="str">
            <v>VHK</v>
          </cell>
        </row>
        <row r="30">
          <cell r="V30" t="str">
            <v>Western General Hospital</v>
          </cell>
          <cell r="W30" t="str">
            <v>WGH</v>
          </cell>
          <cell r="X30" t="str">
            <v>WGH</v>
          </cell>
        </row>
        <row r="31">
          <cell r="V31" t="str">
            <v>Western Isles Hospital</v>
          </cell>
          <cell r="W31" t="str">
            <v>Western Isles</v>
          </cell>
          <cell r="X31" t="str">
            <v>Western Isles</v>
          </cell>
        </row>
        <row r="32">
          <cell r="V32" t="str">
            <v>Wishaw General Hospital</v>
          </cell>
          <cell r="W32" t="str">
            <v>Wishaw</v>
          </cell>
          <cell r="X32" t="str">
            <v>Wishaw</v>
          </cell>
        </row>
        <row r="33">
          <cell r="V33" t="str">
            <v>Queen Margaret Hospital</v>
          </cell>
          <cell r="W33" t="str">
            <v>QMH</v>
          </cell>
          <cell r="X33" t="str">
            <v>QMH</v>
          </cell>
        </row>
        <row r="34">
          <cell r="V34" t="str">
            <v>Stracathro Hospital</v>
          </cell>
          <cell r="W34" t="str">
            <v>Stracathro</v>
          </cell>
          <cell r="X34" t="str">
            <v>Stracathro</v>
          </cell>
        </row>
        <row r="35">
          <cell r="V35" t="str">
            <v>Western Infirmary/Gartnavel General</v>
          </cell>
          <cell r="W35" t="str">
            <v>WIG</v>
          </cell>
          <cell r="X35" t="str">
            <v>WIG</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strokeaudit.scot.nhs.uk/Reports/Report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9">
    <pageSetUpPr fitToPage="1"/>
  </sheetPr>
  <dimension ref="A1:J47"/>
  <sheetViews>
    <sheetView showGridLines="0" tabSelected="1" workbookViewId="0">
      <pane ySplit="4" topLeftCell="A5" activePane="bottomLeft" state="frozen"/>
      <selection pane="bottomLeft" activeCell="A5" sqref="A5"/>
    </sheetView>
  </sheetViews>
  <sheetFormatPr defaultRowHeight="12.75"/>
  <cols>
    <col min="1" max="1" width="2.7109375" style="640" customWidth="1"/>
    <col min="2" max="2" width="13.7109375" style="2" customWidth="1"/>
    <col min="3" max="3" width="109.28515625" style="2" customWidth="1"/>
    <col min="4" max="4" width="11.7109375" style="2" hidden="1" customWidth="1"/>
    <col min="5" max="16384" width="9.140625" style="2"/>
  </cols>
  <sheetData>
    <row r="1" spans="1:6" ht="30" customHeight="1">
      <c r="A1" s="933" t="s">
        <v>648</v>
      </c>
      <c r="B1" s="933"/>
      <c r="C1" s="933"/>
    </row>
    <row r="2" spans="1:6" ht="24.95" customHeight="1">
      <c r="A2" s="934" t="s">
        <v>743</v>
      </c>
      <c r="B2" s="934"/>
      <c r="C2" s="934"/>
    </row>
    <row r="3" spans="1:6" s="838" customFormat="1" ht="24.95" customHeight="1">
      <c r="A3" s="834"/>
      <c r="B3" s="855" t="s">
        <v>846</v>
      </c>
      <c r="C3" s="854"/>
    </row>
    <row r="4" spans="1:6" ht="51">
      <c r="A4" s="648"/>
      <c r="B4" s="629" t="s">
        <v>198</v>
      </c>
      <c r="C4" s="630" t="s">
        <v>199</v>
      </c>
      <c r="D4" s="628" t="s">
        <v>200</v>
      </c>
    </row>
    <row r="5" spans="1:6" s="374" customFormat="1" ht="30" customHeight="1">
      <c r="A5" s="639"/>
      <c r="B5" s="647" t="s">
        <v>866</v>
      </c>
      <c r="C5" s="785" t="s">
        <v>733</v>
      </c>
      <c r="D5" s="376"/>
    </row>
    <row r="6" spans="1:6" ht="30" customHeight="1">
      <c r="B6" s="453" t="s">
        <v>202</v>
      </c>
      <c r="C6" s="785" t="s">
        <v>201</v>
      </c>
      <c r="D6" s="100"/>
    </row>
    <row r="7" spans="1:6" ht="30" customHeight="1">
      <c r="B7" s="453" t="s">
        <v>502</v>
      </c>
      <c r="C7" s="785" t="s">
        <v>734</v>
      </c>
      <c r="D7" s="100"/>
    </row>
    <row r="8" spans="1:6" ht="30" customHeight="1">
      <c r="A8" s="907" t="s">
        <v>579</v>
      </c>
      <c r="B8" s="453" t="s">
        <v>503</v>
      </c>
      <c r="C8" s="785" t="s">
        <v>735</v>
      </c>
      <c r="D8" s="100"/>
    </row>
    <row r="9" spans="1:6" ht="30" customHeight="1">
      <c r="A9" s="907" t="s">
        <v>579</v>
      </c>
      <c r="B9" s="453" t="s">
        <v>203</v>
      </c>
      <c r="C9" s="785" t="s">
        <v>738</v>
      </c>
      <c r="D9" s="100"/>
    </row>
    <row r="10" spans="1:6" ht="30" customHeight="1">
      <c r="B10" s="453" t="s">
        <v>204</v>
      </c>
      <c r="C10" s="785" t="s">
        <v>742</v>
      </c>
      <c r="D10" s="786"/>
    </row>
    <row r="11" spans="1:6" s="838" customFormat="1" ht="30" customHeight="1">
      <c r="B11" s="453" t="s">
        <v>834</v>
      </c>
      <c r="C11" s="785" t="s">
        <v>837</v>
      </c>
      <c r="D11" s="853"/>
    </row>
    <row r="12" spans="1:6" s="784" customFormat="1" ht="50.1" customHeight="1">
      <c r="A12" s="288"/>
      <c r="B12" s="453" t="s">
        <v>839</v>
      </c>
      <c r="C12" s="785" t="s">
        <v>787</v>
      </c>
      <c r="D12" s="100"/>
    </row>
    <row r="13" spans="1:6" s="784" customFormat="1" ht="50.1" customHeight="1">
      <c r="A13" s="288"/>
      <c r="B13" s="645" t="s">
        <v>843</v>
      </c>
      <c r="C13" s="785" t="s">
        <v>788</v>
      </c>
      <c r="D13" s="100"/>
    </row>
    <row r="14" spans="1:6" s="817" customFormat="1" ht="50.1" customHeight="1">
      <c r="A14" s="288" t="s">
        <v>579</v>
      </c>
      <c r="B14" s="645" t="s">
        <v>815</v>
      </c>
      <c r="C14" s="785" t="s">
        <v>794</v>
      </c>
      <c r="D14" s="100"/>
    </row>
    <row r="15" spans="1:6" ht="39.950000000000003" customHeight="1" thickBot="1">
      <c r="B15" s="453" t="s">
        <v>205</v>
      </c>
      <c r="C15" s="785" t="s">
        <v>813</v>
      </c>
      <c r="D15" s="787"/>
      <c r="E15" s="72"/>
      <c r="F15" s="72"/>
    </row>
    <row r="16" spans="1:6" s="640" customFormat="1" ht="39.950000000000003" customHeight="1">
      <c r="A16" s="907" t="s">
        <v>579</v>
      </c>
      <c r="B16" s="645" t="s">
        <v>575</v>
      </c>
      <c r="C16" s="785" t="s">
        <v>744</v>
      </c>
      <c r="D16" s="72"/>
      <c r="E16" s="72"/>
      <c r="F16" s="72"/>
    </row>
    <row r="17" spans="1:10" ht="30" customHeight="1">
      <c r="B17" s="453" t="s">
        <v>361</v>
      </c>
      <c r="C17" s="785" t="s">
        <v>752</v>
      </c>
      <c r="D17" s="72"/>
      <c r="E17" s="72"/>
      <c r="F17" s="72"/>
    </row>
    <row r="18" spans="1:10" s="640" customFormat="1" ht="30" customHeight="1">
      <c r="A18" s="907" t="s">
        <v>579</v>
      </c>
      <c r="B18" s="645" t="s">
        <v>576</v>
      </c>
      <c r="C18" s="785" t="s">
        <v>753</v>
      </c>
      <c r="D18" s="72"/>
      <c r="E18" s="72"/>
      <c r="F18" s="72"/>
    </row>
    <row r="19" spans="1:10" ht="30" customHeight="1">
      <c r="B19" s="453" t="s">
        <v>206</v>
      </c>
      <c r="C19" s="785" t="s">
        <v>757</v>
      </c>
      <c r="D19" s="100"/>
    </row>
    <row r="20" spans="1:10" ht="30" customHeight="1">
      <c r="B20" s="453" t="s">
        <v>207</v>
      </c>
      <c r="C20" s="801" t="s">
        <v>817</v>
      </c>
      <c r="D20" s="100"/>
    </row>
    <row r="21" spans="1:10" ht="30" customHeight="1">
      <c r="B21" s="453" t="s">
        <v>208</v>
      </c>
      <c r="C21" s="801" t="s">
        <v>763</v>
      </c>
      <c r="D21" s="100"/>
    </row>
    <row r="22" spans="1:10" ht="30" customHeight="1">
      <c r="B22" s="453" t="s">
        <v>209</v>
      </c>
      <c r="C22" s="801" t="s">
        <v>764</v>
      </c>
      <c r="D22" s="101"/>
      <c r="E22" s="101"/>
      <c r="F22" s="101"/>
      <c r="G22" s="101"/>
      <c r="H22" s="101"/>
      <c r="I22" s="101"/>
      <c r="J22" s="101"/>
    </row>
    <row r="23" spans="1:10" ht="30" customHeight="1">
      <c r="B23" s="453" t="s">
        <v>210</v>
      </c>
      <c r="C23" s="785" t="s">
        <v>769</v>
      </c>
      <c r="D23" s="101"/>
      <c r="E23" s="101"/>
      <c r="F23" s="101"/>
      <c r="G23" s="101"/>
      <c r="H23" s="101"/>
      <c r="I23" s="101"/>
      <c r="J23" s="101"/>
    </row>
    <row r="24" spans="1:10" ht="30" customHeight="1">
      <c r="B24" s="453" t="s">
        <v>211</v>
      </c>
      <c r="C24" s="785" t="s">
        <v>771</v>
      </c>
      <c r="D24" s="101"/>
      <c r="E24" s="101"/>
      <c r="F24" s="101"/>
      <c r="G24" s="101"/>
      <c r="H24" s="101"/>
      <c r="I24" s="101"/>
      <c r="J24" s="101"/>
    </row>
    <row r="25" spans="1:10" ht="30" customHeight="1">
      <c r="B25" s="453" t="s">
        <v>212</v>
      </c>
      <c r="C25" s="785" t="s">
        <v>772</v>
      </c>
      <c r="D25" s="102"/>
      <c r="E25" s="102"/>
      <c r="F25" s="102"/>
      <c r="G25" s="102"/>
      <c r="H25" s="102"/>
      <c r="I25" s="102"/>
      <c r="J25" s="102"/>
    </row>
    <row r="26" spans="1:10" ht="30" customHeight="1">
      <c r="B26" s="453" t="s">
        <v>213</v>
      </c>
      <c r="C26" s="785" t="s">
        <v>773</v>
      </c>
      <c r="D26" s="100"/>
    </row>
    <row r="27" spans="1:10" ht="30" customHeight="1">
      <c r="B27" s="453" t="s">
        <v>214</v>
      </c>
      <c r="C27" s="785" t="s">
        <v>774</v>
      </c>
      <c r="D27" s="100"/>
    </row>
    <row r="28" spans="1:10" s="375" customFormat="1" ht="30" customHeight="1">
      <c r="A28" s="640"/>
      <c r="B28" s="453" t="s">
        <v>215</v>
      </c>
      <c r="C28" s="785" t="s">
        <v>776</v>
      </c>
      <c r="D28" s="100"/>
    </row>
    <row r="29" spans="1:10" ht="30" customHeight="1">
      <c r="B29" s="453" t="s">
        <v>216</v>
      </c>
      <c r="C29" s="785" t="s">
        <v>777</v>
      </c>
      <c r="D29" s="100"/>
    </row>
    <row r="30" spans="1:10" ht="30" customHeight="1">
      <c r="B30" s="453" t="s">
        <v>217</v>
      </c>
      <c r="C30" s="785" t="s">
        <v>780</v>
      </c>
      <c r="D30" s="100"/>
    </row>
    <row r="31" spans="1:10" ht="30" customHeight="1">
      <c r="B31" s="453" t="s">
        <v>218</v>
      </c>
      <c r="C31" s="802" t="s">
        <v>781</v>
      </c>
      <c r="D31" s="100"/>
    </row>
    <row r="32" spans="1:10" ht="30" customHeight="1">
      <c r="B32" s="453" t="s">
        <v>219</v>
      </c>
      <c r="C32" s="785" t="s">
        <v>782</v>
      </c>
      <c r="D32" s="100"/>
    </row>
    <row r="33" spans="1:5" ht="30" customHeight="1">
      <c r="A33" s="288" t="s">
        <v>579</v>
      </c>
      <c r="B33" s="453" t="s">
        <v>220</v>
      </c>
      <c r="C33" s="803" t="s">
        <v>783</v>
      </c>
      <c r="D33" s="100"/>
    </row>
    <row r="34" spans="1:5" ht="30" customHeight="1">
      <c r="A34" s="288" t="s">
        <v>579</v>
      </c>
      <c r="B34" s="453" t="s">
        <v>557</v>
      </c>
      <c r="C34" s="785" t="s">
        <v>784</v>
      </c>
      <c r="D34" s="100"/>
    </row>
    <row r="35" spans="1:5" s="355" customFormat="1" ht="25.5">
      <c r="A35" s="288" t="s">
        <v>579</v>
      </c>
      <c r="B35" s="453" t="s">
        <v>558</v>
      </c>
      <c r="C35" s="785" t="s">
        <v>785</v>
      </c>
      <c r="D35" s="100"/>
    </row>
    <row r="36" spans="1:5" s="386" customFormat="1">
      <c r="A36" s="288" t="s">
        <v>579</v>
      </c>
      <c r="B36" s="453" t="s">
        <v>559</v>
      </c>
      <c r="C36" s="785" t="s">
        <v>786</v>
      </c>
      <c r="D36" s="100"/>
    </row>
    <row r="37" spans="1:5" s="386" customFormat="1">
      <c r="A37" s="288" t="s">
        <v>579</v>
      </c>
      <c r="B37" s="453" t="s">
        <v>560</v>
      </c>
      <c r="C37" s="785" t="s">
        <v>861</v>
      </c>
      <c r="D37" s="100"/>
    </row>
    <row r="38" spans="1:5" s="397" customFormat="1" ht="25.5">
      <c r="A38" s="288" t="s">
        <v>579</v>
      </c>
      <c r="B38" s="453" t="s">
        <v>504</v>
      </c>
      <c r="C38" s="785" t="s">
        <v>862</v>
      </c>
      <c r="D38" s="100"/>
    </row>
    <row r="39" spans="1:5" s="397" customFormat="1" ht="25.5">
      <c r="A39" s="288" t="s">
        <v>579</v>
      </c>
      <c r="B39" s="453" t="s">
        <v>561</v>
      </c>
      <c r="C39" s="785" t="s">
        <v>863</v>
      </c>
      <c r="D39" s="100"/>
    </row>
    <row r="40" spans="1:5" s="404" customFormat="1" ht="25.5">
      <c r="A40" s="288" t="s">
        <v>579</v>
      </c>
      <c r="B40" s="453" t="s">
        <v>562</v>
      </c>
      <c r="C40" s="785" t="s">
        <v>864</v>
      </c>
      <c r="D40" s="100"/>
    </row>
    <row r="41" spans="1:5" s="784" customFormat="1" ht="50.1" customHeight="1">
      <c r="A41" s="288"/>
      <c r="B41" s="645" t="s">
        <v>847</v>
      </c>
      <c r="C41" s="785" t="s">
        <v>791</v>
      </c>
      <c r="D41" s="100"/>
    </row>
    <row r="42" spans="1:5" s="784" customFormat="1" ht="50.1" customHeight="1">
      <c r="A42" s="288" t="s">
        <v>579</v>
      </c>
      <c r="B42" s="645" t="s">
        <v>850</v>
      </c>
      <c r="C42" s="785" t="s">
        <v>789</v>
      </c>
      <c r="D42" s="100"/>
    </row>
    <row r="43" spans="1:5" s="838" customFormat="1" ht="50.1" customHeight="1">
      <c r="B43" s="645" t="s">
        <v>814</v>
      </c>
      <c r="C43" s="785" t="s">
        <v>804</v>
      </c>
      <c r="D43" s="100"/>
    </row>
    <row r="44" spans="1:5" ht="50.1" customHeight="1">
      <c r="B44" s="645" t="s">
        <v>819</v>
      </c>
      <c r="C44" s="785" t="s">
        <v>830</v>
      </c>
      <c r="D44" s="100"/>
    </row>
    <row r="45" spans="1:5" s="784" customFormat="1" ht="50.1" customHeight="1">
      <c r="A45" s="288" t="s">
        <v>579</v>
      </c>
      <c r="B45" s="645" t="s">
        <v>860</v>
      </c>
      <c r="C45" s="785" t="s">
        <v>790</v>
      </c>
      <c r="D45" s="100"/>
    </row>
    <row r="46" spans="1:5">
      <c r="A46" s="906" t="s">
        <v>579</v>
      </c>
      <c r="B46" s="905" t="s">
        <v>865</v>
      </c>
      <c r="C46" s="638"/>
      <c r="D46" s="100"/>
    </row>
    <row r="47" spans="1:5">
      <c r="B47" s="649"/>
      <c r="D47" s="103"/>
      <c r="E47" s="103"/>
    </row>
  </sheetData>
  <sheetProtection password="B8D9" sheet="1" objects="1" scenarios="1"/>
  <mergeCells count="2">
    <mergeCell ref="A1:C1"/>
    <mergeCell ref="A2:C2"/>
  </mergeCells>
  <phoneticPr fontId="0" type="noConversion"/>
  <hyperlinks>
    <hyperlink ref="B6" location="'Table 2'!A1" display="Table 2"/>
    <hyperlink ref="B7" location="'Table 3'!A1" display="Table 3"/>
    <hyperlink ref="B8" location="'Table 4 (2015)'!A1" display="Table 4"/>
    <hyperlink ref="B9" location="'Table 5'!A1" display="Table 5"/>
    <hyperlink ref="B10" location="'Table 6 (2016)'!A1" display="Table 6"/>
    <hyperlink ref="B19" location="'Chart 2a'!A1" display="Chart 2a"/>
    <hyperlink ref="B20" location="'Chart 2b'!A1" display="Chart 2b"/>
    <hyperlink ref="B21" location="'Chart 2c'!A1" display="Chart 2c"/>
    <hyperlink ref="B22" location="'Chart 2d'!A1" display="Chart 2d"/>
    <hyperlink ref="B26" location="'Chart 6'!A1" display="Chart 6"/>
    <hyperlink ref="B17" location="'Chart 1c'!A1" display="Chart 1c"/>
    <hyperlink ref="B23" location="'Chart 3 (2016)'!A1" display="Chart 3"/>
    <hyperlink ref="B27" location="'Chart 7 (2016)'!A1" display="Chart 7"/>
    <hyperlink ref="B28" location="'Chart 8'!A1" display="Chart 8"/>
    <hyperlink ref="B29" location="'Chart 9'!A1" display="Chart 9"/>
    <hyperlink ref="B31" location="'Chart 11'!A1" display="Chart 11"/>
    <hyperlink ref="B32" location="'Chart 12'!A1" display="Chart 12"/>
    <hyperlink ref="B33" location="'Chart 13 (2016)'!A1" display="Chart 13"/>
    <hyperlink ref="B34" location="'Chart 14a (2016)'!A1" display="Chart 14a"/>
    <hyperlink ref="B35" location="'Chart 15 (2016)'!A1" display="Chart 15"/>
    <hyperlink ref="B36" location="'Chart 16a'!A1" display="Chart 16a"/>
    <hyperlink ref="B37" location="'Chart 16b'!A1" display="Chart 16b"/>
    <hyperlink ref="B38" location="'Chart 17a'!A1" display="Chart 17a"/>
    <hyperlink ref="B39" location="'Chart 17c'!A1" display="Chart 17c"/>
    <hyperlink ref="B40" location="'Chart 17d'!A1" display="Chart 17d"/>
    <hyperlink ref="B5" location="'Tables 1a 1b 1c combined'!A1" display="Table 1a 1b 1c"/>
    <hyperlink ref="B16" location="'Chart 1b (final diag)'!A1" display="Chart 1b"/>
    <hyperlink ref="B18" location="'Chart 1c (final diag)'!A1" display="Chart 1c"/>
    <hyperlink ref="A2:C2" r:id="rId1" display="click here for the SSCA web site where a PDF copy of the Scottish Stroke Improvement Plan may be viewed and/or downloaded"/>
    <hyperlink ref="B13" location="'Table M2'!A1" display="Table M2"/>
    <hyperlink ref="B42" location="'Chart N2'!A1" display="Chart N2"/>
    <hyperlink ref="B15" location="'Chart 1b'!A1" display="Chart 1b"/>
    <hyperlink ref="B14" location="'Table N2'!A1" display="Table N2"/>
    <hyperlink ref="B24" location="'Chart 4 (2016)'!A1" display="Chart 4"/>
    <hyperlink ref="B25" location="'Chart 5 (2016)'!A1" display="Chart 5"/>
    <hyperlink ref="B43" location="'Chart N3'!A1" display="Chart N3"/>
    <hyperlink ref="B44" location="'Chart N4'!A1" display="Chart N4"/>
    <hyperlink ref="B11" location="'Table M0'!A1" display="Table M0"/>
    <hyperlink ref="B12" location="'Table M1'!A1" display="Table M1"/>
    <hyperlink ref="B30" location="'Chart 10'!A1" display="Chart 10"/>
    <hyperlink ref="B41" location="'Chart N1'!A1" display="Chart N1"/>
    <hyperlink ref="B45" location="'Chart N5'!A1" display="Chart N5"/>
  </hyperlinks>
  <pageMargins left="0.74803149606299213" right="0.74803149606299213" top="0.39370078740157483" bottom="0.74803149606299213" header="0.15748031496062992" footer="0.19685039370078741"/>
  <pageSetup paperSize="9" scale="51" orientation="portrait" r:id="rId2"/>
  <headerFooter alignWithMargins="0">
    <oddFooter>&amp;L&amp;8Scottish Stroke Care Audit 2017 National Report
Stroke Services in Scottish Hospitals, Data relating to 2016&amp;R&amp;8© NHS National Services Scotland/Crown Copyright</oddFooter>
  </headerFooter>
</worksheet>
</file>

<file path=xl/worksheets/sheet10.xml><?xml version="1.0" encoding="utf-8"?>
<worksheet xmlns="http://schemas.openxmlformats.org/spreadsheetml/2006/main" xmlns:r="http://schemas.openxmlformats.org/officeDocument/2006/relationships">
  <sheetPr codeName="Sheet17">
    <pageSetUpPr fitToPage="1"/>
  </sheetPr>
  <dimension ref="B1:I25"/>
  <sheetViews>
    <sheetView workbookViewId="0">
      <selection activeCell="D11" sqref="D11"/>
    </sheetView>
  </sheetViews>
  <sheetFormatPr defaultRowHeight="12.75"/>
  <cols>
    <col min="1" max="1" width="1.7109375" style="445" customWidth="1"/>
    <col min="2" max="2" width="26.42578125" style="445" customWidth="1"/>
    <col min="3" max="3" width="41.5703125" style="445" customWidth="1"/>
    <col min="4" max="5" width="10.7109375" style="445" customWidth="1"/>
    <col min="6" max="6" width="10.7109375" style="473" customWidth="1"/>
    <col min="7" max="7" width="10.7109375" style="445" customWidth="1"/>
    <col min="8" max="8" width="54.28515625" style="445" customWidth="1"/>
    <col min="9" max="10" width="10.7109375" style="445" customWidth="1"/>
    <col min="11" max="16384" width="9.140625" style="445"/>
  </cols>
  <sheetData>
    <row r="1" spans="2:9" ht="12.75" customHeight="1">
      <c r="B1" s="969" t="s">
        <v>501</v>
      </c>
      <c r="C1" s="969"/>
      <c r="D1" s="969"/>
    </row>
    <row r="2" spans="2:9">
      <c r="B2" s="969"/>
      <c r="C2" s="969"/>
      <c r="D2" s="969"/>
    </row>
    <row r="3" spans="2:9">
      <c r="B3" s="444"/>
      <c r="C3" s="444"/>
      <c r="D3" s="444"/>
      <c r="E3" s="444"/>
      <c r="F3" s="471"/>
      <c r="G3" s="444"/>
      <c r="H3" s="444"/>
    </row>
    <row r="4" spans="2:9">
      <c r="B4" s="970" t="s">
        <v>45</v>
      </c>
      <c r="C4" s="970"/>
      <c r="D4" s="970"/>
    </row>
    <row r="5" spans="2:9" ht="39.950000000000003" customHeight="1">
      <c r="B5" s="367" t="s">
        <v>137</v>
      </c>
      <c r="C5" s="446" t="s">
        <v>325</v>
      </c>
      <c r="D5" s="449" t="s">
        <v>178</v>
      </c>
      <c r="E5" s="449" t="s">
        <v>471</v>
      </c>
      <c r="F5" s="449" t="s">
        <v>519</v>
      </c>
      <c r="G5" s="449" t="s">
        <v>472</v>
      </c>
      <c r="H5" s="450" t="s">
        <v>473</v>
      </c>
      <c r="I5" s="451"/>
    </row>
    <row r="6" spans="2:9">
      <c r="B6" s="447" t="s">
        <v>33</v>
      </c>
      <c r="C6" s="447" t="s">
        <v>57</v>
      </c>
      <c r="D6" s="190">
        <v>25</v>
      </c>
      <c r="E6" s="190">
        <v>25</v>
      </c>
      <c r="F6" s="474">
        <f>E6/VLOOKUP(B6,'Table 4 (2015)'!$B$6:$D$20,3,FALSE)*100000</f>
        <v>6.7459996222240202</v>
      </c>
      <c r="G6" s="693">
        <f>D6-E6</f>
        <v>0</v>
      </c>
      <c r="H6" s="190"/>
    </row>
    <row r="7" spans="2:9">
      <c r="B7" s="447" t="s">
        <v>31</v>
      </c>
      <c r="C7" s="447" t="s">
        <v>64</v>
      </c>
      <c r="D7" s="190">
        <v>29</v>
      </c>
      <c r="E7" s="190">
        <v>29</v>
      </c>
      <c r="F7" s="474">
        <f>E7/VLOOKUP(B7,'Table 4 (2015)'!$B$6:$D$20,3,FALSE)*100000</f>
        <v>19.375960446315226</v>
      </c>
      <c r="G7" s="190">
        <f t="shared" ref="G7:G16" si="0">D7-E7</f>
        <v>0</v>
      </c>
      <c r="H7" s="190"/>
    </row>
    <row r="8" spans="2:9">
      <c r="B8" s="447" t="s">
        <v>30</v>
      </c>
      <c r="C8" s="447" t="s">
        <v>479</v>
      </c>
      <c r="D8" s="190">
        <v>9</v>
      </c>
      <c r="E8" s="190">
        <v>9</v>
      </c>
      <c r="F8" s="474">
        <f>E8/VLOOKUP(B8,'Table 4 (2015)'!$B$6:$D$20,3,FALSE)*100000</f>
        <v>2.4451206259508802</v>
      </c>
      <c r="G8" s="190">
        <f t="shared" si="0"/>
        <v>0</v>
      </c>
      <c r="H8" s="190"/>
    </row>
    <row r="9" spans="2:9">
      <c r="B9" s="447" t="s">
        <v>35</v>
      </c>
      <c r="C9" s="447" t="s">
        <v>191</v>
      </c>
      <c r="D9" s="190">
        <v>31</v>
      </c>
      <c r="E9" s="190">
        <v>30</v>
      </c>
      <c r="F9" s="474">
        <f>E9/VLOOKUP(B9,'Table 4 (2015)'!$B$6:$D$20,3,FALSE)*100000</f>
        <v>9.9124401123409882</v>
      </c>
      <c r="G9" s="190">
        <f t="shared" si="0"/>
        <v>1</v>
      </c>
      <c r="H9" s="190" t="s">
        <v>29</v>
      </c>
    </row>
    <row r="10" spans="2:9">
      <c r="B10" s="447" t="s">
        <v>34</v>
      </c>
      <c r="C10" s="447" t="s">
        <v>74</v>
      </c>
      <c r="D10" s="190">
        <v>30</v>
      </c>
      <c r="E10" s="190">
        <v>28</v>
      </c>
      <c r="F10" s="474">
        <f>E10/VLOOKUP(B10,'Table 4 (2015)'!$B$6:$D$20,3,FALSE)*100000</f>
        <v>4.7633629342315675</v>
      </c>
      <c r="G10" s="190">
        <f t="shared" si="0"/>
        <v>2</v>
      </c>
      <c r="H10" s="190" t="s">
        <v>474</v>
      </c>
    </row>
    <row r="11" spans="2:9" ht="25.5">
      <c r="B11" s="447" t="s">
        <v>40</v>
      </c>
      <c r="C11" s="447" t="s">
        <v>467</v>
      </c>
      <c r="D11" s="190">
        <v>102</v>
      </c>
      <c r="E11" s="190">
        <v>86</v>
      </c>
      <c r="F11" s="474">
        <f>E11/VLOOKUP(B11,'Table 4 (2015)'!$B$6:$D$20,3,FALSE)*100000</f>
        <v>7.478976249902165</v>
      </c>
      <c r="G11" s="190">
        <f t="shared" si="0"/>
        <v>16</v>
      </c>
      <c r="H11" s="190" t="s">
        <v>477</v>
      </c>
    </row>
    <row r="12" spans="2:9" ht="25.5">
      <c r="B12" s="447" t="s">
        <v>36</v>
      </c>
      <c r="C12" s="447" t="s">
        <v>97</v>
      </c>
      <c r="D12" s="190">
        <v>26</v>
      </c>
      <c r="E12" s="190">
        <v>23</v>
      </c>
      <c r="F12" s="474">
        <f>E12/VLOOKUP(B12,'Table 4 (2015)'!$B$6:$D$20,3,FALSE)*100000</f>
        <v>7.1651090342679131</v>
      </c>
      <c r="G12" s="190">
        <f t="shared" si="0"/>
        <v>3</v>
      </c>
      <c r="H12" s="190" t="s">
        <v>483</v>
      </c>
    </row>
    <row r="13" spans="2:9" ht="25.5">
      <c r="B13" s="447" t="s">
        <v>29</v>
      </c>
      <c r="C13" s="447" t="s">
        <v>100</v>
      </c>
      <c r="D13" s="190">
        <v>63</v>
      </c>
      <c r="E13" s="190">
        <v>59</v>
      </c>
      <c r="F13" s="474">
        <f>E13/VLOOKUP(B13,'Table 4 (2015)'!$B$6:$D$20,3,FALSE)*100000</f>
        <v>9.0146526302922894</v>
      </c>
      <c r="G13" s="190">
        <f t="shared" si="0"/>
        <v>4</v>
      </c>
      <c r="H13" s="190" t="s">
        <v>475</v>
      </c>
    </row>
    <row r="14" spans="2:9">
      <c r="B14" s="447" t="s">
        <v>38</v>
      </c>
      <c r="C14" s="447" t="s">
        <v>192</v>
      </c>
      <c r="D14" s="190">
        <v>54</v>
      </c>
      <c r="E14" s="190">
        <v>46</v>
      </c>
      <c r="F14" s="474">
        <f>E14/VLOOKUP(B14,'Table 4 (2015)'!$B$6:$D$20,3,FALSE)*100000</f>
        <v>5.3007605439041257</v>
      </c>
      <c r="G14" s="190">
        <f t="shared" si="0"/>
        <v>8</v>
      </c>
      <c r="H14" s="190" t="s">
        <v>478</v>
      </c>
    </row>
    <row r="15" spans="2:9">
      <c r="B15" s="447" t="s">
        <v>32</v>
      </c>
      <c r="C15" s="447" t="s">
        <v>123</v>
      </c>
      <c r="D15" s="190">
        <v>27</v>
      </c>
      <c r="E15" s="190">
        <v>23</v>
      </c>
      <c r="F15" s="474">
        <f>E15/VLOOKUP(B15,'Table 4 (2015)'!$B$6:$D$20,3,FALSE)*100000</f>
        <v>5.5416345412490369</v>
      </c>
      <c r="G15" s="190">
        <f t="shared" si="0"/>
        <v>4</v>
      </c>
      <c r="H15" s="190" t="s">
        <v>476</v>
      </c>
    </row>
    <row r="16" spans="2:9">
      <c r="B16" s="448" t="s">
        <v>134</v>
      </c>
      <c r="C16" s="448" t="s">
        <v>134</v>
      </c>
      <c r="D16" s="427">
        <f>SUM(D6:D15)</f>
        <v>396</v>
      </c>
      <c r="E16" s="427">
        <f>SUM(E6:E15)</f>
        <v>358</v>
      </c>
      <c r="F16" s="475">
        <f>E16/VLOOKUP(B16,'Table 4 (2015)'!$B$6:$D$20,3,FALSE)*100000</f>
        <v>6.662944351386562</v>
      </c>
      <c r="G16" s="427">
        <f t="shared" si="0"/>
        <v>38</v>
      </c>
      <c r="H16" s="190"/>
    </row>
    <row r="17" spans="2:8">
      <c r="B17" s="194"/>
      <c r="C17" s="194"/>
      <c r="D17" s="192"/>
      <c r="E17" s="192"/>
      <c r="F17" s="192"/>
      <c r="G17" s="192"/>
      <c r="H17" s="192"/>
    </row>
    <row r="18" spans="2:8">
      <c r="B18" s="195" t="s">
        <v>659</v>
      </c>
      <c r="C18" s="195"/>
      <c r="D18" s="368"/>
      <c r="E18" s="368"/>
      <c r="F18" s="368"/>
      <c r="G18" s="368"/>
      <c r="H18" s="368"/>
    </row>
    <row r="19" spans="2:8" ht="15">
      <c r="B19" s="955" t="s">
        <v>480</v>
      </c>
      <c r="C19" s="955"/>
      <c r="D19" s="971"/>
      <c r="E19" s="971"/>
      <c r="F19" s="971"/>
      <c r="G19" s="971"/>
    </row>
    <row r="20" spans="2:8" ht="24.95" customHeight="1">
      <c r="B20" s="972" t="s">
        <v>741</v>
      </c>
      <c r="C20" s="972"/>
      <c r="D20" s="972"/>
      <c r="E20" s="972"/>
      <c r="F20" s="972"/>
      <c r="G20" s="972"/>
      <c r="H20" s="972"/>
    </row>
    <row r="21" spans="2:8" ht="24.95" customHeight="1">
      <c r="B21" s="972" t="s">
        <v>332</v>
      </c>
      <c r="C21" s="972"/>
      <c r="D21" s="972"/>
      <c r="E21" s="972"/>
      <c r="F21" s="972"/>
      <c r="G21" s="972"/>
      <c r="H21" s="972"/>
    </row>
    <row r="22" spans="2:8" ht="12.75" customHeight="1">
      <c r="B22" s="943" t="s">
        <v>481</v>
      </c>
      <c r="C22" s="943"/>
      <c r="D22" s="943"/>
      <c r="E22" s="943"/>
      <c r="F22" s="943"/>
      <c r="G22" s="943"/>
      <c r="H22" s="943"/>
    </row>
    <row r="23" spans="2:8">
      <c r="B23" s="943"/>
      <c r="C23" s="943"/>
      <c r="D23" s="943"/>
      <c r="E23" s="943"/>
      <c r="F23" s="943"/>
      <c r="G23" s="943"/>
      <c r="H23" s="943"/>
    </row>
    <row r="24" spans="2:8" s="473" customFormat="1" ht="12.75" customHeight="1">
      <c r="B24" s="565"/>
      <c r="C24" s="565"/>
      <c r="D24" s="565"/>
      <c r="E24" s="565"/>
      <c r="F24" s="565"/>
      <c r="G24" s="565"/>
      <c r="H24" s="565"/>
    </row>
    <row r="25" spans="2:8" s="473" customFormat="1">
      <c r="B25" s="565"/>
      <c r="C25" s="565"/>
      <c r="D25" s="565"/>
      <c r="E25" s="565"/>
      <c r="F25" s="565"/>
      <c r="G25" s="565"/>
      <c r="H25" s="565"/>
    </row>
  </sheetData>
  <sheetProtection password="B8D9" sheet="1" objects="1" scenarios="1"/>
  <mergeCells count="6">
    <mergeCell ref="B22:H23"/>
    <mergeCell ref="B1:D2"/>
    <mergeCell ref="B4:D4"/>
    <mergeCell ref="B19:G19"/>
    <mergeCell ref="B20:H20"/>
    <mergeCell ref="B21:H21"/>
  </mergeCells>
  <hyperlinks>
    <hyperlink ref="B4" location="'List of Tables &amp; Charts'!A1" display="return to List of Tables &amp; Charts"/>
  </hyperlinks>
  <pageMargins left="0.74803149606299213" right="0.74803149606299213" top="0.98425196850393704" bottom="0.98425196850393704" header="0.51181102362204722" footer="0.51181102362204722"/>
  <pageSetup paperSize="9" scale="77" orientation="landscape" r:id="rId1"/>
  <headerFooter alignWithMargins="0">
    <oddFooter>&amp;L&amp;8Scottish Stroke Care Audit 2017 National Report
Stroke Services in Scottish Hospitals, Data relating to 2016&amp;R&amp;8© NHS National Services Scotland/Crown Copyright</oddFooter>
  </headerFooter>
</worksheet>
</file>

<file path=xl/worksheets/sheet11.xml><?xml version="1.0" encoding="utf-8"?>
<worksheet xmlns="http://schemas.openxmlformats.org/spreadsheetml/2006/main" xmlns:r="http://schemas.openxmlformats.org/officeDocument/2006/relationships">
  <sheetPr codeName="Sheet18">
    <pageSetUpPr fitToPage="1"/>
  </sheetPr>
  <dimension ref="B1:F34"/>
  <sheetViews>
    <sheetView zoomScaleNormal="100" workbookViewId="0"/>
  </sheetViews>
  <sheetFormatPr defaultRowHeight="12.75"/>
  <cols>
    <col min="1" max="1" width="1.7109375" style="208" customWidth="1"/>
    <col min="2" max="2" width="45.7109375" style="208" customWidth="1"/>
    <col min="3" max="3" width="18.85546875" style="208" customWidth="1"/>
    <col min="4" max="5" width="30.7109375" style="208" customWidth="1"/>
    <col min="6" max="16384" width="9.140625" style="208"/>
  </cols>
  <sheetData>
    <row r="1" spans="2:5" ht="12.75" customHeight="1">
      <c r="B1" s="973" t="s">
        <v>835</v>
      </c>
      <c r="C1" s="973"/>
      <c r="D1" s="974"/>
      <c r="E1" s="974"/>
    </row>
    <row r="2" spans="2:5" ht="12.75" customHeight="1">
      <c r="B2" s="973"/>
      <c r="C2" s="973"/>
      <c r="D2" s="974"/>
      <c r="E2" s="974"/>
    </row>
    <row r="3" spans="2:5">
      <c r="B3" s="975" t="s">
        <v>45</v>
      </c>
      <c r="C3" s="975"/>
    </row>
    <row r="4" spans="2:5" ht="51" customHeight="1">
      <c r="B4" s="724" t="s">
        <v>663</v>
      </c>
      <c r="C4" s="840" t="s">
        <v>27</v>
      </c>
      <c r="D4" s="976" t="s">
        <v>672</v>
      </c>
      <c r="E4" s="977"/>
    </row>
    <row r="5" spans="2:5" ht="80.099999999999994" customHeight="1">
      <c r="B5" s="80" t="s">
        <v>25</v>
      </c>
      <c r="C5" s="110" t="s">
        <v>831</v>
      </c>
      <c r="D5" s="110" t="s">
        <v>832</v>
      </c>
      <c r="E5" s="717" t="s">
        <v>833</v>
      </c>
    </row>
    <row r="6" spans="2:5">
      <c r="B6" s="725" t="s">
        <v>57</v>
      </c>
      <c r="C6" s="726">
        <v>111</v>
      </c>
      <c r="D6" s="726">
        <v>66</v>
      </c>
      <c r="E6" s="727">
        <f t="shared" ref="E6:E27" si="0">IF(ISERR(D6/$C6*100),"..",D6/$C6*100)</f>
        <v>59.45945945945946</v>
      </c>
    </row>
    <row r="7" spans="2:5">
      <c r="B7" s="725" t="s">
        <v>61</v>
      </c>
      <c r="C7" s="726">
        <v>215</v>
      </c>
      <c r="D7" s="726">
        <v>103</v>
      </c>
      <c r="E7" s="727">
        <f t="shared" si="0"/>
        <v>47.906976744186046</v>
      </c>
    </row>
    <row r="8" spans="2:5">
      <c r="B8" s="725" t="s">
        <v>63</v>
      </c>
      <c r="C8" s="726">
        <v>153</v>
      </c>
      <c r="D8" s="726">
        <v>103</v>
      </c>
      <c r="E8" s="727">
        <f t="shared" si="0"/>
        <v>67.320261437908499</v>
      </c>
    </row>
    <row r="9" spans="2:5">
      <c r="B9" s="725" t="s">
        <v>66</v>
      </c>
      <c r="C9" s="726">
        <v>171</v>
      </c>
      <c r="D9" s="726">
        <v>137</v>
      </c>
      <c r="E9" s="727">
        <f t="shared" si="0"/>
        <v>80.116959064327489</v>
      </c>
    </row>
    <row r="10" spans="2:5">
      <c r="B10" s="725" t="s">
        <v>678</v>
      </c>
      <c r="C10" s="726">
        <v>175</v>
      </c>
      <c r="D10" s="726">
        <v>135</v>
      </c>
      <c r="E10" s="727">
        <f t="shared" si="0"/>
        <v>77.142857142857153</v>
      </c>
    </row>
    <row r="11" spans="2:5">
      <c r="B11" s="725" t="s">
        <v>71</v>
      </c>
      <c r="C11" s="726">
        <v>240</v>
      </c>
      <c r="D11" s="726">
        <v>182</v>
      </c>
      <c r="E11" s="727">
        <f t="shared" si="0"/>
        <v>75.833333333333329</v>
      </c>
    </row>
    <row r="12" spans="2:5">
      <c r="B12" s="725" t="s">
        <v>191</v>
      </c>
      <c r="C12" s="726">
        <v>240</v>
      </c>
      <c r="D12" s="726">
        <v>186</v>
      </c>
      <c r="E12" s="727">
        <f t="shared" si="0"/>
        <v>77.5</v>
      </c>
    </row>
    <row r="13" spans="2:5">
      <c r="B13" s="725" t="s">
        <v>75</v>
      </c>
      <c r="C13" s="726">
        <v>566</v>
      </c>
      <c r="D13" s="726">
        <v>433</v>
      </c>
      <c r="E13" s="727">
        <f t="shared" si="0"/>
        <v>76.5017667844523</v>
      </c>
    </row>
    <row r="14" spans="2:5">
      <c r="B14" s="725" t="s">
        <v>78</v>
      </c>
      <c r="C14" s="726">
        <v>47</v>
      </c>
      <c r="D14" s="726">
        <v>26</v>
      </c>
      <c r="E14" s="727">
        <f t="shared" si="0"/>
        <v>55.319148936170215</v>
      </c>
    </row>
    <row r="15" spans="2:5">
      <c r="B15" s="725" t="s">
        <v>96</v>
      </c>
      <c r="C15" s="726">
        <v>46</v>
      </c>
      <c r="D15" s="726">
        <v>24</v>
      </c>
      <c r="E15" s="727">
        <f t="shared" si="0"/>
        <v>52.173913043478258</v>
      </c>
    </row>
    <row r="16" spans="2:5">
      <c r="B16" s="725" t="s">
        <v>99</v>
      </c>
      <c r="C16" s="726">
        <v>264</v>
      </c>
      <c r="D16" s="726">
        <v>221</v>
      </c>
      <c r="E16" s="727">
        <f t="shared" si="0"/>
        <v>83.712121212121218</v>
      </c>
    </row>
    <row r="17" spans="2:6">
      <c r="B17" s="725" t="s">
        <v>102</v>
      </c>
      <c r="C17" s="726">
        <v>226</v>
      </c>
      <c r="D17" s="726">
        <v>172</v>
      </c>
      <c r="E17" s="727">
        <f t="shared" si="0"/>
        <v>76.106194690265482</v>
      </c>
    </row>
    <row r="18" spans="2:6">
      <c r="B18" s="725" t="s">
        <v>105</v>
      </c>
      <c r="C18" s="726">
        <v>122</v>
      </c>
      <c r="D18" s="726">
        <v>92</v>
      </c>
      <c r="E18" s="727">
        <f t="shared" si="0"/>
        <v>75.409836065573771</v>
      </c>
    </row>
    <row r="19" spans="2:6">
      <c r="B19" s="725" t="s">
        <v>106</v>
      </c>
      <c r="C19" s="726">
        <v>175</v>
      </c>
      <c r="D19" s="726">
        <v>114</v>
      </c>
      <c r="E19" s="727">
        <f t="shared" si="0"/>
        <v>65.142857142857153</v>
      </c>
    </row>
    <row r="20" spans="2:6">
      <c r="B20" s="725" t="s">
        <v>192</v>
      </c>
      <c r="C20" s="726">
        <v>117</v>
      </c>
      <c r="D20" s="726">
        <v>90</v>
      </c>
      <c r="E20" s="727">
        <f t="shared" si="0"/>
        <v>76.923076923076934</v>
      </c>
    </row>
    <row r="21" spans="2:6">
      <c r="B21" s="725" t="s">
        <v>113</v>
      </c>
      <c r="C21" s="726">
        <v>86</v>
      </c>
      <c r="D21" s="726">
        <v>62</v>
      </c>
      <c r="E21" s="727">
        <f t="shared" si="0"/>
        <v>72.093023255813947</v>
      </c>
    </row>
    <row r="22" spans="2:6">
      <c r="B22" s="725" t="s">
        <v>116</v>
      </c>
      <c r="C22" s="726">
        <v>453</v>
      </c>
      <c r="D22" s="726">
        <v>342</v>
      </c>
      <c r="E22" s="727">
        <f t="shared" si="0"/>
        <v>75.496688741721854</v>
      </c>
    </row>
    <row r="23" spans="2:6">
      <c r="B23" s="725" t="s">
        <v>119</v>
      </c>
      <c r="C23" s="726">
        <v>27</v>
      </c>
      <c r="D23" s="726">
        <v>21</v>
      </c>
      <c r="E23" s="727">
        <f t="shared" si="0"/>
        <v>77.777777777777786</v>
      </c>
    </row>
    <row r="24" spans="2:6">
      <c r="B24" s="725" t="s">
        <v>125</v>
      </c>
      <c r="C24" s="726">
        <v>189</v>
      </c>
      <c r="D24" s="726">
        <v>165</v>
      </c>
      <c r="E24" s="727">
        <f t="shared" si="0"/>
        <v>87.301587301587304</v>
      </c>
    </row>
    <row r="25" spans="2:6">
      <c r="B25" s="725" t="s">
        <v>128</v>
      </c>
      <c r="C25" s="726">
        <v>138</v>
      </c>
      <c r="D25" s="726">
        <v>96</v>
      </c>
      <c r="E25" s="727">
        <f t="shared" si="0"/>
        <v>69.565217391304344</v>
      </c>
    </row>
    <row r="26" spans="2:6">
      <c r="B26" s="725" t="s">
        <v>133</v>
      </c>
      <c r="C26" s="400">
        <v>7</v>
      </c>
      <c r="D26" s="400">
        <v>6</v>
      </c>
      <c r="E26" s="852">
        <f t="shared" si="0"/>
        <v>85.714285714285708</v>
      </c>
    </row>
    <row r="27" spans="2:6" s="23" customFormat="1">
      <c r="B27" s="721" t="s">
        <v>134</v>
      </c>
      <c r="C27" s="722">
        <f>SUM(C6:C26)</f>
        <v>3768</v>
      </c>
      <c r="D27" s="722">
        <f>SUM(D6:D26)</f>
        <v>2776</v>
      </c>
      <c r="E27" s="723">
        <f t="shared" si="0"/>
        <v>73.673036093418247</v>
      </c>
      <c r="F27" s="208"/>
    </row>
    <row r="29" spans="2:6" s="838" customFormat="1">
      <c r="B29" s="115" t="s">
        <v>836</v>
      </c>
      <c r="C29" s="29"/>
      <c r="D29" s="29"/>
      <c r="E29" s="29"/>
      <c r="F29" s="29"/>
    </row>
    <row r="30" spans="2:6" s="838" customFormat="1" ht="12.75" customHeight="1">
      <c r="B30" s="943" t="s">
        <v>680</v>
      </c>
      <c r="C30" s="943"/>
      <c r="D30" s="943"/>
      <c r="E30" s="943"/>
    </row>
    <row r="31" spans="2:6" s="838" customFormat="1">
      <c r="B31" s="943"/>
      <c r="C31" s="943"/>
      <c r="D31" s="943"/>
      <c r="E31" s="943"/>
    </row>
    <row r="32" spans="2:6" s="838" customFormat="1">
      <c r="B32" s="943"/>
      <c r="C32" s="943"/>
      <c r="D32" s="943"/>
      <c r="E32" s="943"/>
    </row>
    <row r="33" spans="2:5" s="838" customFormat="1">
      <c r="B33" s="943"/>
      <c r="C33" s="943"/>
      <c r="D33" s="943"/>
      <c r="E33" s="943"/>
    </row>
    <row r="34" spans="2:5">
      <c r="B34" s="943"/>
      <c r="C34" s="943"/>
      <c r="D34" s="943"/>
      <c r="E34" s="943"/>
    </row>
  </sheetData>
  <sheetProtection password="B8D9" sheet="1" objects="1" scenarios="1"/>
  <mergeCells count="4">
    <mergeCell ref="B1:E2"/>
    <mergeCell ref="B3:C3"/>
    <mergeCell ref="D4:E4"/>
    <mergeCell ref="B30:E34"/>
  </mergeCells>
  <hyperlinks>
    <hyperlink ref="B3" location="'List of Tables &amp; Charts'!A1" display="return to List of Tables &amp; Charts"/>
  </hyperlinks>
  <pageMargins left="0.70866141732283472" right="0.70866141732283472" top="0.74803149606299213" bottom="0.74803149606299213" header="0.31496062992125984" footer="0.31496062992125984"/>
  <pageSetup paperSize="9" scale="93"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12.xml><?xml version="1.0" encoding="utf-8"?>
<worksheet xmlns="http://schemas.openxmlformats.org/spreadsheetml/2006/main" xmlns:r="http://schemas.openxmlformats.org/officeDocument/2006/relationships">
  <sheetPr codeName="Sheet19">
    <pageSetUpPr fitToPage="1"/>
  </sheetPr>
  <dimension ref="A1:H42"/>
  <sheetViews>
    <sheetView zoomScaleNormal="100" workbookViewId="0"/>
  </sheetViews>
  <sheetFormatPr defaultRowHeight="12.75"/>
  <cols>
    <col min="1" max="1" width="1.7109375" style="704" customWidth="1"/>
    <col min="2" max="2" width="45.7109375" style="704" customWidth="1"/>
    <col min="3" max="8" width="15.7109375" style="704" customWidth="1"/>
    <col min="9" max="16384" width="9.140625" style="704"/>
  </cols>
  <sheetData>
    <row r="1" spans="1:8">
      <c r="B1" s="969" t="s">
        <v>840</v>
      </c>
      <c r="C1" s="969"/>
      <c r="D1" s="969"/>
      <c r="E1" s="969"/>
      <c r="F1" s="969"/>
      <c r="G1" s="969"/>
      <c r="H1" s="969"/>
    </row>
    <row r="2" spans="1:8">
      <c r="B2" s="969"/>
      <c r="C2" s="969"/>
      <c r="D2" s="969"/>
      <c r="E2" s="969"/>
      <c r="F2" s="969"/>
      <c r="G2" s="969"/>
      <c r="H2" s="969"/>
    </row>
    <row r="3" spans="1:8">
      <c r="B3" s="975" t="s">
        <v>45</v>
      </c>
      <c r="C3" s="975"/>
    </row>
    <row r="4" spans="1:8" ht="51" customHeight="1">
      <c r="B4" s="715" t="s">
        <v>663</v>
      </c>
      <c r="C4" s="976" t="s">
        <v>664</v>
      </c>
      <c r="D4" s="978"/>
      <c r="E4" s="978"/>
      <c r="F4" s="976" t="s">
        <v>665</v>
      </c>
      <c r="G4" s="978"/>
      <c r="H4" s="977"/>
    </row>
    <row r="5" spans="1:8" ht="24.95" customHeight="1">
      <c r="B5" s="716"/>
      <c r="C5" s="979" t="s">
        <v>666</v>
      </c>
      <c r="D5" s="980"/>
      <c r="E5" s="981"/>
      <c r="F5" s="979" t="s">
        <v>667</v>
      </c>
      <c r="G5" s="980"/>
      <c r="H5" s="982"/>
    </row>
    <row r="6" spans="1:8" ht="76.5">
      <c r="B6" s="80" t="s">
        <v>25</v>
      </c>
      <c r="C6" s="110" t="s">
        <v>273</v>
      </c>
      <c r="D6" s="110" t="s">
        <v>668</v>
      </c>
      <c r="E6" s="110" t="s">
        <v>669</v>
      </c>
      <c r="F6" s="110" t="s">
        <v>273</v>
      </c>
      <c r="G6" s="110" t="s">
        <v>670</v>
      </c>
      <c r="H6" s="717" t="s">
        <v>671</v>
      </c>
    </row>
    <row r="7" spans="1:8">
      <c r="A7" s="356"/>
      <c r="B7" s="60" t="s">
        <v>57</v>
      </c>
      <c r="C7" s="718">
        <v>14</v>
      </c>
      <c r="D7" s="718">
        <v>3</v>
      </c>
      <c r="E7" s="719">
        <f t="shared" ref="E7:E36" si="0">IF(C7&gt;0,SUM(D7/C7*100),"")</f>
        <v>21.428571428571427</v>
      </c>
      <c r="F7" s="718">
        <v>11</v>
      </c>
      <c r="G7" s="718">
        <v>3</v>
      </c>
      <c r="H7" s="719">
        <f t="shared" ref="H7:H36" si="1">IF(F7&gt;0,SUM(G7/F7*100),"")</f>
        <v>27.27272727272727</v>
      </c>
    </row>
    <row r="8" spans="1:8">
      <c r="A8" s="356"/>
      <c r="B8" s="60" t="s">
        <v>59</v>
      </c>
      <c r="C8" s="718">
        <v>190</v>
      </c>
      <c r="D8" s="718">
        <v>55</v>
      </c>
      <c r="E8" s="719">
        <f t="shared" si="0"/>
        <v>28.947368421052634</v>
      </c>
      <c r="F8" s="718">
        <v>158</v>
      </c>
      <c r="G8" s="718">
        <v>68</v>
      </c>
      <c r="H8" s="719">
        <f t="shared" si="1"/>
        <v>43.037974683544306</v>
      </c>
    </row>
    <row r="9" spans="1:8">
      <c r="A9" s="356"/>
      <c r="B9" s="60" t="s">
        <v>62</v>
      </c>
      <c r="C9" s="718">
        <v>76</v>
      </c>
      <c r="D9" s="718">
        <v>23</v>
      </c>
      <c r="E9" s="719">
        <f t="shared" si="0"/>
        <v>30.263157894736842</v>
      </c>
      <c r="F9" s="718">
        <v>61</v>
      </c>
      <c r="G9" s="718">
        <v>33</v>
      </c>
      <c r="H9" s="719">
        <f t="shared" si="1"/>
        <v>54.098360655737707</v>
      </c>
    </row>
    <row r="10" spans="1:8">
      <c r="A10" s="356"/>
      <c r="B10" s="60" t="s">
        <v>64</v>
      </c>
      <c r="C10" s="718">
        <v>61</v>
      </c>
      <c r="D10" s="718">
        <v>22</v>
      </c>
      <c r="E10" s="719">
        <f t="shared" si="0"/>
        <v>36.065573770491802</v>
      </c>
      <c r="F10" s="718">
        <v>53</v>
      </c>
      <c r="G10" s="718">
        <v>45</v>
      </c>
      <c r="H10" s="719">
        <f t="shared" si="1"/>
        <v>84.905660377358487</v>
      </c>
    </row>
    <row r="11" spans="1:8">
      <c r="A11" s="356"/>
      <c r="B11" s="60" t="s">
        <v>67</v>
      </c>
      <c r="C11" s="718">
        <v>10</v>
      </c>
      <c r="D11" s="718">
        <v>4</v>
      </c>
      <c r="E11" s="719">
        <f t="shared" si="0"/>
        <v>40</v>
      </c>
      <c r="F11" s="718">
        <v>10</v>
      </c>
      <c r="G11" s="718">
        <v>4</v>
      </c>
      <c r="H11" s="719">
        <f t="shared" si="1"/>
        <v>40</v>
      </c>
    </row>
    <row r="12" spans="1:8">
      <c r="A12" s="356"/>
      <c r="B12" s="60" t="s">
        <v>281</v>
      </c>
      <c r="C12" s="718">
        <v>170</v>
      </c>
      <c r="D12" s="718">
        <v>52</v>
      </c>
      <c r="E12" s="719">
        <f t="shared" si="0"/>
        <v>30.588235294117649</v>
      </c>
      <c r="F12" s="718">
        <v>146</v>
      </c>
      <c r="G12" s="718">
        <v>105</v>
      </c>
      <c r="H12" s="719">
        <f t="shared" si="1"/>
        <v>71.917808219178085</v>
      </c>
    </row>
    <row r="13" spans="1:8">
      <c r="A13" s="356"/>
      <c r="B13" s="60" t="s">
        <v>191</v>
      </c>
      <c r="C13" s="718">
        <v>133</v>
      </c>
      <c r="D13" s="718">
        <v>30</v>
      </c>
      <c r="E13" s="719">
        <f t="shared" si="0"/>
        <v>22.556390977443609</v>
      </c>
      <c r="F13" s="718">
        <v>106</v>
      </c>
      <c r="G13" s="718">
        <v>59</v>
      </c>
      <c r="H13" s="719">
        <f t="shared" si="1"/>
        <v>55.660377358490564</v>
      </c>
    </row>
    <row r="14" spans="1:8">
      <c r="A14" s="356"/>
      <c r="B14" s="60" t="s">
        <v>74</v>
      </c>
      <c r="C14" s="718">
        <v>186</v>
      </c>
      <c r="D14" s="718">
        <v>60</v>
      </c>
      <c r="E14" s="719">
        <f t="shared" si="0"/>
        <v>32.258064516129032</v>
      </c>
      <c r="F14" s="718">
        <v>151</v>
      </c>
      <c r="G14" s="718">
        <v>121</v>
      </c>
      <c r="H14" s="719">
        <f t="shared" si="1"/>
        <v>80.132450331125824</v>
      </c>
    </row>
    <row r="15" spans="1:8">
      <c r="A15" s="356"/>
      <c r="B15" s="60" t="s">
        <v>76</v>
      </c>
      <c r="C15" s="718">
        <v>44</v>
      </c>
      <c r="D15" s="718">
        <v>17</v>
      </c>
      <c r="E15" s="719">
        <f t="shared" si="0"/>
        <v>38.636363636363633</v>
      </c>
      <c r="F15" s="718">
        <v>38</v>
      </c>
      <c r="G15" s="718">
        <v>25</v>
      </c>
      <c r="H15" s="719">
        <f t="shared" si="1"/>
        <v>65.789473684210535</v>
      </c>
    </row>
    <row r="16" spans="1:8">
      <c r="A16" s="356"/>
      <c r="B16" s="60" t="s">
        <v>79</v>
      </c>
      <c r="C16" s="718">
        <v>179</v>
      </c>
      <c r="D16" s="718">
        <v>50</v>
      </c>
      <c r="E16" s="719">
        <f t="shared" si="0"/>
        <v>27.932960893854748</v>
      </c>
      <c r="F16" s="718">
        <v>152</v>
      </c>
      <c r="G16" s="718">
        <v>106</v>
      </c>
      <c r="H16" s="719">
        <f t="shared" si="1"/>
        <v>69.73684210526315</v>
      </c>
    </row>
    <row r="17" spans="1:8">
      <c r="A17" s="356"/>
      <c r="B17" s="60" t="s">
        <v>81</v>
      </c>
      <c r="C17" s="718">
        <v>51</v>
      </c>
      <c r="D17" s="718">
        <v>19</v>
      </c>
      <c r="E17" s="719">
        <f t="shared" si="0"/>
        <v>37.254901960784316</v>
      </c>
      <c r="F17" s="718">
        <v>42</v>
      </c>
      <c r="G17" s="718">
        <v>16</v>
      </c>
      <c r="H17" s="719">
        <f t="shared" si="1"/>
        <v>38.095238095238095</v>
      </c>
    </row>
    <row r="18" spans="1:8">
      <c r="A18" s="356"/>
      <c r="B18" s="60" t="s">
        <v>467</v>
      </c>
      <c r="C18" s="718">
        <v>294</v>
      </c>
      <c r="D18" s="718">
        <v>74</v>
      </c>
      <c r="E18" s="719">
        <f t="shared" si="0"/>
        <v>25.170068027210885</v>
      </c>
      <c r="F18" s="718">
        <v>246</v>
      </c>
      <c r="G18" s="718">
        <v>193</v>
      </c>
      <c r="H18" s="719">
        <f t="shared" si="1"/>
        <v>78.455284552845526</v>
      </c>
    </row>
    <row r="19" spans="1:8">
      <c r="A19" s="356"/>
      <c r="B19" s="60" t="s">
        <v>84</v>
      </c>
      <c r="C19" s="718">
        <v>104</v>
      </c>
      <c r="D19" s="718">
        <v>34</v>
      </c>
      <c r="E19" s="719">
        <f t="shared" si="0"/>
        <v>32.692307692307693</v>
      </c>
      <c r="F19" s="718">
        <v>86</v>
      </c>
      <c r="G19" s="718">
        <v>46</v>
      </c>
      <c r="H19" s="719">
        <f t="shared" si="1"/>
        <v>53.488372093023251</v>
      </c>
    </row>
    <row r="20" spans="1:8">
      <c r="A20" s="356"/>
      <c r="B20" s="60" t="s">
        <v>88</v>
      </c>
      <c r="C20" s="718">
        <v>3</v>
      </c>
      <c r="D20" s="718">
        <v>0</v>
      </c>
      <c r="E20" s="719">
        <f t="shared" si="0"/>
        <v>0</v>
      </c>
      <c r="F20" s="718">
        <v>3</v>
      </c>
      <c r="G20" s="718">
        <v>2</v>
      </c>
      <c r="H20" s="719">
        <f t="shared" si="1"/>
        <v>66.666666666666657</v>
      </c>
    </row>
    <row r="21" spans="1:8">
      <c r="A21" s="356"/>
      <c r="B21" s="60" t="s">
        <v>91</v>
      </c>
      <c r="C21" s="718">
        <v>12</v>
      </c>
      <c r="D21" s="718">
        <v>1</v>
      </c>
      <c r="E21" s="719">
        <f t="shared" si="0"/>
        <v>8.3333333333333321</v>
      </c>
      <c r="F21" s="718">
        <v>12</v>
      </c>
      <c r="G21" s="718">
        <v>9</v>
      </c>
      <c r="H21" s="719">
        <f t="shared" si="1"/>
        <v>75</v>
      </c>
    </row>
    <row r="22" spans="1:8">
      <c r="A22" s="356"/>
      <c r="B22" s="60" t="s">
        <v>94</v>
      </c>
      <c r="C22" s="718">
        <v>25</v>
      </c>
      <c r="D22" s="718">
        <v>10</v>
      </c>
      <c r="E22" s="719">
        <f t="shared" si="0"/>
        <v>40</v>
      </c>
      <c r="F22" s="718">
        <v>19</v>
      </c>
      <c r="G22" s="718">
        <v>17</v>
      </c>
      <c r="H22" s="719">
        <f t="shared" si="1"/>
        <v>89.473684210526315</v>
      </c>
    </row>
    <row r="23" spans="1:8">
      <c r="A23" s="356"/>
      <c r="B23" s="60" t="s">
        <v>97</v>
      </c>
      <c r="C23" s="720">
        <v>61</v>
      </c>
      <c r="D23" s="720">
        <v>25</v>
      </c>
      <c r="E23" s="719">
        <f t="shared" si="0"/>
        <v>40.983606557377051</v>
      </c>
      <c r="F23" s="720">
        <v>45</v>
      </c>
      <c r="G23" s="720">
        <v>38</v>
      </c>
      <c r="H23" s="719">
        <f t="shared" si="1"/>
        <v>84.444444444444443</v>
      </c>
    </row>
    <row r="24" spans="1:8">
      <c r="A24" s="356"/>
      <c r="B24" s="60" t="s">
        <v>100</v>
      </c>
      <c r="C24" s="720">
        <v>69</v>
      </c>
      <c r="D24" s="720">
        <v>19</v>
      </c>
      <c r="E24" s="719">
        <f t="shared" si="0"/>
        <v>27.536231884057973</v>
      </c>
      <c r="F24" s="720">
        <v>57</v>
      </c>
      <c r="G24" s="720">
        <v>36</v>
      </c>
      <c r="H24" s="719">
        <f t="shared" si="1"/>
        <v>63.157894736842103</v>
      </c>
    </row>
    <row r="25" spans="1:8">
      <c r="A25" s="356"/>
      <c r="B25" s="60" t="s">
        <v>103</v>
      </c>
      <c r="C25" s="718">
        <v>68</v>
      </c>
      <c r="D25" s="718">
        <v>17</v>
      </c>
      <c r="E25" s="719">
        <f t="shared" si="0"/>
        <v>25</v>
      </c>
      <c r="F25" s="718">
        <v>46</v>
      </c>
      <c r="G25" s="718">
        <v>31</v>
      </c>
      <c r="H25" s="719">
        <f t="shared" si="1"/>
        <v>67.391304347826093</v>
      </c>
    </row>
    <row r="26" spans="1:8">
      <c r="A26" s="356"/>
      <c r="B26" s="60" t="s">
        <v>106</v>
      </c>
      <c r="C26" s="718">
        <v>45</v>
      </c>
      <c r="D26" s="718">
        <v>9</v>
      </c>
      <c r="E26" s="719">
        <f t="shared" si="0"/>
        <v>20</v>
      </c>
      <c r="F26" s="718">
        <v>36</v>
      </c>
      <c r="G26" s="718">
        <v>18</v>
      </c>
      <c r="H26" s="719">
        <f t="shared" si="1"/>
        <v>50</v>
      </c>
    </row>
    <row r="27" spans="1:8">
      <c r="A27" s="356"/>
      <c r="B27" s="60" t="s">
        <v>192</v>
      </c>
      <c r="C27" s="718">
        <v>283</v>
      </c>
      <c r="D27" s="718">
        <v>73</v>
      </c>
      <c r="E27" s="719">
        <f t="shared" si="0"/>
        <v>25.795053003533567</v>
      </c>
      <c r="F27" s="718">
        <v>233</v>
      </c>
      <c r="G27" s="718">
        <v>166</v>
      </c>
      <c r="H27" s="719">
        <f t="shared" si="1"/>
        <v>71.24463519313305</v>
      </c>
    </row>
    <row r="28" spans="1:8">
      <c r="A28" s="356"/>
      <c r="B28" s="60" t="s">
        <v>111</v>
      </c>
      <c r="C28" s="718">
        <v>32</v>
      </c>
      <c r="D28" s="718">
        <v>15</v>
      </c>
      <c r="E28" s="719">
        <f t="shared" si="0"/>
        <v>46.875</v>
      </c>
      <c r="F28" s="718">
        <v>24</v>
      </c>
      <c r="G28" s="718">
        <v>19</v>
      </c>
      <c r="H28" s="719">
        <f t="shared" si="1"/>
        <v>79.166666666666657</v>
      </c>
    </row>
    <row r="29" spans="1:8">
      <c r="A29" s="356"/>
      <c r="B29" s="60" t="s">
        <v>114</v>
      </c>
      <c r="C29" s="718">
        <v>47</v>
      </c>
      <c r="D29" s="718">
        <v>14</v>
      </c>
      <c r="E29" s="719">
        <f t="shared" si="0"/>
        <v>29.787234042553191</v>
      </c>
      <c r="F29" s="718">
        <v>36</v>
      </c>
      <c r="G29" s="718">
        <v>24</v>
      </c>
      <c r="H29" s="719">
        <f t="shared" si="1"/>
        <v>66.666666666666657</v>
      </c>
    </row>
    <row r="30" spans="1:8">
      <c r="A30" s="356"/>
      <c r="B30" s="60" t="s">
        <v>117</v>
      </c>
      <c r="C30" s="718">
        <v>4</v>
      </c>
      <c r="D30" s="718">
        <v>2</v>
      </c>
      <c r="E30" s="719">
        <f t="shared" si="0"/>
        <v>50</v>
      </c>
      <c r="F30" s="718">
        <v>2</v>
      </c>
      <c r="G30" s="718">
        <v>1</v>
      </c>
      <c r="H30" s="719">
        <f t="shared" si="1"/>
        <v>50</v>
      </c>
    </row>
    <row r="31" spans="1:8">
      <c r="A31" s="356"/>
      <c r="B31" s="60" t="s">
        <v>120</v>
      </c>
      <c r="C31" s="718">
        <v>9</v>
      </c>
      <c r="D31" s="718">
        <v>1</v>
      </c>
      <c r="E31" s="719">
        <f t="shared" si="0"/>
        <v>11.111111111111111</v>
      </c>
      <c r="F31" s="718">
        <v>5</v>
      </c>
      <c r="G31" s="718">
        <v>3</v>
      </c>
      <c r="H31" s="719">
        <f t="shared" si="1"/>
        <v>60</v>
      </c>
    </row>
    <row r="32" spans="1:8">
      <c r="A32" s="356"/>
      <c r="B32" s="60" t="s">
        <v>123</v>
      </c>
      <c r="C32" s="718">
        <v>94</v>
      </c>
      <c r="D32" s="718">
        <v>38</v>
      </c>
      <c r="E32" s="719">
        <f t="shared" si="0"/>
        <v>40.425531914893611</v>
      </c>
      <c r="F32" s="718">
        <v>81</v>
      </c>
      <c r="G32" s="718">
        <v>71</v>
      </c>
      <c r="H32" s="719">
        <f t="shared" si="1"/>
        <v>87.654320987654316</v>
      </c>
    </row>
    <row r="33" spans="1:8">
      <c r="A33" s="356"/>
      <c r="B33" s="60" t="s">
        <v>126</v>
      </c>
      <c r="C33" s="718">
        <v>43</v>
      </c>
      <c r="D33" s="718">
        <v>20</v>
      </c>
      <c r="E33" s="719">
        <f t="shared" si="0"/>
        <v>46.511627906976742</v>
      </c>
      <c r="F33" s="718">
        <v>36</v>
      </c>
      <c r="G33" s="718">
        <v>31</v>
      </c>
      <c r="H33" s="719">
        <f t="shared" si="1"/>
        <v>86.111111111111114</v>
      </c>
    </row>
    <row r="34" spans="1:8">
      <c r="A34" s="356"/>
      <c r="B34" s="60" t="s">
        <v>129</v>
      </c>
      <c r="C34" s="718">
        <v>0</v>
      </c>
      <c r="D34" s="718">
        <v>0</v>
      </c>
      <c r="E34" s="719" t="str">
        <f t="shared" si="0"/>
        <v/>
      </c>
      <c r="F34" s="718">
        <v>0</v>
      </c>
      <c r="G34" s="718">
        <v>0</v>
      </c>
      <c r="H34" s="719" t="str">
        <f t="shared" si="1"/>
        <v/>
      </c>
    </row>
    <row r="35" spans="1:8">
      <c r="A35" s="356"/>
      <c r="B35" s="60" t="s">
        <v>132</v>
      </c>
      <c r="C35" s="718">
        <v>8</v>
      </c>
      <c r="D35" s="718">
        <v>2</v>
      </c>
      <c r="E35" s="719">
        <f t="shared" si="0"/>
        <v>25</v>
      </c>
      <c r="F35" s="718">
        <v>7</v>
      </c>
      <c r="G35" s="718">
        <v>6</v>
      </c>
      <c r="H35" s="719">
        <f t="shared" si="1"/>
        <v>85.714285714285708</v>
      </c>
    </row>
    <row r="36" spans="1:8" s="23" customFormat="1">
      <c r="B36" s="721" t="s">
        <v>134</v>
      </c>
      <c r="C36" s="722">
        <f>SUM(C7:C35)</f>
        <v>2315</v>
      </c>
      <c r="D36" s="722">
        <f>SUM(D7:D35)</f>
        <v>689</v>
      </c>
      <c r="E36" s="723">
        <f t="shared" si="0"/>
        <v>29.76241900647948</v>
      </c>
      <c r="F36" s="722">
        <f>SUM(F7:F35)</f>
        <v>1902</v>
      </c>
      <c r="G36" s="722">
        <f>SUM(G7:G35)</f>
        <v>1296</v>
      </c>
      <c r="H36" s="723">
        <f t="shared" si="1"/>
        <v>68.138801261829656</v>
      </c>
    </row>
    <row r="37" spans="1:8">
      <c r="B37" s="646"/>
      <c r="C37" s="646"/>
      <c r="D37" s="646"/>
      <c r="E37" s="646"/>
      <c r="F37" s="646"/>
      <c r="G37" s="646"/>
      <c r="H37" s="646"/>
    </row>
    <row r="38" spans="1:8">
      <c r="B38" s="115" t="s">
        <v>841</v>
      </c>
      <c r="C38" s="29"/>
      <c r="D38" s="29"/>
      <c r="E38" s="29"/>
      <c r="F38" s="29"/>
      <c r="G38" s="29"/>
      <c r="H38" s="29"/>
    </row>
    <row r="39" spans="1:8">
      <c r="B39" s="943" t="s">
        <v>842</v>
      </c>
      <c r="C39" s="943"/>
      <c r="D39" s="943"/>
      <c r="E39" s="943"/>
      <c r="F39" s="943"/>
      <c r="G39" s="943"/>
    </row>
    <row r="40" spans="1:8">
      <c r="B40" s="943"/>
      <c r="C40" s="943"/>
      <c r="D40" s="943"/>
      <c r="E40" s="943"/>
      <c r="F40" s="943"/>
      <c r="G40" s="943"/>
    </row>
    <row r="41" spans="1:8">
      <c r="B41" s="943"/>
      <c r="C41" s="943"/>
      <c r="D41" s="943"/>
      <c r="E41" s="943"/>
      <c r="F41" s="943"/>
      <c r="G41" s="943"/>
    </row>
    <row r="42" spans="1:8">
      <c r="B42" s="943"/>
      <c r="C42" s="943"/>
      <c r="D42" s="943"/>
      <c r="E42" s="943"/>
      <c r="F42" s="943"/>
      <c r="G42" s="943"/>
    </row>
  </sheetData>
  <sheetProtection password="B8D9" sheet="1" objects="1" scenarios="1"/>
  <mergeCells count="7">
    <mergeCell ref="B39:G42"/>
    <mergeCell ref="B1:H2"/>
    <mergeCell ref="B3:C3"/>
    <mergeCell ref="C4:E4"/>
    <mergeCell ref="F4:H4"/>
    <mergeCell ref="C5:E5"/>
    <mergeCell ref="F5:H5"/>
  </mergeCells>
  <hyperlinks>
    <hyperlink ref="B3" location="'List of Tables &amp; Charts'!A1" display="return to List of Tables &amp; Charts"/>
  </hyperlinks>
  <pageMargins left="0.70866141732283472" right="0.70866141732283472" top="0.74803149606299213" bottom="0.74803149606299213" header="0.31496062992125984" footer="0.31496062992125984"/>
  <pageSetup paperSize="9" scale="77"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13.xml><?xml version="1.0" encoding="utf-8"?>
<worksheet xmlns="http://schemas.openxmlformats.org/spreadsheetml/2006/main" xmlns:r="http://schemas.openxmlformats.org/officeDocument/2006/relationships">
  <sheetPr codeName="Sheet23">
    <pageSetUpPr fitToPage="1"/>
  </sheetPr>
  <dimension ref="B1:H34"/>
  <sheetViews>
    <sheetView workbookViewId="0"/>
  </sheetViews>
  <sheetFormatPr defaultRowHeight="12.75"/>
  <cols>
    <col min="1" max="1" width="1.7109375" style="208" customWidth="1"/>
    <col min="2" max="2" width="45.7109375" style="208" customWidth="1"/>
    <col min="3" max="3" width="18.85546875" style="208" customWidth="1"/>
    <col min="4" max="7" width="20.7109375" style="208" customWidth="1"/>
    <col min="8" max="16384" width="9.140625" style="208"/>
  </cols>
  <sheetData>
    <row r="1" spans="2:7">
      <c r="B1" s="973" t="s">
        <v>845</v>
      </c>
      <c r="C1" s="973"/>
      <c r="D1" s="973"/>
      <c r="E1" s="973"/>
      <c r="F1" s="974"/>
      <c r="G1" s="974"/>
    </row>
    <row r="2" spans="2:7">
      <c r="B2" s="973"/>
      <c r="C2" s="973"/>
      <c r="D2" s="973"/>
      <c r="E2" s="973"/>
      <c r="F2" s="974"/>
      <c r="G2" s="974"/>
    </row>
    <row r="3" spans="2:7">
      <c r="B3" s="975" t="s">
        <v>45</v>
      </c>
      <c r="C3" s="975"/>
    </row>
    <row r="4" spans="2:7" ht="51" customHeight="1">
      <c r="B4" s="724" t="s">
        <v>663</v>
      </c>
      <c r="C4" s="840" t="s">
        <v>27</v>
      </c>
      <c r="D4" s="983" t="s">
        <v>672</v>
      </c>
      <c r="E4" s="983"/>
      <c r="F4" s="976" t="s">
        <v>672</v>
      </c>
      <c r="G4" s="977"/>
    </row>
    <row r="5" spans="2:7" ht="89.25">
      <c r="B5" s="80" t="s">
        <v>25</v>
      </c>
      <c r="C5" s="110" t="s">
        <v>673</v>
      </c>
      <c r="D5" s="110" t="s">
        <v>674</v>
      </c>
      <c r="E5" s="110" t="s">
        <v>675</v>
      </c>
      <c r="F5" s="110" t="s">
        <v>676</v>
      </c>
      <c r="G5" s="717" t="s">
        <v>677</v>
      </c>
    </row>
    <row r="6" spans="2:7">
      <c r="B6" s="725" t="s">
        <v>57</v>
      </c>
      <c r="C6" s="726">
        <v>8</v>
      </c>
      <c r="D6" s="726">
        <v>2</v>
      </c>
      <c r="E6" s="727">
        <f>IF(ISERR(D6/$C6*100),"..",D6/$C6*100)</f>
        <v>25</v>
      </c>
      <c r="F6" s="726">
        <v>7</v>
      </c>
      <c r="G6" s="727">
        <f>IF(ISERR(F6/$C6*100),"..",F6/$C6*100)</f>
        <v>87.5</v>
      </c>
    </row>
    <row r="7" spans="2:7">
      <c r="B7" s="725" t="s">
        <v>61</v>
      </c>
      <c r="C7" s="726">
        <v>21</v>
      </c>
      <c r="D7" s="726">
        <v>10</v>
      </c>
      <c r="E7" s="727">
        <f t="shared" ref="E7:E28" si="0">IF(ISERR(D7/$C7*100),"..",D7/$C7*100)</f>
        <v>47.619047619047613</v>
      </c>
      <c r="F7" s="726">
        <v>18</v>
      </c>
      <c r="G7" s="727">
        <f t="shared" ref="G7:G28" si="1">IF(ISERR(F7/$C7*100),"..",F7/$C7*100)</f>
        <v>85.714285714285708</v>
      </c>
    </row>
    <row r="8" spans="2:7">
      <c r="B8" s="725" t="s">
        <v>63</v>
      </c>
      <c r="C8" s="726">
        <v>21</v>
      </c>
      <c r="D8" s="726">
        <v>11</v>
      </c>
      <c r="E8" s="727">
        <f t="shared" si="0"/>
        <v>52.380952380952387</v>
      </c>
      <c r="F8" s="726">
        <v>17</v>
      </c>
      <c r="G8" s="727">
        <f t="shared" si="1"/>
        <v>80.952380952380949</v>
      </c>
    </row>
    <row r="9" spans="2:7">
      <c r="B9" s="725" t="s">
        <v>66</v>
      </c>
      <c r="C9" s="726">
        <v>21</v>
      </c>
      <c r="D9" s="726">
        <v>10</v>
      </c>
      <c r="E9" s="727">
        <f t="shared" si="0"/>
        <v>47.619047619047613</v>
      </c>
      <c r="F9" s="726">
        <v>20</v>
      </c>
      <c r="G9" s="727">
        <f t="shared" si="1"/>
        <v>95.238095238095227</v>
      </c>
    </row>
    <row r="10" spans="2:7">
      <c r="B10" s="725" t="s">
        <v>678</v>
      </c>
      <c r="C10" s="726">
        <v>7</v>
      </c>
      <c r="D10" s="726">
        <v>2</v>
      </c>
      <c r="E10" s="727">
        <f t="shared" si="0"/>
        <v>28.571428571428569</v>
      </c>
      <c r="F10" s="726">
        <v>6</v>
      </c>
      <c r="G10" s="727">
        <f t="shared" si="1"/>
        <v>85.714285714285708</v>
      </c>
    </row>
    <row r="11" spans="2:7">
      <c r="B11" s="725" t="s">
        <v>71</v>
      </c>
      <c r="C11" s="726">
        <v>11</v>
      </c>
      <c r="D11" s="726">
        <v>5</v>
      </c>
      <c r="E11" s="727">
        <f t="shared" si="0"/>
        <v>45.454545454545453</v>
      </c>
      <c r="F11" s="726">
        <v>11</v>
      </c>
      <c r="G11" s="727">
        <f t="shared" si="1"/>
        <v>100</v>
      </c>
    </row>
    <row r="12" spans="2:7">
      <c r="B12" s="725" t="s">
        <v>191</v>
      </c>
      <c r="C12" s="726">
        <v>31</v>
      </c>
      <c r="D12" s="726">
        <v>14</v>
      </c>
      <c r="E12" s="727">
        <f t="shared" si="0"/>
        <v>45.161290322580641</v>
      </c>
      <c r="F12" s="726">
        <v>28</v>
      </c>
      <c r="G12" s="727">
        <f t="shared" si="1"/>
        <v>90.322580645161281</v>
      </c>
    </row>
    <row r="13" spans="2:7">
      <c r="B13" s="725" t="s">
        <v>75</v>
      </c>
      <c r="C13" s="726">
        <v>48</v>
      </c>
      <c r="D13" s="726">
        <v>25</v>
      </c>
      <c r="E13" s="727">
        <f t="shared" si="0"/>
        <v>52.083333333333336</v>
      </c>
      <c r="F13" s="726">
        <v>45</v>
      </c>
      <c r="G13" s="727">
        <f t="shared" si="1"/>
        <v>93.75</v>
      </c>
    </row>
    <row r="14" spans="2:7">
      <c r="B14" s="725" t="s">
        <v>78</v>
      </c>
      <c r="C14" s="726">
        <v>8</v>
      </c>
      <c r="D14" s="726">
        <v>5</v>
      </c>
      <c r="E14" s="727">
        <f t="shared" si="0"/>
        <v>62.5</v>
      </c>
      <c r="F14" s="726">
        <v>7</v>
      </c>
      <c r="G14" s="727">
        <f t="shared" si="1"/>
        <v>87.5</v>
      </c>
    </row>
    <row r="15" spans="2:7">
      <c r="B15" s="725" t="s">
        <v>96</v>
      </c>
      <c r="C15" s="726">
        <v>6</v>
      </c>
      <c r="D15" s="726">
        <v>4</v>
      </c>
      <c r="E15" s="727">
        <f t="shared" si="0"/>
        <v>66.666666666666657</v>
      </c>
      <c r="F15" s="726">
        <v>5</v>
      </c>
      <c r="G15" s="727">
        <f t="shared" si="1"/>
        <v>83.333333333333343</v>
      </c>
    </row>
    <row r="16" spans="2:7">
      <c r="B16" s="725" t="s">
        <v>99</v>
      </c>
      <c r="C16" s="726">
        <v>20</v>
      </c>
      <c r="D16" s="726">
        <v>12</v>
      </c>
      <c r="E16" s="727">
        <f t="shared" si="0"/>
        <v>60</v>
      </c>
      <c r="F16" s="726">
        <v>19</v>
      </c>
      <c r="G16" s="727">
        <f t="shared" si="1"/>
        <v>95</v>
      </c>
    </row>
    <row r="17" spans="2:8">
      <c r="B17" s="725" t="s">
        <v>100</v>
      </c>
      <c r="C17" s="726">
        <v>16</v>
      </c>
      <c r="D17" s="726">
        <v>9</v>
      </c>
      <c r="E17" s="727">
        <f t="shared" si="0"/>
        <v>56.25</v>
      </c>
      <c r="F17" s="726">
        <v>14</v>
      </c>
      <c r="G17" s="727">
        <f t="shared" si="1"/>
        <v>87.5</v>
      </c>
    </row>
    <row r="18" spans="2:8">
      <c r="B18" s="725" t="s">
        <v>105</v>
      </c>
      <c r="C18" s="726">
        <v>11</v>
      </c>
      <c r="D18" s="726">
        <v>8</v>
      </c>
      <c r="E18" s="727">
        <f t="shared" si="0"/>
        <v>72.727272727272734</v>
      </c>
      <c r="F18" s="726">
        <v>9</v>
      </c>
      <c r="G18" s="727">
        <f t="shared" si="1"/>
        <v>81.818181818181827</v>
      </c>
    </row>
    <row r="19" spans="2:8">
      <c r="B19" s="725" t="s">
        <v>106</v>
      </c>
      <c r="C19" s="726">
        <v>10</v>
      </c>
      <c r="D19" s="726">
        <v>4</v>
      </c>
      <c r="E19" s="727">
        <f t="shared" si="0"/>
        <v>40</v>
      </c>
      <c r="F19" s="726">
        <v>8</v>
      </c>
      <c r="G19" s="727">
        <f t="shared" si="1"/>
        <v>80</v>
      </c>
    </row>
    <row r="20" spans="2:8">
      <c r="B20" s="725" t="s">
        <v>192</v>
      </c>
      <c r="C20" s="726">
        <v>10</v>
      </c>
      <c r="D20" s="726">
        <v>6</v>
      </c>
      <c r="E20" s="727">
        <f t="shared" si="0"/>
        <v>60</v>
      </c>
      <c r="F20" s="726">
        <v>10</v>
      </c>
      <c r="G20" s="727">
        <f t="shared" si="1"/>
        <v>100</v>
      </c>
    </row>
    <row r="21" spans="2:8">
      <c r="B21" s="725" t="s">
        <v>113</v>
      </c>
      <c r="C21" s="726">
        <v>6</v>
      </c>
      <c r="D21" s="726">
        <v>1</v>
      </c>
      <c r="E21" s="727">
        <f t="shared" si="0"/>
        <v>16.666666666666664</v>
      </c>
      <c r="F21" s="726">
        <v>3</v>
      </c>
      <c r="G21" s="727">
        <f t="shared" si="1"/>
        <v>50</v>
      </c>
    </row>
    <row r="22" spans="2:8">
      <c r="B22" s="725" t="s">
        <v>116</v>
      </c>
      <c r="C22" s="726">
        <v>26</v>
      </c>
      <c r="D22" s="726">
        <v>12</v>
      </c>
      <c r="E22" s="727">
        <f t="shared" si="0"/>
        <v>46.153846153846153</v>
      </c>
      <c r="F22" s="726">
        <v>24</v>
      </c>
      <c r="G22" s="727">
        <f t="shared" si="1"/>
        <v>92.307692307692307</v>
      </c>
    </row>
    <row r="23" spans="2:8">
      <c r="B23" s="725" t="s">
        <v>119</v>
      </c>
      <c r="C23" s="726">
        <v>2</v>
      </c>
      <c r="D23" s="726">
        <v>1</v>
      </c>
      <c r="E23" s="727">
        <f t="shared" si="0"/>
        <v>50</v>
      </c>
      <c r="F23" s="726">
        <v>2</v>
      </c>
      <c r="G23" s="727">
        <f t="shared" si="1"/>
        <v>100</v>
      </c>
    </row>
    <row r="24" spans="2:8">
      <c r="B24" s="725" t="s">
        <v>125</v>
      </c>
      <c r="C24" s="726">
        <v>11</v>
      </c>
      <c r="D24" s="726">
        <v>3</v>
      </c>
      <c r="E24" s="727">
        <f t="shared" si="0"/>
        <v>27.27272727272727</v>
      </c>
      <c r="F24" s="726">
        <v>8</v>
      </c>
      <c r="G24" s="727">
        <f t="shared" si="1"/>
        <v>72.727272727272734</v>
      </c>
    </row>
    <row r="25" spans="2:8">
      <c r="B25" s="725" t="s">
        <v>128</v>
      </c>
      <c r="C25" s="726">
        <v>16</v>
      </c>
      <c r="D25" s="726">
        <v>12</v>
      </c>
      <c r="E25" s="727">
        <f t="shared" si="0"/>
        <v>75</v>
      </c>
      <c r="F25" s="726">
        <v>14</v>
      </c>
      <c r="G25" s="727">
        <f t="shared" si="1"/>
        <v>87.5</v>
      </c>
    </row>
    <row r="26" spans="2:8">
      <c r="B26" s="725" t="s">
        <v>679</v>
      </c>
      <c r="C26" s="726">
        <v>0</v>
      </c>
      <c r="D26" s="726">
        <v>0</v>
      </c>
      <c r="E26" s="727" t="str">
        <f t="shared" si="0"/>
        <v>..</v>
      </c>
      <c r="F26" s="726">
        <v>0</v>
      </c>
      <c r="G26" s="727" t="str">
        <f t="shared" si="1"/>
        <v>..</v>
      </c>
    </row>
    <row r="27" spans="2:8">
      <c r="B27" s="725" t="s">
        <v>133</v>
      </c>
      <c r="C27" s="400">
        <v>0</v>
      </c>
      <c r="D27" s="400">
        <v>0</v>
      </c>
      <c r="E27" s="728" t="str">
        <f t="shared" si="0"/>
        <v>..</v>
      </c>
      <c r="F27" s="400">
        <v>0</v>
      </c>
      <c r="G27" s="728" t="str">
        <f t="shared" si="1"/>
        <v>..</v>
      </c>
    </row>
    <row r="28" spans="2:8" s="23" customFormat="1">
      <c r="B28" s="721" t="s">
        <v>134</v>
      </c>
      <c r="C28" s="722">
        <f>SUM(C6:C27)</f>
        <v>310</v>
      </c>
      <c r="D28" s="722">
        <f>SUM(D6:D27)</f>
        <v>156</v>
      </c>
      <c r="E28" s="723">
        <f t="shared" si="0"/>
        <v>50.322580645161288</v>
      </c>
      <c r="F28" s="722">
        <f>SUM(F6:F27)</f>
        <v>275</v>
      </c>
      <c r="G28" s="723">
        <f t="shared" si="1"/>
        <v>88.709677419354833</v>
      </c>
    </row>
    <row r="30" spans="2:8" s="838" customFormat="1">
      <c r="B30" s="115" t="s">
        <v>844</v>
      </c>
      <c r="C30" s="29"/>
      <c r="D30" s="29"/>
      <c r="E30" s="29"/>
      <c r="F30" s="29"/>
      <c r="G30" s="29"/>
      <c r="H30" s="29"/>
    </row>
    <row r="31" spans="2:8" s="838" customFormat="1" ht="12.75" customHeight="1">
      <c r="B31" s="943" t="s">
        <v>680</v>
      </c>
      <c r="C31" s="943"/>
      <c r="D31" s="943"/>
      <c r="E31" s="943"/>
      <c r="F31" s="943"/>
      <c r="G31" s="29"/>
    </row>
    <row r="32" spans="2:8" s="838" customFormat="1">
      <c r="B32" s="943"/>
      <c r="C32" s="943"/>
      <c r="D32" s="943"/>
      <c r="E32" s="943"/>
      <c r="F32" s="943"/>
      <c r="G32" s="29"/>
    </row>
    <row r="33" spans="2:7" s="838" customFormat="1">
      <c r="B33" s="943"/>
      <c r="C33" s="943"/>
      <c r="D33" s="943"/>
      <c r="E33" s="943"/>
      <c r="F33" s="943"/>
      <c r="G33" s="29"/>
    </row>
    <row r="34" spans="2:7" s="838" customFormat="1">
      <c r="B34" s="943"/>
      <c r="C34" s="943"/>
      <c r="D34" s="943"/>
      <c r="E34" s="943"/>
      <c r="F34" s="943"/>
      <c r="G34" s="29"/>
    </row>
  </sheetData>
  <sheetProtection password="B8D9" sheet="1" objects="1" scenarios="1"/>
  <mergeCells count="5">
    <mergeCell ref="B1:G2"/>
    <mergeCell ref="B3:C3"/>
    <mergeCell ref="D4:E4"/>
    <mergeCell ref="F4:G4"/>
    <mergeCell ref="B31:F34"/>
  </mergeCells>
  <hyperlinks>
    <hyperlink ref="B3" location="'List of Tables &amp; Charts'!A1" display="return to List of Tables &amp; Charts"/>
  </hyperlinks>
  <pageMargins left="0.70866141732283472" right="0.70866141732283472" top="0.74803149606299213" bottom="0.74803149606299213" header="0.31496062992125984" footer="0.31496062992125984"/>
  <pageSetup paperSize="9" scale="87"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14.xml><?xml version="1.0" encoding="utf-8"?>
<worksheet xmlns="http://schemas.openxmlformats.org/spreadsheetml/2006/main" xmlns:r="http://schemas.openxmlformats.org/officeDocument/2006/relationships">
  <sheetPr codeName="Sheet24">
    <pageSetUpPr fitToPage="1"/>
  </sheetPr>
  <dimension ref="A1:J24"/>
  <sheetViews>
    <sheetView zoomScaleNormal="100" workbookViewId="0"/>
  </sheetViews>
  <sheetFormatPr defaultRowHeight="12.75"/>
  <cols>
    <col min="1" max="1" width="1.7109375" style="817" customWidth="1"/>
    <col min="2" max="2" width="25.7109375" style="817" customWidth="1"/>
    <col min="3" max="3" width="24" style="817" customWidth="1"/>
    <col min="4" max="4" width="25.7109375" style="817" customWidth="1"/>
    <col min="5" max="16384" width="9.140625" style="817"/>
  </cols>
  <sheetData>
    <row r="1" spans="2:10" s="326" customFormat="1" ht="12.75" customHeight="1">
      <c r="B1" s="935" t="s">
        <v>801</v>
      </c>
      <c r="C1" s="935"/>
      <c r="D1" s="935"/>
      <c r="E1" s="935"/>
      <c r="F1" s="935"/>
      <c r="G1" s="935"/>
      <c r="H1" s="935"/>
      <c r="I1" s="935"/>
      <c r="J1" s="935"/>
    </row>
    <row r="3" spans="2:10">
      <c r="B3" s="958" t="s">
        <v>45</v>
      </c>
      <c r="C3" s="958"/>
    </row>
    <row r="4" spans="2:10" ht="45" customHeight="1">
      <c r="B4" s="832" t="s">
        <v>19</v>
      </c>
      <c r="C4" s="815" t="s">
        <v>795</v>
      </c>
      <c r="D4" s="815" t="s">
        <v>796</v>
      </c>
    </row>
    <row r="5" spans="2:10">
      <c r="B5" s="830" t="s">
        <v>33</v>
      </c>
      <c r="C5" s="190">
        <v>8</v>
      </c>
      <c r="D5" s="395">
        <v>3</v>
      </c>
    </row>
    <row r="6" spans="2:10">
      <c r="B6" s="830" t="s">
        <v>28</v>
      </c>
      <c r="C6" s="190">
        <v>1</v>
      </c>
      <c r="D6" s="395">
        <v>1</v>
      </c>
    </row>
    <row r="7" spans="2:10">
      <c r="B7" s="830" t="s">
        <v>31</v>
      </c>
      <c r="C7" s="190">
        <v>2</v>
      </c>
      <c r="D7" s="395">
        <v>8</v>
      </c>
    </row>
    <row r="8" spans="2:10">
      <c r="B8" s="830" t="s">
        <v>30</v>
      </c>
      <c r="C8" s="190">
        <v>3</v>
      </c>
      <c r="D8" s="395">
        <v>2</v>
      </c>
    </row>
    <row r="9" spans="2:10">
      <c r="B9" s="830" t="s">
        <v>35</v>
      </c>
      <c r="C9" s="190">
        <v>7</v>
      </c>
      <c r="D9" s="395">
        <v>4</v>
      </c>
    </row>
    <row r="10" spans="2:10">
      <c r="B10" s="830" t="s">
        <v>34</v>
      </c>
      <c r="C10" s="190">
        <v>9</v>
      </c>
      <c r="D10" s="395">
        <v>5</v>
      </c>
    </row>
    <row r="11" spans="2:10">
      <c r="B11" s="830" t="s">
        <v>40</v>
      </c>
      <c r="C11" s="190">
        <v>10</v>
      </c>
      <c r="D11" s="395">
        <v>10</v>
      </c>
    </row>
    <row r="12" spans="2:10">
      <c r="B12" s="830" t="s">
        <v>36</v>
      </c>
      <c r="C12" s="190">
        <v>13</v>
      </c>
      <c r="D12" s="395">
        <v>11</v>
      </c>
    </row>
    <row r="13" spans="2:10">
      <c r="B13" s="830" t="s">
        <v>29</v>
      </c>
      <c r="C13" s="190">
        <v>5</v>
      </c>
      <c r="D13" s="395">
        <v>6</v>
      </c>
    </row>
    <row r="14" spans="2:10">
      <c r="B14" s="830" t="s">
        <v>38</v>
      </c>
      <c r="C14" s="190">
        <v>12</v>
      </c>
      <c r="D14" s="395">
        <v>7</v>
      </c>
    </row>
    <row r="15" spans="2:10">
      <c r="B15" s="830" t="s">
        <v>41</v>
      </c>
      <c r="C15" s="190">
        <v>14</v>
      </c>
      <c r="D15" s="395">
        <v>13</v>
      </c>
    </row>
    <row r="16" spans="2:10">
      <c r="B16" s="830" t="s">
        <v>39</v>
      </c>
      <c r="C16" s="190">
        <v>4</v>
      </c>
      <c r="D16" s="395">
        <v>12</v>
      </c>
    </row>
    <row r="17" spans="1:8">
      <c r="B17" s="831" t="s">
        <v>32</v>
      </c>
      <c r="C17" s="689">
        <v>11</v>
      </c>
      <c r="D17" s="690">
        <v>9</v>
      </c>
    </row>
    <row r="18" spans="1:8">
      <c r="B18" s="831" t="s">
        <v>37</v>
      </c>
      <c r="C18" s="689">
        <v>6</v>
      </c>
      <c r="D18" s="690">
        <v>14</v>
      </c>
    </row>
    <row r="19" spans="1:8">
      <c r="B19" s="816"/>
      <c r="C19" s="816"/>
      <c r="D19" s="816"/>
    </row>
    <row r="20" spans="1:8">
      <c r="A20" s="169"/>
      <c r="B20" s="182" t="s">
        <v>816</v>
      </c>
      <c r="C20" s="183"/>
      <c r="D20" s="184"/>
      <c r="E20" s="185"/>
      <c r="F20" s="186"/>
      <c r="G20" s="186"/>
      <c r="H20" s="186"/>
    </row>
    <row r="21" spans="1:8" ht="26.1" customHeight="1">
      <c r="A21" s="169"/>
      <c r="B21" s="954" t="s">
        <v>797</v>
      </c>
      <c r="C21" s="954"/>
      <c r="D21" s="954"/>
      <c r="E21" s="954"/>
      <c r="F21" s="954"/>
      <c r="G21" s="954"/>
      <c r="H21" s="954"/>
    </row>
    <row r="22" spans="1:8" ht="39.950000000000003" customHeight="1">
      <c r="B22" s="955" t="s">
        <v>798</v>
      </c>
      <c r="C22" s="984"/>
      <c r="D22" s="984"/>
      <c r="E22" s="984"/>
      <c r="F22" s="984"/>
      <c r="G22" s="984"/>
      <c r="H22" s="984"/>
    </row>
    <row r="23" spans="1:8" ht="24.95" customHeight="1">
      <c r="B23" s="943" t="s">
        <v>799</v>
      </c>
      <c r="C23" s="943"/>
      <c r="D23" s="943"/>
      <c r="E23" s="943"/>
      <c r="F23" s="943"/>
      <c r="G23" s="943"/>
      <c r="H23" s="943"/>
    </row>
    <row r="24" spans="1:8" ht="50.1" customHeight="1">
      <c r="B24" s="943" t="s">
        <v>800</v>
      </c>
      <c r="C24" s="943"/>
      <c r="D24" s="943"/>
      <c r="E24" s="943"/>
      <c r="F24" s="943"/>
      <c r="G24" s="943"/>
      <c r="H24" s="943"/>
    </row>
  </sheetData>
  <sheetProtection password="B8D9" sheet="1" objects="1" scenarios="1"/>
  <mergeCells count="6">
    <mergeCell ref="B23:H23"/>
    <mergeCell ref="B24:H24"/>
    <mergeCell ref="B3:C3"/>
    <mergeCell ref="B1:J1"/>
    <mergeCell ref="B21:H21"/>
    <mergeCell ref="B22:H22"/>
  </mergeCells>
  <hyperlinks>
    <hyperlink ref="B3:C3" location="'List of Tables &amp; Charts'!A1" display="return to List of Tables &amp; Charts"/>
  </hyperlinks>
  <pageMargins left="0.74803149606299213" right="0.74803149606299213" top="0.39370078740157483" bottom="0.74803149606299213" header="0.15748031496062992" footer="0.19685039370078741"/>
  <pageSetup paperSize="9" scale="98" orientation="landscape" r:id="rId1"/>
  <headerFooter alignWithMargins="0">
    <oddFooter>&amp;L&amp;8Scottish Stroke Care Audit 2017 National Report
Stroke Services in Scottish Hospitals, Data relating to 2016&amp;R&amp;8© NHS National Services Scotland/Crown Copyright</oddFooter>
  </headerFooter>
</worksheet>
</file>

<file path=xl/worksheets/sheet15.xml><?xml version="1.0" encoding="utf-8"?>
<worksheet xmlns="http://schemas.openxmlformats.org/spreadsheetml/2006/main" xmlns:r="http://schemas.openxmlformats.org/officeDocument/2006/relationships">
  <sheetPr codeName="Sheet2">
    <pageSetUpPr fitToPage="1"/>
  </sheetPr>
  <dimension ref="A1:O48"/>
  <sheetViews>
    <sheetView workbookViewId="0"/>
  </sheetViews>
  <sheetFormatPr defaultRowHeight="12.75"/>
  <cols>
    <col min="1" max="1" width="1.7109375" style="2" customWidth="1"/>
    <col min="2" max="16384" width="9.140625" style="2"/>
  </cols>
  <sheetData>
    <row r="1" spans="1:15" ht="12.75" customHeight="1">
      <c r="A1" s="1"/>
      <c r="B1" s="969" t="s">
        <v>732</v>
      </c>
      <c r="C1" s="969"/>
      <c r="D1" s="969"/>
      <c r="E1" s="969"/>
      <c r="F1" s="969"/>
      <c r="G1" s="969"/>
      <c r="H1" s="969"/>
      <c r="I1" s="969"/>
      <c r="J1" s="969"/>
      <c r="K1" s="969"/>
      <c r="L1" s="969"/>
      <c r="M1" s="969"/>
      <c r="N1" s="969"/>
      <c r="O1" s="985" t="s">
        <v>45</v>
      </c>
    </row>
    <row r="2" spans="1:15">
      <c r="B2" s="969"/>
      <c r="C2" s="969"/>
      <c r="D2" s="969"/>
      <c r="E2" s="969"/>
      <c r="F2" s="969"/>
      <c r="G2" s="969"/>
      <c r="H2" s="969"/>
      <c r="I2" s="969"/>
      <c r="J2" s="969"/>
      <c r="K2" s="969"/>
      <c r="L2" s="969"/>
      <c r="M2" s="969"/>
      <c r="N2" s="969"/>
      <c r="O2" s="985"/>
    </row>
    <row r="3" spans="1:15">
      <c r="B3" s="969"/>
      <c r="C3" s="969"/>
      <c r="D3" s="969"/>
      <c r="E3" s="969"/>
      <c r="F3" s="969"/>
      <c r="G3" s="969"/>
      <c r="H3" s="969"/>
      <c r="I3" s="969"/>
      <c r="J3" s="969"/>
      <c r="K3" s="969"/>
      <c r="L3" s="969"/>
      <c r="M3" s="969"/>
      <c r="N3" s="969"/>
      <c r="O3" s="985"/>
    </row>
    <row r="4" spans="1:15" s="113" customFormat="1" ht="18" customHeight="1">
      <c r="B4" s="280"/>
      <c r="C4" s="280"/>
      <c r="D4" s="280"/>
      <c r="E4" s="280"/>
      <c r="F4" s="280"/>
      <c r="G4" s="280"/>
      <c r="H4" s="280"/>
      <c r="I4" s="280"/>
      <c r="J4" s="280"/>
      <c r="K4" s="280"/>
      <c r="L4" s="280"/>
      <c r="M4" s="280"/>
      <c r="N4" s="280"/>
      <c r="O4" s="985"/>
    </row>
    <row r="5" spans="1:15" s="380" customFormat="1">
      <c r="B5" s="986" t="s">
        <v>730</v>
      </c>
      <c r="C5" s="986"/>
      <c r="D5" s="986"/>
      <c r="E5" s="986"/>
      <c r="F5" s="986"/>
      <c r="G5" s="986"/>
      <c r="H5" s="986"/>
      <c r="I5" s="986"/>
      <c r="J5" s="986"/>
      <c r="K5" s="986"/>
      <c r="L5" s="986"/>
      <c r="M5" s="986"/>
      <c r="N5" s="289"/>
      <c r="O5" s="379"/>
    </row>
    <row r="6" spans="1:15">
      <c r="B6" s="986"/>
      <c r="C6" s="986"/>
      <c r="D6" s="986"/>
      <c r="E6" s="986"/>
      <c r="F6" s="986"/>
      <c r="G6" s="986"/>
      <c r="H6" s="986"/>
      <c r="I6" s="986"/>
      <c r="J6" s="986"/>
      <c r="K6" s="986"/>
      <c r="L6" s="986"/>
      <c r="M6" s="986"/>
      <c r="N6" s="987" t="s">
        <v>410</v>
      </c>
      <c r="O6" s="987"/>
    </row>
    <row r="35" spans="2:15">
      <c r="B35" s="61"/>
      <c r="C35" s="61"/>
      <c r="D35" s="61"/>
      <c r="E35" s="61"/>
      <c r="F35" s="61"/>
      <c r="G35" s="61"/>
      <c r="H35" s="61"/>
      <c r="I35" s="61"/>
      <c r="J35" s="61"/>
      <c r="K35" s="61"/>
      <c r="L35" s="61"/>
      <c r="M35" s="61"/>
      <c r="N35" s="61"/>
      <c r="O35" s="61"/>
    </row>
    <row r="36" spans="2:15">
      <c r="B36" s="61"/>
      <c r="C36" s="61"/>
      <c r="D36" s="61"/>
      <c r="E36" s="61"/>
      <c r="F36" s="61"/>
      <c r="G36" s="61"/>
      <c r="H36" s="61"/>
      <c r="I36" s="61"/>
      <c r="J36" s="61"/>
      <c r="K36" s="61"/>
      <c r="L36" s="61"/>
      <c r="M36" s="61"/>
      <c r="N36" s="61"/>
      <c r="O36" s="61"/>
    </row>
    <row r="37" spans="2:15">
      <c r="B37" s="61"/>
      <c r="C37" s="61"/>
      <c r="D37" s="61"/>
      <c r="E37" s="61"/>
      <c r="F37" s="61"/>
      <c r="G37" s="61"/>
      <c r="H37" s="61"/>
      <c r="I37" s="61"/>
      <c r="J37" s="61"/>
      <c r="K37" s="61"/>
      <c r="L37" s="61"/>
      <c r="M37" s="61"/>
      <c r="N37" s="61"/>
      <c r="O37" s="61"/>
    </row>
    <row r="38" spans="2:15">
      <c r="B38" s="61"/>
      <c r="C38" s="61"/>
      <c r="D38" s="61"/>
      <c r="E38" s="61"/>
      <c r="F38" s="61"/>
      <c r="G38" s="61"/>
      <c r="H38" s="61"/>
      <c r="I38" s="61"/>
      <c r="J38" s="61"/>
      <c r="K38" s="61"/>
      <c r="L38" s="61"/>
      <c r="M38" s="61"/>
      <c r="N38" s="61"/>
      <c r="O38" s="61"/>
    </row>
    <row r="39" spans="2:15">
      <c r="B39" s="61"/>
      <c r="C39" s="61"/>
      <c r="D39" s="61"/>
      <c r="E39" s="61"/>
      <c r="F39" s="61"/>
      <c r="G39" s="61"/>
      <c r="H39" s="61"/>
      <c r="I39" s="61"/>
      <c r="J39" s="61"/>
      <c r="K39" s="61"/>
      <c r="L39" s="61"/>
      <c r="M39" s="61"/>
      <c r="N39" s="61"/>
      <c r="O39" s="61"/>
    </row>
    <row r="40" spans="2:15">
      <c r="B40" s="61"/>
      <c r="C40" s="61"/>
      <c r="D40" s="61"/>
      <c r="E40" s="61"/>
      <c r="F40" s="61"/>
      <c r="G40" s="61"/>
      <c r="H40" s="61"/>
      <c r="I40" s="61"/>
      <c r="J40" s="61"/>
      <c r="K40" s="61"/>
      <c r="L40" s="61"/>
      <c r="M40" s="61"/>
      <c r="N40" s="61"/>
      <c r="O40" s="61"/>
    </row>
    <row r="41" spans="2:15">
      <c r="B41" s="61"/>
      <c r="C41" s="61"/>
      <c r="D41" s="61"/>
      <c r="E41" s="61"/>
      <c r="F41" s="61"/>
      <c r="G41" s="61"/>
      <c r="H41" s="61"/>
      <c r="I41" s="61"/>
      <c r="J41" s="61"/>
      <c r="K41" s="61"/>
      <c r="L41" s="61"/>
      <c r="M41" s="61"/>
      <c r="N41" s="61"/>
      <c r="O41" s="61"/>
    </row>
    <row r="42" spans="2:15">
      <c r="B42" s="61"/>
      <c r="C42" s="61"/>
      <c r="D42" s="61"/>
      <c r="E42" s="61"/>
      <c r="F42" s="61"/>
      <c r="G42" s="61"/>
      <c r="H42" s="61"/>
      <c r="I42" s="61"/>
      <c r="J42" s="61"/>
      <c r="K42" s="61"/>
      <c r="L42" s="61"/>
      <c r="M42" s="61"/>
      <c r="N42" s="61"/>
      <c r="O42" s="61"/>
    </row>
    <row r="43" spans="2:15">
      <c r="B43" s="61"/>
      <c r="C43" s="61"/>
      <c r="D43" s="61"/>
      <c r="E43" s="61"/>
      <c r="F43" s="61"/>
      <c r="G43" s="61"/>
      <c r="H43" s="61"/>
      <c r="I43" s="61"/>
      <c r="J43" s="61"/>
      <c r="K43" s="61"/>
      <c r="L43" s="61"/>
      <c r="M43" s="61"/>
      <c r="N43" s="61"/>
      <c r="O43" s="61"/>
    </row>
    <row r="44" spans="2:15">
      <c r="B44" s="61"/>
      <c r="C44" s="61"/>
      <c r="D44" s="61"/>
      <c r="E44" s="61"/>
      <c r="F44" s="61"/>
      <c r="G44" s="61"/>
      <c r="H44" s="61"/>
      <c r="I44" s="61"/>
      <c r="J44" s="61"/>
      <c r="K44" s="61"/>
      <c r="L44" s="61"/>
      <c r="M44" s="61"/>
      <c r="N44" s="61"/>
      <c r="O44" s="61"/>
    </row>
    <row r="45" spans="2:15">
      <c r="B45" s="61"/>
      <c r="C45" s="61"/>
      <c r="D45" s="61"/>
      <c r="E45" s="61"/>
      <c r="F45" s="61"/>
      <c r="G45" s="61"/>
      <c r="H45" s="61"/>
      <c r="I45" s="61"/>
      <c r="J45" s="61"/>
      <c r="K45" s="61"/>
      <c r="L45" s="61"/>
      <c r="M45" s="61"/>
      <c r="N45" s="61"/>
      <c r="O45" s="61"/>
    </row>
    <row r="46" spans="2:15">
      <c r="B46" s="61"/>
      <c r="C46" s="61"/>
      <c r="D46" s="61"/>
      <c r="E46" s="61"/>
      <c r="F46" s="61"/>
      <c r="G46" s="61"/>
      <c r="H46" s="61"/>
      <c r="I46" s="61"/>
      <c r="J46" s="61"/>
      <c r="K46" s="61"/>
      <c r="L46" s="61"/>
      <c r="M46" s="61"/>
      <c r="N46" s="61"/>
      <c r="O46" s="61"/>
    </row>
    <row r="47" spans="2:15">
      <c r="B47" s="61"/>
      <c r="C47" s="61"/>
      <c r="D47" s="61"/>
      <c r="E47" s="61"/>
      <c r="F47" s="61"/>
      <c r="G47" s="61"/>
      <c r="H47" s="61"/>
      <c r="I47" s="61"/>
      <c r="J47" s="61"/>
      <c r="K47" s="61"/>
      <c r="L47" s="61"/>
      <c r="M47" s="61"/>
      <c r="N47" s="61"/>
      <c r="O47" s="61"/>
    </row>
    <row r="48" spans="2:15">
      <c r="B48" s="61"/>
      <c r="C48" s="61"/>
      <c r="D48" s="61"/>
      <c r="E48" s="61"/>
      <c r="F48" s="61"/>
      <c r="G48" s="61"/>
      <c r="H48" s="61"/>
      <c r="I48" s="61"/>
      <c r="J48" s="61"/>
      <c r="K48" s="61"/>
      <c r="L48" s="61"/>
      <c r="M48" s="61"/>
      <c r="N48" s="61"/>
      <c r="O48" s="61"/>
    </row>
  </sheetData>
  <sheetProtection password="B8D9" sheet="1" objects="1" scenarios="1"/>
  <mergeCells count="4">
    <mergeCell ref="B1:N3"/>
    <mergeCell ref="O1:O4"/>
    <mergeCell ref="B5:M6"/>
    <mergeCell ref="N6:O6"/>
  </mergeCells>
  <hyperlinks>
    <hyperlink ref="O1" location="'List of Tables &amp; Charts'!A1" display="return to List of Tables &amp; Charts"/>
    <hyperlink ref="N6:O6" location="'Chart 1b DATA'!A1" display="view Chart 1a data"/>
  </hyperlinks>
  <pageMargins left="0" right="0" top="0.74803149606299213" bottom="0.74803149606299213" header="0.31496062992125984" footer="0.31496062992125984"/>
  <pageSetup paperSize="9" scale="69" orientation="landscape" r:id="rId1"/>
  <headerFooter>
    <oddFooter>&amp;L&amp;8Scottish Stroke Care Audit 2017 National Report
Stroke Services in Scottish Hospitals, Data relating to 2016&amp;R&amp;8© NHS National Services Scotland/Crown Copyright</odd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sheetPr codeName="Sheet3">
    <pageSetUpPr fitToPage="1"/>
  </sheetPr>
  <dimension ref="A1:T17"/>
  <sheetViews>
    <sheetView zoomScaleNormal="100" workbookViewId="0">
      <selection sqref="A1:A2"/>
    </sheetView>
  </sheetViews>
  <sheetFormatPr defaultRowHeight="11.25"/>
  <cols>
    <col min="1" max="1" width="19" style="207" bestFit="1" customWidth="1"/>
    <col min="2" max="8" width="9.140625" style="207"/>
    <col min="9" max="14" width="9.7109375" style="207" customWidth="1"/>
    <col min="15" max="15" width="19" style="207" bestFit="1" customWidth="1"/>
    <col min="16" max="16" width="45.7109375" style="207" customWidth="1"/>
    <col min="17" max="20" width="11.7109375" style="310" customWidth="1"/>
    <col min="21" max="16384" width="9.140625" style="207"/>
  </cols>
  <sheetData>
    <row r="1" spans="1:20" ht="30" customHeight="1">
      <c r="A1" s="988" t="s">
        <v>19</v>
      </c>
      <c r="B1" s="990" t="s">
        <v>437</v>
      </c>
      <c r="C1" s="991"/>
      <c r="D1" s="991"/>
      <c r="E1" s="991"/>
      <c r="F1" s="991"/>
      <c r="G1" s="991"/>
      <c r="H1" s="991"/>
      <c r="I1" s="290"/>
      <c r="J1" s="291"/>
      <c r="K1" s="291"/>
      <c r="L1" s="291"/>
      <c r="M1" s="291"/>
      <c r="N1" s="291"/>
      <c r="O1" s="992" t="s">
        <v>20</v>
      </c>
      <c r="P1" s="993"/>
      <c r="Q1" s="992">
        <v>2015</v>
      </c>
      <c r="R1" s="992"/>
      <c r="S1" s="992">
        <v>2016</v>
      </c>
      <c r="T1" s="992"/>
    </row>
    <row r="2" spans="1:20" ht="23.25" customHeight="1">
      <c r="A2" s="989"/>
      <c r="B2" s="292" t="s">
        <v>438</v>
      </c>
      <c r="C2" s="292" t="s">
        <v>586</v>
      </c>
      <c r="D2" s="293" t="s">
        <v>292</v>
      </c>
      <c r="E2" s="994" t="s">
        <v>439</v>
      </c>
      <c r="F2" s="994"/>
      <c r="G2" s="994" t="s">
        <v>440</v>
      </c>
      <c r="H2" s="995"/>
      <c r="I2" s="294" t="s">
        <v>293</v>
      </c>
      <c r="J2" s="295" t="s">
        <v>446</v>
      </c>
      <c r="K2" s="296" t="s">
        <v>22</v>
      </c>
      <c r="L2" s="297" t="s">
        <v>16</v>
      </c>
      <c r="M2" s="297" t="s">
        <v>15</v>
      </c>
      <c r="N2" s="298" t="s">
        <v>23</v>
      </c>
      <c r="O2" s="299" t="s">
        <v>24</v>
      </c>
      <c r="P2" s="300" t="s">
        <v>25</v>
      </c>
      <c r="Q2" s="300" t="s">
        <v>26</v>
      </c>
      <c r="R2" s="300" t="s">
        <v>27</v>
      </c>
      <c r="S2" s="300" t="s">
        <v>26</v>
      </c>
      <c r="T2" s="300" t="s">
        <v>27</v>
      </c>
    </row>
    <row r="3" spans="1:20">
      <c r="A3" s="301" t="s">
        <v>134</v>
      </c>
      <c r="B3" s="302">
        <f t="shared" ref="B3" si="0">Q3/R3*100</f>
        <v>0.60170237745817434</v>
      </c>
      <c r="C3" s="302">
        <f t="shared" ref="C3" si="1">S3/T3*100</f>
        <v>66.620803522289478</v>
      </c>
      <c r="D3" s="302" t="s">
        <v>262</v>
      </c>
      <c r="E3" s="16">
        <f t="shared" ref="E3" si="2">SUM(1*MID(I3,1,FIND(" - ",I3)-1))</f>
        <v>0</v>
      </c>
      <c r="F3" s="303">
        <f t="shared" ref="F3" si="3">SUM(1*MID(I3,FIND(" - ",I3)+2,LEN(I3)))</f>
        <v>1</v>
      </c>
      <c r="G3" s="303">
        <f t="shared" ref="G3" si="4">SUM(1*MID(J3,1,FIND(" - ",J3)-1))</f>
        <v>66</v>
      </c>
      <c r="H3" s="303">
        <f t="shared" ref="H3" si="5">SUM(1*MID(J3,FIND(" - ",J3)+2,LEN(J3)))</f>
        <v>68</v>
      </c>
      <c r="I3" s="304" t="str">
        <f t="shared" ref="I3"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0 - 1</v>
      </c>
      <c r="J3" s="305" t="str">
        <f t="shared" ref="J3"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66 - 68</v>
      </c>
      <c r="K3" s="306">
        <f t="shared" ref="K3" si="8">C3-B3</f>
        <v>66.019101144831311</v>
      </c>
      <c r="L3" s="307">
        <f t="shared" ref="L3" si="9">((S3/T3)-(Q3/R3))-(NORMSINV(1-(0.05/COUNTA($O$3:$O$34)))*(SQRT((((Q3/R3)*(1-(Q3/R3)))/R3)+(((S3/T3)*(1-(S3/T3)))/T3))))</f>
        <v>0.64497029222501578</v>
      </c>
      <c r="M3" s="307">
        <f t="shared" ref="M3" si="10">((S3/T3)-(Q3/R3))+(NORMSINV(1-(0.05/COUNTA($O$3:$O$34)))*(SQRT((((Q3/R3)*(1-(Q3/R3)))/R3)+(((S3/T3)*(1-(S3/T3)))/T3))))</f>
        <v>0.67541173067161031</v>
      </c>
      <c r="N3" s="308">
        <f t="shared" ref="N3" si="11">IF(ISERR(IF(AND(((S3/T3)-(Q3/R3))-(NORMSINV(1-(0.05/COUNTA($P$3:$P$17)))*(SQRT((((Q3/R3)*(1-(Q3/R3)))/R3)+(((S3/T3)*(1-(S3/T3)))/T3))))&gt;0,((S3/T3)-(Q3/R3))+(NORMSINV(1-(0.05/COUNTA($P$3:$P$17)))*(SQRT((((Q3/R3)*(1-(Q3/R3)))/R3)+(((S3/T3)*(1-(S3/T3)))/T3))))&gt;0),1,IF(AND(((S3/T3)-(Q3/R3))-(NORMSINV(1-(0.05/COUNTA($P$3:$P$17)))*(SQRT((((Q3/R3)*(1-(Q3/R3)))/R3)+(((S3/T3)*(1-(S3/T3)))/T3))))&lt;0,((S3/T3)-(Q3/R3))+(NORMSINV(1-(0.05/COUNTA($P$3:$P$17)))*(SQRT((((Q3/R3)*(1-(Q3/R3)))/R3)+(((S3/T3)*(1-(S3/T3)))/T3))))&lt;0),-1,0))),"",IF(AND(((S3/T3)-(Q3/R3))-(NORMSINV(1-(0.05/COUNTA($P$3:$P$17)))*(SQRT((((Q3/R3)*(1-(Q3/R3)))/R3)+(((S3/T3)*(1-(S3/T3)))/T3))))&gt;0,((S3/T3)-(Q3/R3))+(NORMSINV(1-(0.05/COUNTA($P$3:$P$17)))*(SQRT((((Q3/R3)*(1-(Q3/R3)))/R3)+(((S3/T3)*(1-(S3/T3)))/T3))))&gt;0),1,IF(AND(((S3/T3)-(Q3/R3))-(NORMSINV(1-(0.05/COUNTA($P$3:$P$17)))*(SQRT((((Q3/R3)*(1-(Q3/R3)))/R3)+(((S3/T3)*(1-(S3/T3)))/T3))))&lt;0,((S3/T3)-(Q3/R3))+(NORMSINV(1-(0.05/COUNTA($P$3:$P$17)))*(SQRT((((Q3/R3)*(1-(Q3/R3)))/R3)+(((S3/T3)*(1-(S3/T3)))/T3))))&lt;0),-1,0)))</f>
        <v>1</v>
      </c>
      <c r="O3" s="301" t="s">
        <v>134</v>
      </c>
      <c r="P3" s="301" t="s">
        <v>280</v>
      </c>
      <c r="Q3" s="403">
        <f>SUM(Q4:Q17)</f>
        <v>41</v>
      </c>
      <c r="R3" s="403">
        <f t="shared" ref="R3:T3" si="12">SUM(R4:R17)</f>
        <v>6814</v>
      </c>
      <c r="S3" s="403">
        <f t="shared" si="12"/>
        <v>4842</v>
      </c>
      <c r="T3" s="403">
        <f t="shared" si="12"/>
        <v>7268</v>
      </c>
    </row>
    <row r="4" spans="1:20">
      <c r="A4" s="301" t="s">
        <v>423</v>
      </c>
      <c r="B4" s="302">
        <f t="shared" ref="B4:B17" si="13">Q4/R4*100</f>
        <v>0.63694267515923575</v>
      </c>
      <c r="C4" s="302">
        <f t="shared" ref="C4:C17" si="14">S4/T4*100</f>
        <v>79.166666666666657</v>
      </c>
      <c r="D4" s="303">
        <v>90</v>
      </c>
      <c r="E4" s="303">
        <f t="shared" ref="E4:E17" si="15">SUM(1*MID(I4,1,FIND(" - ",I4)-1))</f>
        <v>0</v>
      </c>
      <c r="F4" s="303">
        <f t="shared" ref="F4:F17" si="16">SUM(1*MID(I4,FIND(" - ",I4)+2,LEN(I4)))</f>
        <v>4</v>
      </c>
      <c r="G4" s="303">
        <f t="shared" ref="G4:G17" si="17">SUM(1*MID(J4,1,FIND(" - ",J4)-1))</f>
        <v>72</v>
      </c>
      <c r="H4" s="303">
        <f t="shared" ref="H4:H17" si="18">SUM(1*MID(J4,FIND(" - ",J4)+2,LEN(J4)))</f>
        <v>85</v>
      </c>
      <c r="I4" s="309" t="str">
        <f t="shared" ref="I4:I17" si="19">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0 - 4</v>
      </c>
      <c r="J4" s="305" t="str">
        <f t="shared" ref="J4:J17" si="20">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72 - 85</v>
      </c>
      <c r="K4" s="306">
        <f t="shared" ref="K4:K17" si="21">C4-B4</f>
        <v>78.529723991507424</v>
      </c>
      <c r="L4" s="307">
        <f t="shared" ref="L4:L17" si="22">((S4/T4)-(Q4/R4))-(NORMSINV(1-(0.05/COUNTA($O$3:$O$34)))*(SQRT((((Q4/R4)*(1-(Q4/R4)))/R4)+(((S4/T4)*(1-(S4/T4)))/T4))))</f>
        <v>0.69856267724110466</v>
      </c>
      <c r="M4" s="307">
        <f t="shared" ref="M4:M17" si="23">((S4/T4)-(Q4/R4))+(NORMSINV(1-(0.05/COUNTA($O$3:$O$34)))*(SQRT((((Q4/R4)*(1-(Q4/R4)))/R4)+(((S4/T4)*(1-(S4/T4)))/T4))))</f>
        <v>0.87203180258904389</v>
      </c>
      <c r="N4" s="308">
        <f t="shared" ref="N4:N17" si="24">IF(ISERR(IF(AND(((S4/T4)-(Q4/R4))-(NORMSINV(1-(0.05/COUNTA($P$3:$P$17)))*(SQRT((((Q4/R4)*(1-(Q4/R4)))/R4)+(((S4/T4)*(1-(S4/T4)))/T4))))&gt;0,((S4/T4)-(Q4/R4))+(NORMSINV(1-(0.05/COUNTA($P$3:$P$17)))*(SQRT((((Q4/R4)*(1-(Q4/R4)))/R4)+(((S4/T4)*(1-(S4/T4)))/T4))))&gt;0),1,IF(AND(((S4/T4)-(Q4/R4))-(NORMSINV(1-(0.05/COUNTA($P$3:$P$17)))*(SQRT((((Q4/R4)*(1-(Q4/R4)))/R4)+(((S4/T4)*(1-(S4/T4)))/T4))))&lt;0,((S4/T4)-(Q4/R4))+(NORMSINV(1-(0.05/COUNTA($P$3:$P$17)))*(SQRT((((Q4/R4)*(1-(Q4/R4)))/R4)+(((S4/T4)*(1-(S4/T4)))/T4))))&lt;0),-1,0))),"",IF(AND(((S4/T4)-(Q4/R4))-(NORMSINV(1-(0.05/COUNTA($P$3:$P$17)))*(SQRT((((Q4/R4)*(1-(Q4/R4)))/R4)+(((S4/T4)*(1-(S4/T4)))/T4))))&gt;0,((S4/T4)-(Q4/R4))+(NORMSINV(1-(0.05/COUNTA($P$3:$P$17)))*(SQRT((((Q4/R4)*(1-(Q4/R4)))/R4)+(((S4/T4)*(1-(S4/T4)))/T4))))&gt;0),1,IF(AND(((S4/T4)-(Q4/R4))-(NORMSINV(1-(0.05/COUNTA($P$3:$P$17)))*(SQRT((((Q4/R4)*(1-(Q4/R4)))/R4)+(((S4/T4)*(1-(S4/T4)))/T4))))&lt;0,((S4/T4)-(Q4/R4))+(NORMSINV(1-(0.05/COUNTA($P$3:$P$17)))*(SQRT((((Q4/R4)*(1-(Q4/R4)))/R4)+(((S4/T4)*(1-(S4/T4)))/T4))))&lt;0),-1,0)))</f>
        <v>1</v>
      </c>
      <c r="O4" s="301" t="str">
        <f t="shared" ref="O4:O17" si="25">P4</f>
        <v xml:space="preserve"> Borders</v>
      </c>
      <c r="P4" s="301" t="s">
        <v>423</v>
      </c>
      <c r="Q4" s="403">
        <f>'Chart 1c DATA'!Q5</f>
        <v>1</v>
      </c>
      <c r="R4" s="403">
        <f>'Chart 1c DATA'!R5</f>
        <v>157</v>
      </c>
      <c r="S4" s="403">
        <f>'Chart 1c DATA'!S5</f>
        <v>133</v>
      </c>
      <c r="T4" s="403">
        <f>'Chart 1c DATA'!T5</f>
        <v>168</v>
      </c>
    </row>
    <row r="5" spans="1:20">
      <c r="A5" s="301" t="s">
        <v>427</v>
      </c>
      <c r="B5" s="302">
        <f t="shared" si="13"/>
        <v>1.882845188284519</v>
      </c>
      <c r="C5" s="302">
        <f t="shared" si="14"/>
        <v>77.358490566037744</v>
      </c>
      <c r="D5" s="303">
        <v>83</v>
      </c>
      <c r="E5" s="303">
        <f t="shared" si="15"/>
        <v>1</v>
      </c>
      <c r="F5" s="303">
        <f t="shared" si="16"/>
        <v>4</v>
      </c>
      <c r="G5" s="303">
        <f t="shared" si="17"/>
        <v>74</v>
      </c>
      <c r="H5" s="303">
        <f t="shared" si="18"/>
        <v>81</v>
      </c>
      <c r="I5" s="309" t="str">
        <f t="shared" si="19"/>
        <v>1 - 4</v>
      </c>
      <c r="J5" s="305" t="str">
        <f t="shared" si="20"/>
        <v>74 - 81</v>
      </c>
      <c r="K5" s="306">
        <f t="shared" si="21"/>
        <v>75.475645377753224</v>
      </c>
      <c r="L5" s="307">
        <f t="shared" si="22"/>
        <v>0.70263177447194569</v>
      </c>
      <c r="M5" s="307">
        <f t="shared" si="23"/>
        <v>0.80688113308311871</v>
      </c>
      <c r="N5" s="308">
        <f t="shared" si="24"/>
        <v>1</v>
      </c>
      <c r="O5" s="301" t="str">
        <f t="shared" si="25"/>
        <v xml:space="preserve"> Fife</v>
      </c>
      <c r="P5" s="301" t="s">
        <v>427</v>
      </c>
      <c r="Q5" s="403">
        <f>'Chart 1c DATA'!Q7</f>
        <v>9</v>
      </c>
      <c r="R5" s="403">
        <f>'Chart 1c DATA'!R7</f>
        <v>478</v>
      </c>
      <c r="S5" s="403">
        <f>'Chart 1c DATA'!S7</f>
        <v>410</v>
      </c>
      <c r="T5" s="403">
        <f>'Chart 1c DATA'!T7</f>
        <v>530</v>
      </c>
    </row>
    <row r="6" spans="1:20">
      <c r="A6" s="301" t="s">
        <v>430</v>
      </c>
      <c r="B6" s="302">
        <f t="shared" si="13"/>
        <v>0</v>
      </c>
      <c r="C6" s="302">
        <f t="shared" si="14"/>
        <v>76.874205844980935</v>
      </c>
      <c r="D6" s="303">
        <v>80</v>
      </c>
      <c r="E6" s="303">
        <f t="shared" si="15"/>
        <v>0</v>
      </c>
      <c r="F6" s="303">
        <f t="shared" si="16"/>
        <v>1</v>
      </c>
      <c r="G6" s="303">
        <f t="shared" si="17"/>
        <v>74</v>
      </c>
      <c r="H6" s="303">
        <f t="shared" si="18"/>
        <v>80</v>
      </c>
      <c r="I6" s="309" t="str">
        <f t="shared" si="19"/>
        <v>0 - 1</v>
      </c>
      <c r="J6" s="305" t="str">
        <f t="shared" si="20"/>
        <v>74 - 80</v>
      </c>
      <c r="K6" s="306">
        <f t="shared" si="21"/>
        <v>76.874205844980935</v>
      </c>
      <c r="L6" s="307">
        <f t="shared" si="22"/>
        <v>0.72796561132908377</v>
      </c>
      <c r="M6" s="307">
        <f t="shared" si="23"/>
        <v>0.80951850557053495</v>
      </c>
      <c r="N6" s="308">
        <f t="shared" si="24"/>
        <v>1</v>
      </c>
      <c r="O6" s="301" t="str">
        <f t="shared" si="25"/>
        <v xml:space="preserve"> Ayrshire &amp; Arran</v>
      </c>
      <c r="P6" s="301" t="s">
        <v>430</v>
      </c>
      <c r="Q6" s="403">
        <f>'Chart 1c DATA'!Q6+'Chart 1c DATA'!Q31</f>
        <v>0</v>
      </c>
      <c r="R6" s="403">
        <f>'Chart 1c DATA'!R6+'Chart 1c DATA'!R31</f>
        <v>584</v>
      </c>
      <c r="S6" s="403">
        <f>'Chart 1c DATA'!S6+'Chart 1c DATA'!S31</f>
        <v>605</v>
      </c>
      <c r="T6" s="403">
        <f>'Chart 1c DATA'!T6+'Chart 1c DATA'!T31</f>
        <v>787</v>
      </c>
    </row>
    <row r="7" spans="1:20">
      <c r="A7" s="301" t="s">
        <v>429</v>
      </c>
      <c r="B7" s="302">
        <f t="shared" si="13"/>
        <v>0.23923444976076555</v>
      </c>
      <c r="C7" s="302">
        <f t="shared" si="14"/>
        <v>74.168797953964187</v>
      </c>
      <c r="D7" s="303">
        <v>90</v>
      </c>
      <c r="E7" s="303">
        <f t="shared" si="15"/>
        <v>0</v>
      </c>
      <c r="F7" s="303">
        <f t="shared" si="16"/>
        <v>1</v>
      </c>
      <c r="G7" s="303">
        <f t="shared" si="17"/>
        <v>70</v>
      </c>
      <c r="H7" s="303">
        <f t="shared" si="18"/>
        <v>78</v>
      </c>
      <c r="I7" s="309" t="str">
        <f t="shared" si="19"/>
        <v>0 - 1</v>
      </c>
      <c r="J7" s="305" t="str">
        <f t="shared" si="20"/>
        <v>70 - 78</v>
      </c>
      <c r="K7" s="306">
        <f t="shared" si="21"/>
        <v>73.929563504203415</v>
      </c>
      <c r="L7" s="307">
        <f t="shared" si="22"/>
        <v>0.67889127000108962</v>
      </c>
      <c r="M7" s="307">
        <f t="shared" si="23"/>
        <v>0.79970000008297903</v>
      </c>
      <c r="N7" s="308">
        <f t="shared" si="24"/>
        <v>1</v>
      </c>
      <c r="O7" s="301" t="str">
        <f t="shared" si="25"/>
        <v xml:space="preserve"> Forth Valley</v>
      </c>
      <c r="P7" s="301" t="s">
        <v>429</v>
      </c>
      <c r="Q7" s="403">
        <f>'Chart 1c DATA'!Q9</f>
        <v>1</v>
      </c>
      <c r="R7" s="403">
        <f>'Chart 1c DATA'!R9</f>
        <v>418</v>
      </c>
      <c r="S7" s="403">
        <f>'Chart 1c DATA'!S9</f>
        <v>290</v>
      </c>
      <c r="T7" s="403">
        <f>'Chart 1c DATA'!T9</f>
        <v>391</v>
      </c>
    </row>
    <row r="8" spans="1:20">
      <c r="A8" s="301" t="s">
        <v>431</v>
      </c>
      <c r="B8" s="302">
        <f t="shared" si="13"/>
        <v>1.0600706713780919</v>
      </c>
      <c r="C8" s="302">
        <f t="shared" si="14"/>
        <v>69.059829059829056</v>
      </c>
      <c r="D8" s="303">
        <v>75</v>
      </c>
      <c r="E8" s="303">
        <f t="shared" si="15"/>
        <v>0</v>
      </c>
      <c r="F8" s="303">
        <f t="shared" si="16"/>
        <v>2</v>
      </c>
      <c r="G8" s="303">
        <f t="shared" si="17"/>
        <v>65</v>
      </c>
      <c r="H8" s="303">
        <f t="shared" si="18"/>
        <v>73</v>
      </c>
      <c r="I8" s="309" t="str">
        <f t="shared" si="19"/>
        <v>0 - 2</v>
      </c>
      <c r="J8" s="305" t="str">
        <f t="shared" si="20"/>
        <v>65 - 73</v>
      </c>
      <c r="K8" s="306">
        <f t="shared" si="21"/>
        <v>67.999758388450971</v>
      </c>
      <c r="L8" s="307">
        <f t="shared" si="22"/>
        <v>0.62684790704587767</v>
      </c>
      <c r="M8" s="307">
        <f t="shared" si="23"/>
        <v>0.73314726072314174</v>
      </c>
      <c r="N8" s="308">
        <f t="shared" si="24"/>
        <v>1</v>
      </c>
      <c r="O8" s="301" t="str">
        <f t="shared" si="25"/>
        <v xml:space="preserve"> Grampian</v>
      </c>
      <c r="P8" s="301" t="s">
        <v>431</v>
      </c>
      <c r="Q8" s="403">
        <f>'Chart 1c DATA'!Q12+'Chart 1c DATA'!Q13</f>
        <v>6</v>
      </c>
      <c r="R8" s="403">
        <f>'Chart 1c DATA'!R12+'Chart 1c DATA'!R13</f>
        <v>566</v>
      </c>
      <c r="S8" s="403">
        <f>'Chart 1c DATA'!S12+'Chart 1c DATA'!S13</f>
        <v>404</v>
      </c>
      <c r="T8" s="403">
        <f>'Chart 1c DATA'!T12+'Chart 1c DATA'!T13</f>
        <v>585</v>
      </c>
    </row>
    <row r="9" spans="1:20">
      <c r="A9" s="301" t="s">
        <v>428</v>
      </c>
      <c r="B9" s="302">
        <f t="shared" si="13"/>
        <v>0</v>
      </c>
      <c r="C9" s="302">
        <f t="shared" si="14"/>
        <v>66.2020905923345</v>
      </c>
      <c r="D9" s="303">
        <v>85</v>
      </c>
      <c r="E9" s="303">
        <f t="shared" si="15"/>
        <v>0</v>
      </c>
      <c r="F9" s="303">
        <f t="shared" si="16"/>
        <v>1</v>
      </c>
      <c r="G9" s="303">
        <f t="shared" si="17"/>
        <v>62</v>
      </c>
      <c r="H9" s="303">
        <f t="shared" si="18"/>
        <v>70</v>
      </c>
      <c r="I9" s="309" t="str">
        <f t="shared" si="19"/>
        <v>0 - 1</v>
      </c>
      <c r="J9" s="305" t="str">
        <f t="shared" si="20"/>
        <v>62 - 70</v>
      </c>
      <c r="K9" s="306">
        <f t="shared" si="21"/>
        <v>66.2020905923345</v>
      </c>
      <c r="L9" s="307">
        <f t="shared" si="22"/>
        <v>0.60845568201906652</v>
      </c>
      <c r="M9" s="307">
        <f t="shared" si="23"/>
        <v>0.71558612982762337</v>
      </c>
      <c r="N9" s="308">
        <f t="shared" si="24"/>
        <v>1</v>
      </c>
      <c r="O9" s="301" t="str">
        <f t="shared" si="25"/>
        <v xml:space="preserve"> Lanarkshire</v>
      </c>
      <c r="P9" s="301" t="s">
        <v>428</v>
      </c>
      <c r="Q9" s="403">
        <f>'Chart 1c DATA'!Q8+'Chart 1c DATA'!Q20+'Chart 1c DATA'!Q23</f>
        <v>0</v>
      </c>
      <c r="R9" s="403">
        <f>'Chart 1c DATA'!R8+'Chart 1c DATA'!R20+'Chart 1c DATA'!R23</f>
        <v>599</v>
      </c>
      <c r="S9" s="403">
        <f>'Chart 1c DATA'!S8+'Chart 1c DATA'!S20+'Chart 1c DATA'!S23</f>
        <v>380</v>
      </c>
      <c r="T9" s="403">
        <f>'Chart 1c DATA'!T8+'Chart 1c DATA'!T20+'Chart 1c DATA'!T23</f>
        <v>574</v>
      </c>
    </row>
    <row r="10" spans="1:20">
      <c r="A10" s="301" t="s">
        <v>434</v>
      </c>
      <c r="B10" s="302">
        <f t="shared" si="13"/>
        <v>0.81053698074974678</v>
      </c>
      <c r="C10" s="302">
        <f t="shared" si="14"/>
        <v>65.931156222418366</v>
      </c>
      <c r="D10" s="303">
        <v>70</v>
      </c>
      <c r="E10" s="303">
        <f t="shared" si="15"/>
        <v>0</v>
      </c>
      <c r="F10" s="303">
        <f t="shared" si="16"/>
        <v>2</v>
      </c>
      <c r="G10" s="303">
        <f t="shared" si="17"/>
        <v>63</v>
      </c>
      <c r="H10" s="303">
        <f t="shared" si="18"/>
        <v>69</v>
      </c>
      <c r="I10" s="309" t="str">
        <f t="shared" si="19"/>
        <v>0 - 2</v>
      </c>
      <c r="J10" s="305" t="str">
        <f t="shared" si="20"/>
        <v>63 - 69</v>
      </c>
      <c r="K10" s="306">
        <f t="shared" si="21"/>
        <v>65.120619241668621</v>
      </c>
      <c r="L10" s="307">
        <f t="shared" si="22"/>
        <v>0.61222898925766567</v>
      </c>
      <c r="M10" s="307">
        <f t="shared" si="23"/>
        <v>0.69018339557570674</v>
      </c>
      <c r="N10" s="308">
        <f t="shared" si="24"/>
        <v>1</v>
      </c>
      <c r="O10" s="301" t="str">
        <f t="shared" si="25"/>
        <v xml:space="preserve"> Lothian</v>
      </c>
      <c r="P10" s="301" t="s">
        <v>434</v>
      </c>
      <c r="Q10" s="403">
        <f>'Chart 1c DATA'!Q14+'Chart 1c DATA'!Q18+'Chart 1c DATA'!Q21</f>
        <v>8</v>
      </c>
      <c r="R10" s="403">
        <f>'Chart 1c DATA'!R14+'Chart 1c DATA'!R18+'Chart 1c DATA'!R21</f>
        <v>987</v>
      </c>
      <c r="S10" s="403">
        <f>'Chart 1c DATA'!S14+'Chart 1c DATA'!S18+'Chart 1c DATA'!S21</f>
        <v>747</v>
      </c>
      <c r="T10" s="403">
        <f>'Chart 1c DATA'!T14+'Chart 1c DATA'!T18+'Chart 1c DATA'!T21</f>
        <v>1133</v>
      </c>
    </row>
    <row r="11" spans="1:20">
      <c r="A11" s="301" t="s">
        <v>442</v>
      </c>
      <c r="B11" s="302">
        <f t="shared" si="13"/>
        <v>0</v>
      </c>
      <c r="C11" s="302">
        <f t="shared" si="14"/>
        <v>64.071856287425149</v>
      </c>
      <c r="D11" s="303">
        <v>78</v>
      </c>
      <c r="E11" s="303">
        <f t="shared" si="15"/>
        <v>0</v>
      </c>
      <c r="F11" s="303">
        <f t="shared" si="16"/>
        <v>2</v>
      </c>
      <c r="G11" s="303">
        <f t="shared" si="17"/>
        <v>57</v>
      </c>
      <c r="H11" s="303">
        <f t="shared" si="18"/>
        <v>71</v>
      </c>
      <c r="I11" s="309" t="str">
        <f t="shared" si="19"/>
        <v>0 - 2</v>
      </c>
      <c r="J11" s="305" t="str">
        <f t="shared" si="20"/>
        <v>57 - 71</v>
      </c>
      <c r="K11" s="306">
        <f t="shared" si="21"/>
        <v>64.071856287425149</v>
      </c>
      <c r="L11" s="307">
        <f t="shared" si="22"/>
        <v>0.53999040137099041</v>
      </c>
      <c r="M11" s="307">
        <f t="shared" si="23"/>
        <v>0.74144672437751269</v>
      </c>
      <c r="N11" s="308">
        <f t="shared" si="24"/>
        <v>1</v>
      </c>
      <c r="O11" s="301" t="str">
        <f t="shared" si="25"/>
        <v xml:space="preserve"> Dumfries &amp; Galloway</v>
      </c>
      <c r="P11" s="301" t="s">
        <v>426</v>
      </c>
      <c r="Q11" s="403">
        <f>'Chart 1c DATA'!Q16+'Chart 1c DATA'!Q27</f>
        <v>0</v>
      </c>
      <c r="R11" s="403">
        <f>'Chart 1c DATA'!R16+'Chart 1c DATA'!R27</f>
        <v>196</v>
      </c>
      <c r="S11" s="403">
        <f>'Chart 1c DATA'!S16+'Chart 1c DATA'!S27</f>
        <v>107</v>
      </c>
      <c r="T11" s="403">
        <f>'Chart 1c DATA'!T16+'Chart 1c DATA'!T27</f>
        <v>167</v>
      </c>
    </row>
    <row r="12" spans="1:20">
      <c r="A12" s="301" t="s">
        <v>433</v>
      </c>
      <c r="B12" s="302">
        <f t="shared" si="13"/>
        <v>0.24038461538461539</v>
      </c>
      <c r="C12" s="302">
        <f t="shared" si="14"/>
        <v>62.5</v>
      </c>
      <c r="D12" s="303">
        <v>75</v>
      </c>
      <c r="E12" s="303">
        <f t="shared" si="15"/>
        <v>0</v>
      </c>
      <c r="F12" s="303">
        <f t="shared" si="16"/>
        <v>1</v>
      </c>
      <c r="G12" s="303">
        <f t="shared" si="17"/>
        <v>58</v>
      </c>
      <c r="H12" s="303">
        <f t="shared" si="18"/>
        <v>67</v>
      </c>
      <c r="I12" s="309" t="str">
        <f t="shared" si="19"/>
        <v>0 - 1</v>
      </c>
      <c r="J12" s="305" t="str">
        <f t="shared" si="20"/>
        <v>58 - 67</v>
      </c>
      <c r="K12" s="306">
        <f t="shared" si="21"/>
        <v>62.259615384615387</v>
      </c>
      <c r="L12" s="307">
        <f t="shared" si="22"/>
        <v>0.56418494324138346</v>
      </c>
      <c r="M12" s="307">
        <f t="shared" si="23"/>
        <v>0.68100736445092425</v>
      </c>
      <c r="N12" s="308">
        <f t="shared" si="24"/>
        <v>1</v>
      </c>
      <c r="O12" s="301" t="str">
        <f t="shared" si="25"/>
        <v xml:space="preserve"> Tayside</v>
      </c>
      <c r="P12" s="301" t="s">
        <v>433</v>
      </c>
      <c r="Q12" s="403">
        <f>'Chart 1c DATA'!Q19+'Chart 1c DATA'!Q22</f>
        <v>1</v>
      </c>
      <c r="R12" s="403">
        <f>'Chart 1c DATA'!R19+'Chart 1c DATA'!R22</f>
        <v>416</v>
      </c>
      <c r="S12" s="403">
        <f>'Chart 1c DATA'!S19+'Chart 1c DATA'!S22</f>
        <v>320</v>
      </c>
      <c r="T12" s="403">
        <f>'Chart 1c DATA'!T19+'Chart 1c DATA'!T22</f>
        <v>512</v>
      </c>
    </row>
    <row r="13" spans="1:20">
      <c r="A13" s="301" t="s">
        <v>432</v>
      </c>
      <c r="B13" s="302">
        <f t="shared" si="13"/>
        <v>0.6881948120698782</v>
      </c>
      <c r="C13" s="302">
        <f t="shared" si="14"/>
        <v>60.185662712738534</v>
      </c>
      <c r="D13" s="303">
        <v>70</v>
      </c>
      <c r="E13" s="303">
        <f t="shared" si="15"/>
        <v>0</v>
      </c>
      <c r="F13" s="303">
        <f t="shared" si="16"/>
        <v>1</v>
      </c>
      <c r="G13" s="303">
        <f t="shared" si="17"/>
        <v>58</v>
      </c>
      <c r="H13" s="303">
        <f t="shared" si="18"/>
        <v>62</v>
      </c>
      <c r="I13" s="309" t="str">
        <f t="shared" si="19"/>
        <v>0 - 1</v>
      </c>
      <c r="J13" s="305" t="str">
        <f t="shared" si="20"/>
        <v>58 - 62</v>
      </c>
      <c r="K13" s="306">
        <f t="shared" si="21"/>
        <v>59.497467900668653</v>
      </c>
      <c r="L13" s="307">
        <f t="shared" si="22"/>
        <v>0.56437607701877135</v>
      </c>
      <c r="M13" s="307">
        <f t="shared" si="23"/>
        <v>0.62557328099460174</v>
      </c>
      <c r="N13" s="308">
        <f t="shared" si="24"/>
        <v>1</v>
      </c>
      <c r="O13" s="301" t="str">
        <f t="shared" si="25"/>
        <v xml:space="preserve"> Greater Glasgow &amp; Clyde</v>
      </c>
      <c r="P13" s="301" t="s">
        <v>432</v>
      </c>
      <c r="Q13" s="403">
        <f>'Chart 1c DATA'!Q10+'Chart 1c DATA'!Q15+'Chart 1c DATA'!Q24+'Chart 1c DATA'!Q26</f>
        <v>13</v>
      </c>
      <c r="R13" s="403">
        <f>'Chart 1c DATA'!R10+'Chart 1c DATA'!R15+'Chart 1c DATA'!R24+'Chart 1c DATA'!R26</f>
        <v>1889</v>
      </c>
      <c r="S13" s="403">
        <f>'Chart 1c DATA'!S10+'Chart 1c DATA'!S15+'Chart 1c DATA'!S24+'Chart 1c DATA'!S26</f>
        <v>1167</v>
      </c>
      <c r="T13" s="403">
        <f>'Chart 1c DATA'!T10+'Chart 1c DATA'!T15+'Chart 1c DATA'!T24+'Chart 1c DATA'!T26</f>
        <v>1939</v>
      </c>
    </row>
    <row r="14" spans="1:20">
      <c r="A14" s="301" t="s">
        <v>444</v>
      </c>
      <c r="B14" s="302">
        <f t="shared" si="13"/>
        <v>0.47058823529411759</v>
      </c>
      <c r="C14" s="302">
        <f t="shared" si="14"/>
        <v>59.012345679012348</v>
      </c>
      <c r="D14" s="303">
        <v>75</v>
      </c>
      <c r="E14" s="303">
        <f t="shared" si="15"/>
        <v>0</v>
      </c>
      <c r="F14" s="303">
        <f t="shared" si="16"/>
        <v>2</v>
      </c>
      <c r="G14" s="303">
        <f t="shared" si="17"/>
        <v>54</v>
      </c>
      <c r="H14" s="303">
        <f t="shared" si="18"/>
        <v>64</v>
      </c>
      <c r="I14" s="309" t="str">
        <f t="shared" si="19"/>
        <v>0 - 2</v>
      </c>
      <c r="J14" s="305" t="str">
        <f t="shared" si="20"/>
        <v>54 - 64</v>
      </c>
      <c r="K14" s="306">
        <f t="shared" si="21"/>
        <v>58.541757443718232</v>
      </c>
      <c r="L14" s="307">
        <f t="shared" si="22"/>
        <v>0.51850634399052453</v>
      </c>
      <c r="M14" s="307">
        <f t="shared" si="23"/>
        <v>0.65232880488383993</v>
      </c>
      <c r="N14" s="308">
        <f t="shared" si="24"/>
        <v>1</v>
      </c>
      <c r="O14" s="301" t="str">
        <f t="shared" si="25"/>
        <v xml:space="preserve"> Highland</v>
      </c>
      <c r="P14" s="301" t="s">
        <v>435</v>
      </c>
      <c r="Q14" s="403">
        <f>'Chart 1c DATA'!Q4+'Chart 1c DATA'!Q11+'Chart 1c DATA'!Q17+'Chart 1c DATA'!Q29</f>
        <v>2</v>
      </c>
      <c r="R14" s="403">
        <f>'Chart 1c DATA'!R4+'Chart 1c DATA'!R11+'Chart 1c DATA'!R17+'Chart 1c DATA'!R29</f>
        <v>425</v>
      </c>
      <c r="S14" s="403">
        <f>'Chart 1c DATA'!S4+'Chart 1c DATA'!S11+'Chart 1c DATA'!S17+'Chart 1c DATA'!S29</f>
        <v>239</v>
      </c>
      <c r="T14" s="403">
        <f>'Chart 1c DATA'!T4+'Chart 1c DATA'!T11+'Chart 1c DATA'!T17+'Chart 1c DATA'!T29</f>
        <v>405</v>
      </c>
    </row>
    <row r="15" spans="1:20">
      <c r="A15" s="301" t="s">
        <v>443</v>
      </c>
      <c r="B15" s="302">
        <f t="shared" si="13"/>
        <v>0</v>
      </c>
      <c r="C15" s="302">
        <f t="shared" si="14"/>
        <v>58.064516129032263</v>
      </c>
      <c r="D15" s="303">
        <v>70</v>
      </c>
      <c r="E15" s="303">
        <f t="shared" si="15"/>
        <v>0</v>
      </c>
      <c r="F15" s="303">
        <f t="shared" si="16"/>
        <v>11</v>
      </c>
      <c r="G15" s="303">
        <f t="shared" si="17"/>
        <v>41</v>
      </c>
      <c r="H15" s="303">
        <f t="shared" si="18"/>
        <v>74</v>
      </c>
      <c r="I15" s="309" t="str">
        <f t="shared" si="19"/>
        <v>0 - 11</v>
      </c>
      <c r="J15" s="305" t="str">
        <f t="shared" si="20"/>
        <v>41 - 74</v>
      </c>
      <c r="K15" s="306">
        <f t="shared" si="21"/>
        <v>58.064516129032263</v>
      </c>
      <c r="L15" s="307">
        <f t="shared" si="22"/>
        <v>0.34019587745302565</v>
      </c>
      <c r="M15" s="307">
        <f t="shared" si="23"/>
        <v>0.82109444512761964</v>
      </c>
      <c r="N15" s="308">
        <f t="shared" si="24"/>
        <v>1</v>
      </c>
      <c r="O15" s="301" t="str">
        <f t="shared" si="25"/>
        <v xml:space="preserve"> Shetland</v>
      </c>
      <c r="P15" s="301" t="s">
        <v>425</v>
      </c>
      <c r="Q15" s="403">
        <f>'Chart 1c DATA'!Q25</f>
        <v>0</v>
      </c>
      <c r="R15" s="403">
        <f>'Chart 1c DATA'!R25</f>
        <v>31</v>
      </c>
      <c r="S15" s="403">
        <f>'Chart 1c DATA'!S25</f>
        <v>18</v>
      </c>
      <c r="T15" s="403">
        <f>'Chart 1c DATA'!T25</f>
        <v>31</v>
      </c>
    </row>
    <row r="16" spans="1:20">
      <c r="A16" s="301" t="s">
        <v>445</v>
      </c>
      <c r="B16" s="302">
        <f t="shared" si="13"/>
        <v>0</v>
      </c>
      <c r="C16" s="302">
        <f t="shared" si="14"/>
        <v>52</v>
      </c>
      <c r="D16" s="303">
        <v>50</v>
      </c>
      <c r="E16" s="303">
        <f t="shared" si="15"/>
        <v>0</v>
      </c>
      <c r="F16" s="303">
        <f t="shared" si="16"/>
        <v>8</v>
      </c>
      <c r="G16" s="303">
        <f t="shared" si="17"/>
        <v>33</v>
      </c>
      <c r="H16" s="303">
        <f t="shared" si="18"/>
        <v>70</v>
      </c>
      <c r="I16" s="309" t="str">
        <f t="shared" si="19"/>
        <v>0 - 8</v>
      </c>
      <c r="J16" s="305" t="str">
        <f t="shared" si="20"/>
        <v>33 - 70</v>
      </c>
      <c r="K16" s="306">
        <f t="shared" si="21"/>
        <v>52</v>
      </c>
      <c r="L16" s="307">
        <f t="shared" si="22"/>
        <v>0.24891194219099044</v>
      </c>
      <c r="M16" s="307">
        <f t="shared" si="23"/>
        <v>0.79108805780900959</v>
      </c>
      <c r="N16" s="308">
        <f t="shared" si="24"/>
        <v>1</v>
      </c>
      <c r="O16" s="301" t="str">
        <f t="shared" si="25"/>
        <v xml:space="preserve"> Orkney</v>
      </c>
      <c r="P16" s="301" t="s">
        <v>436</v>
      </c>
      <c r="Q16" s="403">
        <f>'Chart 1c DATA'!Q28</f>
        <v>0</v>
      </c>
      <c r="R16" s="403">
        <f>'Chart 1c DATA'!R28</f>
        <v>43</v>
      </c>
      <c r="S16" s="403">
        <f>'Chart 1c DATA'!S28</f>
        <v>13</v>
      </c>
      <c r="T16" s="403">
        <f>'Chart 1c DATA'!T28</f>
        <v>25</v>
      </c>
    </row>
    <row r="17" spans="1:20">
      <c r="A17" s="301" t="s">
        <v>441</v>
      </c>
      <c r="B17" s="302">
        <f t="shared" si="13"/>
        <v>0</v>
      </c>
      <c r="C17" s="302">
        <f t="shared" si="14"/>
        <v>42.857142857142854</v>
      </c>
      <c r="D17" s="303">
        <v>70</v>
      </c>
      <c r="E17" s="303">
        <f t="shared" si="15"/>
        <v>0</v>
      </c>
      <c r="F17" s="303">
        <f t="shared" si="16"/>
        <v>13</v>
      </c>
      <c r="G17" s="303">
        <f t="shared" si="17"/>
        <v>24</v>
      </c>
      <c r="H17" s="303">
        <f t="shared" si="18"/>
        <v>63</v>
      </c>
      <c r="I17" s="309" t="str">
        <f t="shared" si="19"/>
        <v>0 - 13</v>
      </c>
      <c r="J17" s="305" t="str">
        <f t="shared" si="20"/>
        <v>24 - 63</v>
      </c>
      <c r="K17" s="306">
        <f t="shared" si="21"/>
        <v>42.857142857142854</v>
      </c>
      <c r="L17" s="307">
        <f t="shared" si="22"/>
        <v>0.13558936363620616</v>
      </c>
      <c r="M17" s="307">
        <f t="shared" si="23"/>
        <v>0.72155349350665099</v>
      </c>
      <c r="N17" s="308">
        <f t="shared" si="24"/>
        <v>1</v>
      </c>
      <c r="O17" s="301" t="str">
        <f t="shared" si="25"/>
        <v xml:space="preserve"> Western Isles</v>
      </c>
      <c r="P17" s="301" t="s">
        <v>424</v>
      </c>
      <c r="Q17" s="403">
        <f>'Chart 1c DATA'!Q30+'Chart 1c DATA'!Q32</f>
        <v>0</v>
      </c>
      <c r="R17" s="403">
        <f>'Chart 1c DATA'!R30+'Chart 1c DATA'!R32</f>
        <v>25</v>
      </c>
      <c r="S17" s="403">
        <f>'Chart 1c DATA'!S30+'Chart 1c DATA'!S32</f>
        <v>9</v>
      </c>
      <c r="T17" s="403">
        <f>'Chart 1c DATA'!T30+'Chart 1c DATA'!T32</f>
        <v>21</v>
      </c>
    </row>
  </sheetData>
  <sheetProtection password="B8D9" sheet="1" objects="1" scenarios="1"/>
  <sortState ref="A4:T17">
    <sortCondition descending="1" ref="C4:C17"/>
  </sortState>
  <mergeCells count="7">
    <mergeCell ref="A1:A2"/>
    <mergeCell ref="B1:H1"/>
    <mergeCell ref="O1:P1"/>
    <mergeCell ref="Q1:R1"/>
    <mergeCell ref="S1:T1"/>
    <mergeCell ref="E2:F2"/>
    <mergeCell ref="G2:H2"/>
  </mergeCells>
  <printOptions horizontalCentered="1"/>
  <pageMargins left="0" right="0" top="0.74803149606299213" bottom="0.74803149606299213" header="0.31496062992125984" footer="0.31496062992125984"/>
  <pageSetup paperSize="9" scale="57" orientation="landscape" r:id="rId1"/>
  <headerFooter alignWithMargins="0">
    <oddFooter>&amp;L&amp;8Scottish Stroke Care Audit 2017 National Report
Stroke Services in Scottish Hospitals, Data relating to 2016&amp;R&amp;8© NHS National Services Scotland/Crown Copyright</oddFooter>
  </headerFooter>
</worksheet>
</file>

<file path=xl/worksheets/sheet17.xml><?xml version="1.0" encoding="utf-8"?>
<worksheet xmlns="http://schemas.openxmlformats.org/spreadsheetml/2006/main" xmlns:r="http://schemas.openxmlformats.org/officeDocument/2006/relationships">
  <sheetPr codeName="Sheet25">
    <pageSetUpPr fitToPage="1"/>
  </sheetPr>
  <dimension ref="A1:O48"/>
  <sheetViews>
    <sheetView workbookViewId="0"/>
  </sheetViews>
  <sheetFormatPr defaultRowHeight="12.75"/>
  <cols>
    <col min="1" max="1" width="1.7109375" style="463" customWidth="1"/>
    <col min="2" max="16384" width="9.140625" style="463"/>
  </cols>
  <sheetData>
    <row r="1" spans="1:15" ht="12.75" customHeight="1">
      <c r="A1" s="1"/>
      <c r="B1" s="969" t="s">
        <v>731</v>
      </c>
      <c r="C1" s="969"/>
      <c r="D1" s="969"/>
      <c r="E1" s="969"/>
      <c r="F1" s="969"/>
      <c r="G1" s="969"/>
      <c r="H1" s="969"/>
      <c r="I1" s="969"/>
      <c r="J1" s="969"/>
      <c r="K1" s="969"/>
      <c r="L1" s="969"/>
      <c r="M1" s="969"/>
      <c r="N1" s="969"/>
      <c r="O1" s="985" t="s">
        <v>45</v>
      </c>
    </row>
    <row r="2" spans="1:15">
      <c r="B2" s="969"/>
      <c r="C2" s="969"/>
      <c r="D2" s="969"/>
      <c r="E2" s="969"/>
      <c r="F2" s="969"/>
      <c r="G2" s="969"/>
      <c r="H2" s="969"/>
      <c r="I2" s="969"/>
      <c r="J2" s="969"/>
      <c r="K2" s="969"/>
      <c r="L2" s="969"/>
      <c r="M2" s="969"/>
      <c r="N2" s="969"/>
      <c r="O2" s="985"/>
    </row>
    <row r="3" spans="1:15">
      <c r="B3" s="969"/>
      <c r="C3" s="969"/>
      <c r="D3" s="969"/>
      <c r="E3" s="969"/>
      <c r="F3" s="969"/>
      <c r="G3" s="969"/>
      <c r="H3" s="969"/>
      <c r="I3" s="969"/>
      <c r="J3" s="969"/>
      <c r="K3" s="969"/>
      <c r="L3" s="969"/>
      <c r="M3" s="969"/>
      <c r="N3" s="969"/>
      <c r="O3" s="985"/>
    </row>
    <row r="4" spans="1:15" s="113" customFormat="1" ht="36" customHeight="1">
      <c r="B4" s="996" t="s">
        <v>748</v>
      </c>
      <c r="C4" s="996"/>
      <c r="D4" s="996"/>
      <c r="E4" s="996"/>
      <c r="F4" s="996"/>
      <c r="G4" s="996"/>
      <c r="H4" s="996"/>
      <c r="I4" s="996"/>
      <c r="J4" s="996"/>
      <c r="K4" s="996"/>
      <c r="L4" s="996"/>
      <c r="M4" s="996"/>
      <c r="N4" s="996"/>
      <c r="O4" s="985"/>
    </row>
    <row r="5" spans="1:15" ht="12.75" customHeight="1">
      <c r="B5" s="986" t="s">
        <v>730</v>
      </c>
      <c r="C5" s="986"/>
      <c r="D5" s="986"/>
      <c r="E5" s="986"/>
      <c r="F5" s="986"/>
      <c r="G5" s="986"/>
      <c r="H5" s="986"/>
      <c r="I5" s="986"/>
      <c r="J5" s="986"/>
      <c r="K5" s="986"/>
      <c r="L5" s="986"/>
      <c r="M5" s="279"/>
      <c r="N5" s="289"/>
      <c r="O5" s="462"/>
    </row>
    <row r="6" spans="1:15" ht="15" customHeight="1">
      <c r="B6" s="986"/>
      <c r="C6" s="986"/>
      <c r="D6" s="986"/>
      <c r="E6" s="986"/>
      <c r="F6" s="986"/>
      <c r="G6" s="986"/>
      <c r="H6" s="986"/>
      <c r="I6" s="986"/>
      <c r="J6" s="986"/>
      <c r="K6" s="986"/>
      <c r="L6" s="986"/>
      <c r="M6" s="987" t="s">
        <v>494</v>
      </c>
      <c r="N6" s="987"/>
      <c r="O6" s="987"/>
    </row>
    <row r="35" spans="2:15">
      <c r="B35" s="61"/>
      <c r="C35" s="61"/>
      <c r="D35" s="61"/>
      <c r="E35" s="61"/>
      <c r="F35" s="61"/>
      <c r="G35" s="61"/>
      <c r="H35" s="61"/>
      <c r="I35" s="61"/>
      <c r="J35" s="61"/>
      <c r="K35" s="61"/>
      <c r="L35" s="61"/>
      <c r="M35" s="61"/>
      <c r="N35" s="61"/>
      <c r="O35" s="61"/>
    </row>
    <row r="36" spans="2:15">
      <c r="B36" s="61"/>
      <c r="C36" s="61"/>
      <c r="D36" s="61"/>
      <c r="E36" s="61"/>
      <c r="F36" s="61"/>
      <c r="G36" s="61"/>
      <c r="H36" s="61"/>
      <c r="I36" s="61"/>
      <c r="J36" s="61"/>
      <c r="K36" s="61"/>
      <c r="L36" s="61"/>
      <c r="M36" s="61"/>
      <c r="N36" s="61"/>
      <c r="O36" s="61"/>
    </row>
    <row r="37" spans="2:15">
      <c r="B37" s="61"/>
      <c r="C37" s="61"/>
      <c r="D37" s="61"/>
      <c r="E37" s="61"/>
      <c r="F37" s="61"/>
      <c r="G37" s="61"/>
      <c r="H37" s="61"/>
      <c r="I37" s="61"/>
      <c r="J37" s="61"/>
      <c r="K37" s="61"/>
      <c r="L37" s="61"/>
      <c r="M37" s="61"/>
      <c r="N37" s="61"/>
      <c r="O37" s="61"/>
    </row>
    <row r="38" spans="2:15">
      <c r="B38" s="61"/>
      <c r="C38" s="61"/>
      <c r="D38" s="61"/>
      <c r="E38" s="61"/>
      <c r="F38" s="61"/>
      <c r="G38" s="61"/>
      <c r="H38" s="61"/>
      <c r="I38" s="61"/>
      <c r="J38" s="61"/>
      <c r="K38" s="61"/>
      <c r="L38" s="61"/>
      <c r="M38" s="61"/>
      <c r="N38" s="61"/>
      <c r="O38" s="61"/>
    </row>
    <row r="39" spans="2:15">
      <c r="B39" s="61"/>
      <c r="C39" s="61"/>
      <c r="D39" s="61"/>
      <c r="E39" s="61"/>
      <c r="F39" s="61"/>
      <c r="G39" s="61"/>
      <c r="H39" s="61"/>
      <c r="I39" s="61"/>
      <c r="J39" s="61"/>
      <c r="K39" s="61"/>
      <c r="L39" s="61"/>
      <c r="M39" s="61"/>
      <c r="N39" s="61"/>
      <c r="O39" s="61"/>
    </row>
    <row r="40" spans="2:15">
      <c r="B40" s="61"/>
      <c r="C40" s="61"/>
      <c r="D40" s="61"/>
      <c r="E40" s="61"/>
      <c r="F40" s="61"/>
      <c r="G40" s="61"/>
      <c r="H40" s="61"/>
      <c r="I40" s="61"/>
      <c r="J40" s="61"/>
      <c r="K40" s="61"/>
      <c r="L40" s="61"/>
      <c r="M40" s="61"/>
      <c r="N40" s="61"/>
      <c r="O40" s="61"/>
    </row>
    <row r="41" spans="2:15">
      <c r="B41" s="61"/>
      <c r="C41" s="61"/>
      <c r="D41" s="61"/>
      <c r="E41" s="61"/>
      <c r="F41" s="61"/>
      <c r="G41" s="61"/>
      <c r="H41" s="61"/>
      <c r="I41" s="61"/>
      <c r="J41" s="61"/>
      <c r="K41" s="61"/>
      <c r="L41" s="61"/>
      <c r="M41" s="61"/>
      <c r="N41" s="61"/>
      <c r="O41" s="61"/>
    </row>
    <row r="42" spans="2:15">
      <c r="B42" s="61"/>
      <c r="C42" s="61"/>
      <c r="D42" s="61"/>
      <c r="E42" s="61"/>
      <c r="F42" s="61"/>
      <c r="G42" s="61"/>
      <c r="H42" s="61"/>
      <c r="I42" s="61"/>
      <c r="J42" s="61"/>
      <c r="K42" s="61"/>
      <c r="L42" s="61"/>
      <c r="M42" s="61"/>
      <c r="N42" s="61"/>
      <c r="O42" s="61"/>
    </row>
    <row r="43" spans="2:15">
      <c r="B43" s="61"/>
      <c r="C43" s="61"/>
      <c r="D43" s="61"/>
      <c r="E43" s="61"/>
      <c r="F43" s="61"/>
      <c r="G43" s="61"/>
      <c r="H43" s="61"/>
      <c r="I43" s="61"/>
      <c r="J43" s="61"/>
      <c r="K43" s="61"/>
      <c r="L43" s="61"/>
      <c r="M43" s="61"/>
      <c r="N43" s="61"/>
      <c r="O43" s="61"/>
    </row>
    <row r="44" spans="2:15">
      <c r="B44" s="61"/>
      <c r="C44" s="61"/>
      <c r="D44" s="61"/>
      <c r="E44" s="61"/>
      <c r="F44" s="61"/>
      <c r="G44" s="61"/>
      <c r="H44" s="61"/>
      <c r="I44" s="61"/>
      <c r="J44" s="61"/>
      <c r="K44" s="61"/>
      <c r="L44" s="61"/>
      <c r="M44" s="61"/>
      <c r="N44" s="61"/>
      <c r="O44" s="61"/>
    </row>
    <row r="45" spans="2:15">
      <c r="B45" s="61"/>
      <c r="C45" s="61"/>
      <c r="D45" s="61"/>
      <c r="E45" s="61"/>
      <c r="F45" s="61"/>
      <c r="G45" s="61"/>
      <c r="H45" s="61"/>
      <c r="I45" s="61"/>
      <c r="J45" s="61"/>
      <c r="K45" s="61"/>
      <c r="L45" s="61"/>
      <c r="M45" s="61"/>
      <c r="N45" s="61"/>
      <c r="O45" s="61"/>
    </row>
    <row r="46" spans="2:15">
      <c r="B46" s="61"/>
      <c r="C46" s="61"/>
      <c r="D46" s="61"/>
      <c r="E46" s="61"/>
      <c r="F46" s="61"/>
      <c r="G46" s="61"/>
      <c r="H46" s="61"/>
      <c r="I46" s="61"/>
      <c r="J46" s="61"/>
      <c r="K46" s="61"/>
      <c r="L46" s="61"/>
      <c r="M46" s="61"/>
      <c r="N46" s="61"/>
      <c r="O46" s="61"/>
    </row>
    <row r="47" spans="2:15">
      <c r="B47" s="61"/>
      <c r="C47" s="61"/>
      <c r="D47" s="61"/>
      <c r="E47" s="61"/>
      <c r="F47" s="61"/>
      <c r="G47" s="61"/>
      <c r="H47" s="61"/>
      <c r="I47" s="61"/>
      <c r="J47" s="61"/>
      <c r="K47" s="61"/>
      <c r="L47" s="61"/>
      <c r="M47" s="61"/>
      <c r="N47" s="61"/>
      <c r="O47" s="61"/>
    </row>
    <row r="48" spans="2:15">
      <c r="B48" s="61"/>
      <c r="C48" s="61"/>
      <c r="D48" s="61"/>
      <c r="E48" s="61"/>
      <c r="F48" s="61"/>
      <c r="G48" s="61"/>
      <c r="H48" s="61"/>
      <c r="I48" s="61"/>
      <c r="J48" s="61"/>
      <c r="K48" s="61"/>
      <c r="L48" s="61"/>
      <c r="M48" s="61"/>
      <c r="N48" s="61"/>
      <c r="O48" s="61"/>
    </row>
  </sheetData>
  <sheetProtection password="B8D9" sheet="1" objects="1" scenarios="1"/>
  <mergeCells count="5">
    <mergeCell ref="B1:N3"/>
    <mergeCell ref="O1:O4"/>
    <mergeCell ref="B5:L6"/>
    <mergeCell ref="M6:O6"/>
    <mergeCell ref="B4:N4"/>
  </mergeCells>
  <hyperlinks>
    <hyperlink ref="O1" location="'List of Tables &amp; Charts'!A1" display="return to List of Tables &amp; Charts"/>
    <hyperlink ref="M6" location="'Chart 1b DATA (final diag)'!A1" display="view Chart 1b data"/>
  </hyperlinks>
  <pageMargins left="0.70866141732283472" right="0.70866141732283472" top="0.74803149606299213" bottom="0.74803149606299213" header="0.31496062992125984" footer="0.31496062992125984"/>
  <pageSetup paperSize="9" scale="64" orientation="landscape" r:id="rId1"/>
  <headerFooter>
    <oddFooter>&amp;L&amp;8Scottish Stroke Care Audit 2017 National Report
Stroke Services in Scottish Hospitals, Data relating to 2016&amp;R&amp;8© NHS National Services Scotland/Crown Copyright</oddFooter>
  </headerFooter>
  <rowBreaks count="1" manualBreakCount="1">
    <brk id="34" max="16383" man="1"/>
  </rowBreaks>
  <drawing r:id="rId2"/>
</worksheet>
</file>

<file path=xl/worksheets/sheet18.xml><?xml version="1.0" encoding="utf-8"?>
<worksheet xmlns="http://schemas.openxmlformats.org/spreadsheetml/2006/main" xmlns:r="http://schemas.openxmlformats.org/officeDocument/2006/relationships">
  <sheetPr codeName="Sheet26">
    <pageSetUpPr fitToPage="1"/>
  </sheetPr>
  <dimension ref="A1:T21"/>
  <sheetViews>
    <sheetView zoomScaleNormal="100" workbookViewId="0">
      <selection sqref="A1:A2"/>
    </sheetView>
  </sheetViews>
  <sheetFormatPr defaultRowHeight="11.25"/>
  <cols>
    <col min="1" max="1" width="19" style="207" bestFit="1" customWidth="1"/>
    <col min="2" max="8" width="9.140625" style="207"/>
    <col min="9" max="14" width="9.7109375" style="207" customWidth="1"/>
    <col min="15" max="15" width="19" style="207" bestFit="1" customWidth="1"/>
    <col min="16" max="16" width="45.7109375" style="207" customWidth="1"/>
    <col min="17" max="20" width="11.7109375" style="310" customWidth="1"/>
    <col min="21" max="16384" width="9.140625" style="207"/>
  </cols>
  <sheetData>
    <row r="1" spans="1:20" ht="30" customHeight="1">
      <c r="A1" s="988" t="s">
        <v>19</v>
      </c>
      <c r="B1" s="990" t="s">
        <v>745</v>
      </c>
      <c r="C1" s="991"/>
      <c r="D1" s="991"/>
      <c r="E1" s="991"/>
      <c r="F1" s="991"/>
      <c r="G1" s="991"/>
      <c r="H1" s="991"/>
      <c r="I1" s="290"/>
      <c r="J1" s="291"/>
      <c r="K1" s="291"/>
      <c r="L1" s="291"/>
      <c r="M1" s="291"/>
      <c r="N1" s="291"/>
      <c r="O1" s="992" t="s">
        <v>20</v>
      </c>
      <c r="P1" s="993"/>
      <c r="Q1" s="992">
        <v>2015</v>
      </c>
      <c r="R1" s="992"/>
      <c r="S1" s="992">
        <v>2016</v>
      </c>
      <c r="T1" s="992"/>
    </row>
    <row r="2" spans="1:20" ht="23.25" customHeight="1">
      <c r="A2" s="989"/>
      <c r="B2" s="292" t="s">
        <v>438</v>
      </c>
      <c r="C2" s="292" t="s">
        <v>586</v>
      </c>
      <c r="D2" s="782" t="s">
        <v>747</v>
      </c>
      <c r="E2" s="994" t="s">
        <v>439</v>
      </c>
      <c r="F2" s="994"/>
      <c r="G2" s="994" t="s">
        <v>440</v>
      </c>
      <c r="H2" s="995"/>
      <c r="I2" s="294" t="s">
        <v>293</v>
      </c>
      <c r="J2" s="295" t="s">
        <v>446</v>
      </c>
      <c r="K2" s="296" t="s">
        <v>22</v>
      </c>
      <c r="L2" s="297" t="s">
        <v>16</v>
      </c>
      <c r="M2" s="297" t="s">
        <v>15</v>
      </c>
      <c r="N2" s="298" t="s">
        <v>23</v>
      </c>
      <c r="O2" s="299" t="s">
        <v>24</v>
      </c>
      <c r="P2" s="300" t="s">
        <v>25</v>
      </c>
      <c r="Q2" s="300" t="s">
        <v>26</v>
      </c>
      <c r="R2" s="300" t="s">
        <v>27</v>
      </c>
      <c r="S2" s="300" t="s">
        <v>26</v>
      </c>
      <c r="T2" s="300" t="s">
        <v>27</v>
      </c>
    </row>
    <row r="3" spans="1:20">
      <c r="A3" s="301" t="s">
        <v>134</v>
      </c>
      <c r="B3" s="302">
        <f t="shared" ref="B3" si="0">Q3/R3*100</f>
        <v>0.64074559487403526</v>
      </c>
      <c r="C3" s="302">
        <f t="shared" ref="C3" si="1">S3/T3*100</f>
        <v>60.757169091679621</v>
      </c>
      <c r="D3" s="302" t="s">
        <v>262</v>
      </c>
      <c r="E3" s="16">
        <f t="shared" ref="E3" si="2">SUM(1*MID(I3,1,FIND(" - ",I3)-1))</f>
        <v>0</v>
      </c>
      <c r="F3" s="303">
        <f t="shared" ref="F3" si="3">SUM(1*MID(I3,FIND(" - ",I3)+2,LEN(I3)))</f>
        <v>1</v>
      </c>
      <c r="G3" s="303">
        <f t="shared" ref="G3" si="4">SUM(1*MID(J3,1,FIND(" - ",J3)-1))</f>
        <v>60</v>
      </c>
      <c r="H3" s="303">
        <f t="shared" ref="H3" si="5">SUM(1*MID(J3,FIND(" - ",J3)+2,LEN(J3)))</f>
        <v>62</v>
      </c>
      <c r="I3" s="304" t="str">
        <f t="shared" ref="I3"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0 - 1</v>
      </c>
      <c r="J3" s="305" t="str">
        <f t="shared" ref="J3"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60 - 62</v>
      </c>
      <c r="K3" s="306">
        <f t="shared" ref="K3" si="8">C3-B3</f>
        <v>60.116423496805588</v>
      </c>
      <c r="L3" s="307">
        <f t="shared" ref="L3" si="9">((S3/T3)-(Q3/R3))-(NORMSINV(1-(0.05/COUNTA($O$3:$O$34)))*(SQRT((((Q3/R3)*(1-(Q3/R3)))/R3)+(((S3/T3)*(1-(S3/T3)))/T3))))</f>
        <v>0.58520369961127583</v>
      </c>
      <c r="M3" s="307">
        <f t="shared" ref="M3" si="10">((S3/T3)-(Q3/R3))+(NORMSINV(1-(0.05/COUNTA($O$3:$O$34)))*(SQRT((((Q3/R3)*(1-(Q3/R3)))/R3)+(((S3/T3)*(1-(S3/T3)))/T3))))</f>
        <v>0.61712477032483581</v>
      </c>
      <c r="N3" s="308">
        <f t="shared" ref="N3" si="11">IF(ISERR(IF(AND(((S3/T3)-(Q3/R3))-(NORMSINV(1-(0.05/COUNTA($P$3:$P$17)))*(SQRT((((Q3/R3)*(1-(Q3/R3)))/R3)+(((S3/T3)*(1-(S3/T3)))/T3))))&gt;0,((S3/T3)-(Q3/R3))+(NORMSINV(1-(0.05/COUNTA($P$3:$P$17)))*(SQRT((((Q3/R3)*(1-(Q3/R3)))/R3)+(((S3/T3)*(1-(S3/T3)))/T3))))&gt;0),1,IF(AND(((S3/T3)-(Q3/R3))-(NORMSINV(1-(0.05/COUNTA($P$3:$P$17)))*(SQRT((((Q3/R3)*(1-(Q3/R3)))/R3)+(((S3/T3)*(1-(S3/T3)))/T3))))&lt;0,((S3/T3)-(Q3/R3))+(NORMSINV(1-(0.05/COUNTA($P$3:$P$17)))*(SQRT((((Q3/R3)*(1-(Q3/R3)))/R3)+(((S3/T3)*(1-(S3/T3)))/T3))))&lt;0),-1,0))),"",IF(AND(((S3/T3)-(Q3/R3))-(NORMSINV(1-(0.05/COUNTA($P$3:$P$17)))*(SQRT((((Q3/R3)*(1-(Q3/R3)))/R3)+(((S3/T3)*(1-(S3/T3)))/T3))))&gt;0,((S3/T3)-(Q3/R3))+(NORMSINV(1-(0.05/COUNTA($P$3:$P$17)))*(SQRT((((Q3/R3)*(1-(Q3/R3)))/R3)+(((S3/T3)*(1-(S3/T3)))/T3))))&gt;0),1,IF(AND(((S3/T3)-(Q3/R3))-(NORMSINV(1-(0.05/COUNTA($P$3:$P$17)))*(SQRT((((Q3/R3)*(1-(Q3/R3)))/R3)+(((S3/T3)*(1-(S3/T3)))/T3))))&lt;0,((S3/T3)-(Q3/R3))+(NORMSINV(1-(0.05/COUNTA($P$3:$P$17)))*(SQRT((((Q3/R3)*(1-(Q3/R3)))/R3)+(((S3/T3)*(1-(S3/T3)))/T3))))&lt;0),-1,0)))</f>
        <v>1</v>
      </c>
      <c r="O3" s="301" t="s">
        <v>134</v>
      </c>
      <c r="P3" s="301" t="s">
        <v>280</v>
      </c>
      <c r="Q3" s="403">
        <f>SUM(Q4:Q17)</f>
        <v>44</v>
      </c>
      <c r="R3" s="403">
        <f t="shared" ref="R3:T3" si="12">SUM(R4:R17)</f>
        <v>6867</v>
      </c>
      <c r="S3" s="403">
        <f t="shared" si="12"/>
        <v>4301</v>
      </c>
      <c r="T3" s="403">
        <f t="shared" si="12"/>
        <v>7079</v>
      </c>
    </row>
    <row r="4" spans="1:20">
      <c r="A4" s="301" t="str">
        <f t="shared" ref="A4:A17" si="13">IF(OR(P4="Western Isles",P4="Dumfries &amp; Galloway",P4="Shetland",P4="Highland",P4="Orkney"),CONCATENATE(P4,"*"),P4)</f>
        <v>Borders</v>
      </c>
      <c r="B4" s="302">
        <f t="shared" ref="B4:B17" si="14">Q4/R4*100</f>
        <v>0.6211180124223602</v>
      </c>
      <c r="C4" s="302">
        <f t="shared" ref="C4:C17" si="15">S4/T4*100</f>
        <v>76.397515527950304</v>
      </c>
      <c r="D4" s="303" t="s">
        <v>262</v>
      </c>
      <c r="E4" s="303">
        <f t="shared" ref="E4:E17" si="16">SUM(1*MID(I4,1,FIND(" - ",I4)-1))</f>
        <v>0</v>
      </c>
      <c r="F4" s="303">
        <f t="shared" ref="F4:F17" si="17">SUM(1*MID(I4,FIND(" - ",I4)+2,LEN(I4)))</f>
        <v>3</v>
      </c>
      <c r="G4" s="303">
        <f t="shared" ref="G4:G17" si="18">SUM(1*MID(J4,1,FIND(" - ",J4)-1))</f>
        <v>69</v>
      </c>
      <c r="H4" s="303">
        <f t="shared" ref="H4:H17" si="19">SUM(1*MID(J4,FIND(" - ",J4)+2,LEN(J4)))</f>
        <v>82</v>
      </c>
      <c r="I4" s="309" t="str">
        <f t="shared" ref="I4:I17" si="20">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0 - 3</v>
      </c>
      <c r="J4" s="305" t="str">
        <f t="shared" ref="J4:J17" si="21">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69 - 82</v>
      </c>
      <c r="K4" s="306">
        <f t="shared" ref="K4:K17" si="22">C4-B4</f>
        <v>75.776397515527947</v>
      </c>
      <c r="L4" s="307">
        <f t="shared" ref="L4:L17" si="23">((S4/T4)-(Q4/R4))-(NORMSINV(1-(0.05/COUNTA($O$3:$O$34)))*(SQRT((((Q4/R4)*(1-(Q4/R4)))/R4)+(((S4/T4)*(1-(S4/T4)))/T4))))</f>
        <v>0.66542764518942688</v>
      </c>
      <c r="M4" s="307">
        <f t="shared" ref="M4:M17" si="24">((S4/T4)-(Q4/R4))+(NORMSINV(1-(0.05/COUNTA($O$3:$O$34)))*(SQRT((((Q4/R4)*(1-(Q4/R4)))/R4)+(((S4/T4)*(1-(S4/T4)))/T4))))</f>
        <v>0.8501003051211321</v>
      </c>
      <c r="N4" s="308">
        <f t="shared" ref="N4:N17" si="25">IF(ISERR(IF(AND(((S4/T4)-(Q4/R4))-(NORMSINV(1-(0.05/COUNTA($P$3:$P$17)))*(SQRT((((Q4/R4)*(1-(Q4/R4)))/R4)+(((S4/T4)*(1-(S4/T4)))/T4))))&gt;0,((S4/T4)-(Q4/R4))+(NORMSINV(1-(0.05/COUNTA($P$3:$P$17)))*(SQRT((((Q4/R4)*(1-(Q4/R4)))/R4)+(((S4/T4)*(1-(S4/T4)))/T4))))&gt;0),1,IF(AND(((S4/T4)-(Q4/R4))-(NORMSINV(1-(0.05/COUNTA($P$3:$P$17)))*(SQRT((((Q4/R4)*(1-(Q4/R4)))/R4)+(((S4/T4)*(1-(S4/T4)))/T4))))&lt;0,((S4/T4)-(Q4/R4))+(NORMSINV(1-(0.05/COUNTA($P$3:$P$17)))*(SQRT((((Q4/R4)*(1-(Q4/R4)))/R4)+(((S4/T4)*(1-(S4/T4)))/T4))))&lt;0),-1,0))),"",IF(AND(((S4/T4)-(Q4/R4))-(NORMSINV(1-(0.05/COUNTA($P$3:$P$17)))*(SQRT((((Q4/R4)*(1-(Q4/R4)))/R4)+(((S4/T4)*(1-(S4/T4)))/T4))))&gt;0,((S4/T4)-(Q4/R4))+(NORMSINV(1-(0.05/COUNTA($P$3:$P$17)))*(SQRT((((Q4/R4)*(1-(Q4/R4)))/R4)+(((S4/T4)*(1-(S4/T4)))/T4))))&gt;0),1,IF(AND(((S4/T4)-(Q4/R4))-(NORMSINV(1-(0.05/COUNTA($P$3:$P$17)))*(SQRT((((Q4/R4)*(1-(Q4/R4)))/R4)+(((S4/T4)*(1-(S4/T4)))/T4))))&lt;0,((S4/T4)-(Q4/R4))+(NORMSINV(1-(0.05/COUNTA($P$3:$P$17)))*(SQRT((((Q4/R4)*(1-(Q4/R4)))/R4)+(((S4/T4)*(1-(S4/T4)))/T4))))&lt;0),-1,0)))</f>
        <v>1</v>
      </c>
      <c r="O4" s="301" t="str">
        <f t="shared" ref="O4:O17" si="26">P4</f>
        <v>Borders</v>
      </c>
      <c r="P4" s="301" t="s">
        <v>28</v>
      </c>
      <c r="Q4" s="403">
        <f>'Chart 1c DATA (final diag)'!Q5</f>
        <v>1</v>
      </c>
      <c r="R4" s="403">
        <f>'Chart 1c DATA (final diag)'!R5</f>
        <v>161</v>
      </c>
      <c r="S4" s="403">
        <f>'Chart 1c DATA (final diag)'!S5</f>
        <v>123</v>
      </c>
      <c r="T4" s="403">
        <f>'Chart 1c DATA (final diag)'!T5</f>
        <v>161</v>
      </c>
    </row>
    <row r="5" spans="1:20">
      <c r="A5" s="301" t="str">
        <f t="shared" si="13"/>
        <v>Fife</v>
      </c>
      <c r="B5" s="302">
        <f t="shared" si="14"/>
        <v>1.7699115044247788</v>
      </c>
      <c r="C5" s="302">
        <f t="shared" si="15"/>
        <v>73.146292585170329</v>
      </c>
      <c r="D5" s="303" t="s">
        <v>262</v>
      </c>
      <c r="E5" s="303">
        <f t="shared" si="16"/>
        <v>1</v>
      </c>
      <c r="F5" s="303">
        <f t="shared" si="17"/>
        <v>3</v>
      </c>
      <c r="G5" s="303">
        <f t="shared" si="18"/>
        <v>69</v>
      </c>
      <c r="H5" s="303">
        <f t="shared" si="19"/>
        <v>77</v>
      </c>
      <c r="I5" s="309" t="str">
        <f t="shared" si="20"/>
        <v>1 - 3</v>
      </c>
      <c r="J5" s="305" t="str">
        <f t="shared" si="21"/>
        <v>69 - 77</v>
      </c>
      <c r="K5" s="306">
        <f t="shared" si="22"/>
        <v>71.376381080745546</v>
      </c>
      <c r="L5" s="307">
        <f t="shared" si="23"/>
        <v>0.65736746956774883</v>
      </c>
      <c r="M5" s="307">
        <f t="shared" si="24"/>
        <v>0.77016015204716226</v>
      </c>
      <c r="N5" s="308">
        <f t="shared" si="25"/>
        <v>1</v>
      </c>
      <c r="O5" s="301" t="str">
        <f t="shared" si="26"/>
        <v>Fife</v>
      </c>
      <c r="P5" s="301" t="s">
        <v>30</v>
      </c>
      <c r="Q5" s="403">
        <f>'Chart 1c DATA (final diag)'!Q8</f>
        <v>8</v>
      </c>
      <c r="R5" s="403">
        <f>'Chart 1c DATA (final diag)'!R8</f>
        <v>452</v>
      </c>
      <c r="S5" s="403">
        <f>'Chart 1c DATA (final diag)'!S8</f>
        <v>365</v>
      </c>
      <c r="T5" s="403">
        <f>'Chart 1c DATA (final diag)'!T8</f>
        <v>499</v>
      </c>
    </row>
    <row r="6" spans="1:20">
      <c r="A6" s="301" t="str">
        <f t="shared" si="13"/>
        <v>Ayrshire &amp; Arran</v>
      </c>
      <c r="B6" s="302">
        <f t="shared" si="14"/>
        <v>0</v>
      </c>
      <c r="C6" s="302">
        <f t="shared" si="15"/>
        <v>72.424722662440573</v>
      </c>
      <c r="D6" s="303" t="s">
        <v>262</v>
      </c>
      <c r="E6" s="303">
        <f t="shared" si="16"/>
        <v>0</v>
      </c>
      <c r="F6" s="303">
        <f t="shared" si="17"/>
        <v>1</v>
      </c>
      <c r="G6" s="303">
        <f t="shared" si="18"/>
        <v>69</v>
      </c>
      <c r="H6" s="303">
        <f t="shared" si="19"/>
        <v>76</v>
      </c>
      <c r="I6" s="309" t="str">
        <f t="shared" si="20"/>
        <v>0 - 1</v>
      </c>
      <c r="J6" s="305" t="str">
        <f t="shared" si="21"/>
        <v>69 - 76</v>
      </c>
      <c r="K6" s="306">
        <f t="shared" si="22"/>
        <v>72.424722662440573</v>
      </c>
      <c r="L6" s="307">
        <f t="shared" si="23"/>
        <v>0.67598061795973652</v>
      </c>
      <c r="M6" s="307">
        <f t="shared" si="24"/>
        <v>0.7725138352890748</v>
      </c>
      <c r="N6" s="308">
        <f t="shared" si="25"/>
        <v>1</v>
      </c>
      <c r="O6" s="301" t="str">
        <f t="shared" si="26"/>
        <v>Ayrshire &amp; Arran</v>
      </c>
      <c r="P6" s="301" t="s">
        <v>33</v>
      </c>
      <c r="Q6" s="403">
        <f>'Chart 1c DATA (final diag)'!Q6+'Chart 1c DATA (final diag)'!Q31</f>
        <v>0</v>
      </c>
      <c r="R6" s="403">
        <f>'Chart 1c DATA (final diag)'!R6+'Chart 1c DATA (final diag)'!R31</f>
        <v>502</v>
      </c>
      <c r="S6" s="403">
        <f>'Chart 1c DATA (final diag)'!S6+'Chart 1c DATA (final diag)'!S31</f>
        <v>457</v>
      </c>
      <c r="T6" s="403">
        <f>'Chart 1c DATA (final diag)'!T6+'Chart 1c DATA (final diag)'!T31</f>
        <v>631</v>
      </c>
    </row>
    <row r="7" spans="1:20">
      <c r="A7" s="301" t="str">
        <f t="shared" si="13"/>
        <v>Forth Valley</v>
      </c>
      <c r="B7" s="302">
        <f t="shared" si="14"/>
        <v>0.4728132387706856</v>
      </c>
      <c r="C7" s="302">
        <f t="shared" si="15"/>
        <v>66.666666666666657</v>
      </c>
      <c r="D7" s="303" t="s">
        <v>262</v>
      </c>
      <c r="E7" s="303">
        <f t="shared" si="16"/>
        <v>0</v>
      </c>
      <c r="F7" s="303">
        <f t="shared" si="17"/>
        <v>2</v>
      </c>
      <c r="G7" s="303">
        <f t="shared" si="18"/>
        <v>62</v>
      </c>
      <c r="H7" s="303">
        <f t="shared" si="19"/>
        <v>71</v>
      </c>
      <c r="I7" s="309" t="str">
        <f t="shared" si="20"/>
        <v>0 - 2</v>
      </c>
      <c r="J7" s="305" t="str">
        <f t="shared" si="21"/>
        <v>62 - 71</v>
      </c>
      <c r="K7" s="306">
        <f t="shared" si="22"/>
        <v>66.193853427895974</v>
      </c>
      <c r="L7" s="307">
        <f t="shared" si="23"/>
        <v>0.59751189917264513</v>
      </c>
      <c r="M7" s="307">
        <f t="shared" si="24"/>
        <v>0.7263651693852744</v>
      </c>
      <c r="N7" s="308">
        <f t="shared" si="25"/>
        <v>1</v>
      </c>
      <c r="O7" s="301" t="str">
        <f t="shared" si="26"/>
        <v>Forth Valley</v>
      </c>
      <c r="P7" s="301" t="s">
        <v>35</v>
      </c>
      <c r="Q7" s="403">
        <f>'Chart 1c DATA (final diag)'!Q9</f>
        <v>2</v>
      </c>
      <c r="R7" s="403">
        <f>'Chart 1c DATA (final diag)'!R9</f>
        <v>423</v>
      </c>
      <c r="S7" s="403">
        <f>'Chart 1c DATA (final diag)'!S9</f>
        <v>268</v>
      </c>
      <c r="T7" s="403">
        <f>'Chart 1c DATA (final diag)'!T9</f>
        <v>402</v>
      </c>
    </row>
    <row r="8" spans="1:20">
      <c r="A8" s="301" t="str">
        <f t="shared" si="13"/>
        <v>Grampian</v>
      </c>
      <c r="B8" s="302">
        <f t="shared" si="14"/>
        <v>1.3223140495867769</v>
      </c>
      <c r="C8" s="302">
        <f t="shared" si="15"/>
        <v>62.541806020066893</v>
      </c>
      <c r="D8" s="303" t="s">
        <v>262</v>
      </c>
      <c r="E8" s="303">
        <f t="shared" si="16"/>
        <v>1</v>
      </c>
      <c r="F8" s="303">
        <f t="shared" si="17"/>
        <v>3</v>
      </c>
      <c r="G8" s="303">
        <f t="shared" si="18"/>
        <v>59</v>
      </c>
      <c r="H8" s="303">
        <f t="shared" si="19"/>
        <v>66</v>
      </c>
      <c r="I8" s="309" t="str">
        <f t="shared" si="20"/>
        <v>1 - 3</v>
      </c>
      <c r="J8" s="305" t="str">
        <f t="shared" si="21"/>
        <v>59 - 66</v>
      </c>
      <c r="K8" s="306">
        <f t="shared" si="22"/>
        <v>61.219491970480114</v>
      </c>
      <c r="L8" s="307">
        <f t="shared" si="23"/>
        <v>0.55703758118416713</v>
      </c>
      <c r="M8" s="307">
        <f t="shared" si="24"/>
        <v>0.66735225822543509</v>
      </c>
      <c r="N8" s="308">
        <f t="shared" si="25"/>
        <v>1</v>
      </c>
      <c r="O8" s="301" t="str">
        <f t="shared" si="26"/>
        <v>Grampian</v>
      </c>
      <c r="P8" s="301" t="s">
        <v>34</v>
      </c>
      <c r="Q8" s="403">
        <f>'Chart 1c DATA (final diag)'!Q11+'Chart 1c DATA (final diag)'!Q13</f>
        <v>8</v>
      </c>
      <c r="R8" s="403">
        <f>'Chart 1c DATA (final diag)'!R11+'Chart 1c DATA (final diag)'!R13</f>
        <v>605</v>
      </c>
      <c r="S8" s="403">
        <f>'Chart 1c DATA (final diag)'!S11+'Chart 1c DATA (final diag)'!S13</f>
        <v>374</v>
      </c>
      <c r="T8" s="403">
        <f>'Chart 1c DATA (final diag)'!T11+'Chart 1c DATA (final diag)'!T13</f>
        <v>598</v>
      </c>
    </row>
    <row r="9" spans="1:20">
      <c r="A9" s="301" t="str">
        <f t="shared" si="13"/>
        <v>Highland*</v>
      </c>
      <c r="B9" s="302">
        <f t="shared" si="14"/>
        <v>0.2544529262086514</v>
      </c>
      <c r="C9" s="302">
        <f t="shared" si="15"/>
        <v>58.938547486033521</v>
      </c>
      <c r="D9" s="303" t="s">
        <v>262</v>
      </c>
      <c r="E9" s="303">
        <f t="shared" si="16"/>
        <v>0</v>
      </c>
      <c r="F9" s="303">
        <f t="shared" si="17"/>
        <v>1</v>
      </c>
      <c r="G9" s="303">
        <f t="shared" si="18"/>
        <v>54</v>
      </c>
      <c r="H9" s="303">
        <f t="shared" si="19"/>
        <v>64</v>
      </c>
      <c r="I9" s="309" t="str">
        <f t="shared" si="20"/>
        <v>0 - 1</v>
      </c>
      <c r="J9" s="305" t="str">
        <f t="shared" si="21"/>
        <v>54 - 64</v>
      </c>
      <c r="K9" s="306">
        <f t="shared" si="22"/>
        <v>58.684094559824871</v>
      </c>
      <c r="L9" s="307">
        <f t="shared" si="23"/>
        <v>0.51596512475813561</v>
      </c>
      <c r="M9" s="307">
        <f t="shared" si="24"/>
        <v>0.65771676643836186</v>
      </c>
      <c r="N9" s="308">
        <f t="shared" si="25"/>
        <v>1</v>
      </c>
      <c r="O9" s="301" t="str">
        <f t="shared" si="26"/>
        <v>Highland</v>
      </c>
      <c r="P9" s="301" t="s">
        <v>36</v>
      </c>
      <c r="Q9" s="403">
        <f>'Chart 1c DATA (final diag)'!Q4+'Chart 1c DATA (final diag)'!Q7+'Chart 1c DATA (final diag)'!Q14+'Chart 1c DATA (final diag)'!Q25</f>
        <v>1</v>
      </c>
      <c r="R9" s="403">
        <f>'Chart 1c DATA (final diag)'!R4+'Chart 1c DATA (final diag)'!R7+'Chart 1c DATA (final diag)'!R14+'Chart 1c DATA (final diag)'!R25</f>
        <v>393</v>
      </c>
      <c r="S9" s="403">
        <f>'Chart 1c DATA (final diag)'!S4+'Chart 1c DATA (final diag)'!S7+'Chart 1c DATA (final diag)'!S14+'Chart 1c DATA (final diag)'!S25</f>
        <v>211</v>
      </c>
      <c r="T9" s="403">
        <f>'Chart 1c DATA (final diag)'!T4+'Chart 1c DATA (final diag)'!T7+'Chart 1c DATA (final diag)'!T14+'Chart 1c DATA (final diag)'!T25</f>
        <v>358</v>
      </c>
    </row>
    <row r="10" spans="1:20">
      <c r="A10" s="301" t="str">
        <f t="shared" si="13"/>
        <v>Lothian</v>
      </c>
      <c r="B10" s="302">
        <f t="shared" si="14"/>
        <v>0.73394495412844041</v>
      </c>
      <c r="C10" s="302">
        <f t="shared" si="15"/>
        <v>57.553956834532372</v>
      </c>
      <c r="D10" s="303" t="s">
        <v>262</v>
      </c>
      <c r="E10" s="303">
        <f t="shared" si="16"/>
        <v>0</v>
      </c>
      <c r="F10" s="303">
        <f t="shared" si="17"/>
        <v>1</v>
      </c>
      <c r="G10" s="303">
        <f t="shared" si="18"/>
        <v>55</v>
      </c>
      <c r="H10" s="303">
        <f t="shared" si="19"/>
        <v>60</v>
      </c>
      <c r="I10" s="309" t="str">
        <f t="shared" si="20"/>
        <v>0 - 1</v>
      </c>
      <c r="J10" s="305" t="str">
        <f t="shared" si="21"/>
        <v>55 - 60</v>
      </c>
      <c r="K10" s="306">
        <f t="shared" si="22"/>
        <v>56.820011880403932</v>
      </c>
      <c r="L10" s="307">
        <f t="shared" si="23"/>
        <v>0.52738039213900056</v>
      </c>
      <c r="M10" s="307">
        <f t="shared" si="24"/>
        <v>0.60901984546907806</v>
      </c>
      <c r="N10" s="308">
        <f t="shared" si="25"/>
        <v>1</v>
      </c>
      <c r="O10" s="301" t="str">
        <f t="shared" si="26"/>
        <v>Lothian</v>
      </c>
      <c r="P10" s="301" t="s">
        <v>38</v>
      </c>
      <c r="Q10" s="403">
        <f>'Chart 1c DATA (final diag)'!Q16+'Chart 1c DATA (final diag)'!Q18+'Chart 1c DATA (final diag)'!Q27</f>
        <v>8</v>
      </c>
      <c r="R10" s="403">
        <f>'Chart 1c DATA (final diag)'!R16+'Chart 1c DATA (final diag)'!R18+'Chart 1c DATA (final diag)'!R27</f>
        <v>1090</v>
      </c>
      <c r="S10" s="403">
        <f>'Chart 1c DATA (final diag)'!S16+'Chart 1c DATA (final diag)'!S18+'Chart 1c DATA (final diag)'!S27</f>
        <v>640</v>
      </c>
      <c r="T10" s="403">
        <f>'Chart 1c DATA (final diag)'!T16+'Chart 1c DATA (final diag)'!T18+'Chart 1c DATA (final diag)'!T27</f>
        <v>1112</v>
      </c>
    </row>
    <row r="11" spans="1:20">
      <c r="A11" s="301" t="str">
        <f t="shared" si="13"/>
        <v>Lanarkshire</v>
      </c>
      <c r="B11" s="302">
        <f t="shared" si="14"/>
        <v>0.27173913043478259</v>
      </c>
      <c r="C11" s="302">
        <f t="shared" si="15"/>
        <v>57.002801120448176</v>
      </c>
      <c r="D11" s="303" t="s">
        <v>262</v>
      </c>
      <c r="E11" s="303">
        <f t="shared" si="16"/>
        <v>0</v>
      </c>
      <c r="F11" s="303">
        <f t="shared" si="17"/>
        <v>1</v>
      </c>
      <c r="G11" s="303">
        <f t="shared" si="18"/>
        <v>53</v>
      </c>
      <c r="H11" s="303">
        <f t="shared" si="19"/>
        <v>61</v>
      </c>
      <c r="I11" s="309" t="str">
        <f t="shared" si="20"/>
        <v>0 - 1</v>
      </c>
      <c r="J11" s="305" t="str">
        <f t="shared" si="21"/>
        <v>53 - 61</v>
      </c>
      <c r="K11" s="306">
        <f t="shared" si="22"/>
        <v>56.731061990013394</v>
      </c>
      <c r="L11" s="307">
        <f t="shared" si="23"/>
        <v>0.51677542070306015</v>
      </c>
      <c r="M11" s="307">
        <f t="shared" si="24"/>
        <v>0.61784581909720782</v>
      </c>
      <c r="N11" s="308">
        <f t="shared" si="25"/>
        <v>1</v>
      </c>
      <c r="O11" s="301" t="str">
        <f t="shared" si="26"/>
        <v>Lanarkshire</v>
      </c>
      <c r="P11" s="301" t="s">
        <v>29</v>
      </c>
      <c r="Q11" s="403">
        <f>'Chart 1c DATA (final diag)'!Q10+'Chart 1c DATA (final diag)'!Q22+'Chart 1c DATA (final diag)'!Q26</f>
        <v>2</v>
      </c>
      <c r="R11" s="403">
        <f>'Chart 1c DATA (final diag)'!R10+'Chart 1c DATA (final diag)'!R22+'Chart 1c DATA (final diag)'!R26</f>
        <v>736</v>
      </c>
      <c r="S11" s="403">
        <f>'Chart 1c DATA (final diag)'!S10+'Chart 1c DATA (final diag)'!S22+'Chart 1c DATA (final diag)'!S26</f>
        <v>407</v>
      </c>
      <c r="T11" s="403">
        <f>'Chart 1c DATA (final diag)'!T10+'Chart 1c DATA (final diag)'!T22+'Chart 1c DATA (final diag)'!T26</f>
        <v>714</v>
      </c>
    </row>
    <row r="12" spans="1:20">
      <c r="A12" s="301" t="str">
        <f t="shared" si="13"/>
        <v>Tayside</v>
      </c>
      <c r="B12" s="302">
        <f t="shared" si="14"/>
        <v>0.40816326530612246</v>
      </c>
      <c r="C12" s="302">
        <f t="shared" si="15"/>
        <v>56.830601092896174</v>
      </c>
      <c r="D12" s="303" t="s">
        <v>262</v>
      </c>
      <c r="E12" s="303">
        <f t="shared" si="16"/>
        <v>0</v>
      </c>
      <c r="F12" s="303">
        <f t="shared" si="17"/>
        <v>1</v>
      </c>
      <c r="G12" s="303">
        <f t="shared" si="18"/>
        <v>53</v>
      </c>
      <c r="H12" s="303">
        <f t="shared" si="19"/>
        <v>61</v>
      </c>
      <c r="I12" s="309" t="str">
        <f t="shared" si="20"/>
        <v>0 - 1</v>
      </c>
      <c r="J12" s="305" t="str">
        <f t="shared" si="21"/>
        <v>53 - 61</v>
      </c>
      <c r="K12" s="306">
        <f t="shared" si="22"/>
        <v>56.422437827590052</v>
      </c>
      <c r="L12" s="307">
        <f t="shared" si="23"/>
        <v>0.50634214862824423</v>
      </c>
      <c r="M12" s="307">
        <f t="shared" si="24"/>
        <v>0.62210660792355665</v>
      </c>
      <c r="N12" s="308">
        <f t="shared" si="25"/>
        <v>1</v>
      </c>
      <c r="O12" s="301" t="str">
        <f t="shared" si="26"/>
        <v>Tayside</v>
      </c>
      <c r="P12" s="301" t="s">
        <v>32</v>
      </c>
      <c r="Q12" s="403">
        <f>'Chart 1c DATA (final diag)'!Q17+'Chart 1c DATA (final diag)'!Q24</f>
        <v>2</v>
      </c>
      <c r="R12" s="403">
        <f>'Chart 1c DATA (final diag)'!R17+'Chart 1c DATA (final diag)'!R24</f>
        <v>490</v>
      </c>
      <c r="S12" s="403">
        <f>'Chart 1c DATA (final diag)'!S17+'Chart 1c DATA (final diag)'!S24</f>
        <v>312</v>
      </c>
      <c r="T12" s="403">
        <f>'Chart 1c DATA (final diag)'!T17+'Chart 1c DATA (final diag)'!T24</f>
        <v>549</v>
      </c>
    </row>
    <row r="13" spans="1:20">
      <c r="A13" s="301" t="str">
        <f t="shared" si="13"/>
        <v>Greater Glasgow &amp; Clyde</v>
      </c>
      <c r="B13" s="302">
        <f t="shared" si="14"/>
        <v>0.69970845481049559</v>
      </c>
      <c r="C13" s="302">
        <f t="shared" si="15"/>
        <v>56.298773690078043</v>
      </c>
      <c r="D13" s="303" t="s">
        <v>262</v>
      </c>
      <c r="E13" s="303">
        <f t="shared" si="16"/>
        <v>0</v>
      </c>
      <c r="F13" s="303">
        <f t="shared" si="17"/>
        <v>1</v>
      </c>
      <c r="G13" s="303">
        <f t="shared" si="18"/>
        <v>54</v>
      </c>
      <c r="H13" s="303">
        <f t="shared" si="19"/>
        <v>59</v>
      </c>
      <c r="I13" s="309" t="str">
        <f t="shared" si="20"/>
        <v>0 - 1</v>
      </c>
      <c r="J13" s="305" t="str">
        <f t="shared" si="21"/>
        <v>54 - 59</v>
      </c>
      <c r="K13" s="306">
        <f t="shared" si="22"/>
        <v>55.599065235267545</v>
      </c>
      <c r="L13" s="307">
        <f t="shared" si="23"/>
        <v>0.52375287429111961</v>
      </c>
      <c r="M13" s="307">
        <f t="shared" si="24"/>
        <v>0.58822843041423123</v>
      </c>
      <c r="N13" s="308">
        <f t="shared" si="25"/>
        <v>1</v>
      </c>
      <c r="O13" s="301" t="str">
        <f t="shared" si="26"/>
        <v>Greater Glasgow &amp; Clyde</v>
      </c>
      <c r="P13" s="301" t="s">
        <v>40</v>
      </c>
      <c r="Q13" s="403">
        <f>'Chart 1c DATA (final diag)'!Q12+'Chart 1c DATA (final diag)'!Q15+'Chart 1c DATA (final diag)'!Q19+'Chart 1c DATA (final diag)'!Q21</f>
        <v>12</v>
      </c>
      <c r="R13" s="403">
        <f>'Chart 1c DATA (final diag)'!R12+'Chart 1c DATA (final diag)'!R15+'Chart 1c DATA (final diag)'!R19+'Chart 1c DATA (final diag)'!R21</f>
        <v>1715</v>
      </c>
      <c r="S13" s="403">
        <f>'Chart 1c DATA (final diag)'!S12+'Chart 1c DATA (final diag)'!S15+'Chart 1c DATA (final diag)'!S19+'Chart 1c DATA (final diag)'!S21</f>
        <v>1010</v>
      </c>
      <c r="T13" s="403">
        <f>'Chart 1c DATA (final diag)'!T12+'Chart 1c DATA (final diag)'!T15+'Chart 1c DATA (final diag)'!T19+'Chart 1c DATA (final diag)'!T21</f>
        <v>1794</v>
      </c>
    </row>
    <row r="14" spans="1:20">
      <c r="A14" s="301" t="str">
        <f t="shared" si="13"/>
        <v>Shetland*</v>
      </c>
      <c r="B14" s="302">
        <f t="shared" si="14"/>
        <v>0</v>
      </c>
      <c r="C14" s="302">
        <f t="shared" si="15"/>
        <v>53.333333333333336</v>
      </c>
      <c r="D14" s="303" t="s">
        <v>262</v>
      </c>
      <c r="E14" s="303">
        <f t="shared" si="16"/>
        <v>0</v>
      </c>
      <c r="F14" s="303">
        <f t="shared" si="17"/>
        <v>11</v>
      </c>
      <c r="G14" s="303">
        <f t="shared" si="18"/>
        <v>36</v>
      </c>
      <c r="H14" s="303">
        <f t="shared" si="19"/>
        <v>70</v>
      </c>
      <c r="I14" s="309" t="str">
        <f t="shared" si="20"/>
        <v>0 - 11</v>
      </c>
      <c r="J14" s="305" t="str">
        <f t="shared" si="21"/>
        <v>36 - 70</v>
      </c>
      <c r="K14" s="306">
        <f t="shared" si="22"/>
        <v>53.333333333333336</v>
      </c>
      <c r="L14" s="307">
        <f t="shared" si="23"/>
        <v>0.28621769665178998</v>
      </c>
      <c r="M14" s="307">
        <f t="shared" si="24"/>
        <v>0.78044897001487668</v>
      </c>
      <c r="N14" s="308">
        <f t="shared" si="25"/>
        <v>1</v>
      </c>
      <c r="O14" s="301" t="str">
        <f t="shared" si="26"/>
        <v>Shetland</v>
      </c>
      <c r="P14" s="301" t="s">
        <v>39</v>
      </c>
      <c r="Q14" s="403">
        <f>'Chart 1c DATA (final diag)'!Q23</f>
        <v>0</v>
      </c>
      <c r="R14" s="403">
        <f>'Chart 1c DATA (final diag)'!R23</f>
        <v>30</v>
      </c>
      <c r="S14" s="403">
        <f>'Chart 1c DATA (final diag)'!S23</f>
        <v>16</v>
      </c>
      <c r="T14" s="403">
        <f>'Chart 1c DATA (final diag)'!T23</f>
        <v>30</v>
      </c>
    </row>
    <row r="15" spans="1:20">
      <c r="A15" s="301" t="str">
        <f t="shared" si="13"/>
        <v>Dumfries &amp; Galloway*</v>
      </c>
      <c r="B15" s="302">
        <f t="shared" si="14"/>
        <v>0</v>
      </c>
      <c r="C15" s="302">
        <f t="shared" si="15"/>
        <v>53.296703296703299</v>
      </c>
      <c r="D15" s="303" t="s">
        <v>262</v>
      </c>
      <c r="E15" s="303">
        <f t="shared" si="16"/>
        <v>0</v>
      </c>
      <c r="F15" s="303">
        <f t="shared" si="17"/>
        <v>2</v>
      </c>
      <c r="G15" s="303">
        <f t="shared" si="18"/>
        <v>46</v>
      </c>
      <c r="H15" s="303">
        <f t="shared" si="19"/>
        <v>60</v>
      </c>
      <c r="I15" s="309" t="str">
        <f t="shared" si="20"/>
        <v>0 - 2</v>
      </c>
      <c r="J15" s="305" t="str">
        <f t="shared" si="21"/>
        <v>46 - 60</v>
      </c>
      <c r="K15" s="306">
        <f t="shared" si="22"/>
        <v>53.296703296703299</v>
      </c>
      <c r="L15" s="307">
        <f t="shared" si="23"/>
        <v>0.43263344386943126</v>
      </c>
      <c r="M15" s="307">
        <f t="shared" si="24"/>
        <v>0.63330062206463467</v>
      </c>
      <c r="N15" s="308">
        <f t="shared" si="25"/>
        <v>1</v>
      </c>
      <c r="O15" s="301" t="str">
        <f t="shared" si="26"/>
        <v>Dumfries &amp; Galloway</v>
      </c>
      <c r="P15" s="301" t="s">
        <v>31</v>
      </c>
      <c r="Q15" s="403">
        <f>'Chart 1c DATA (final diag)'!Q20+'Chart 1c DATA (final diag)'!Q28</f>
        <v>0</v>
      </c>
      <c r="R15" s="403">
        <f>'Chart 1c DATA (final diag)'!R20+'Chart 1c DATA (final diag)'!R28</f>
        <v>217</v>
      </c>
      <c r="S15" s="403">
        <f>'Chart 1c DATA (final diag)'!S20+'Chart 1c DATA (final diag)'!S28</f>
        <v>97</v>
      </c>
      <c r="T15" s="403">
        <f>'Chart 1c DATA (final diag)'!T20+'Chart 1c DATA (final diag)'!T28</f>
        <v>182</v>
      </c>
    </row>
    <row r="16" spans="1:20">
      <c r="A16" s="301" t="str">
        <f t="shared" si="13"/>
        <v>Western Isles*</v>
      </c>
      <c r="B16" s="302">
        <f t="shared" si="14"/>
        <v>0</v>
      </c>
      <c r="C16" s="302">
        <f t="shared" si="15"/>
        <v>43.478260869565219</v>
      </c>
      <c r="D16" s="303" t="s">
        <v>262</v>
      </c>
      <c r="E16" s="303">
        <f t="shared" si="16"/>
        <v>0</v>
      </c>
      <c r="F16" s="303">
        <f t="shared" si="17"/>
        <v>13</v>
      </c>
      <c r="G16" s="303">
        <f t="shared" si="18"/>
        <v>26</v>
      </c>
      <c r="H16" s="303">
        <f t="shared" si="19"/>
        <v>63</v>
      </c>
      <c r="I16" s="309" t="str">
        <f t="shared" si="20"/>
        <v>0 - 13</v>
      </c>
      <c r="J16" s="305" t="str">
        <f t="shared" si="21"/>
        <v>26 - 63</v>
      </c>
      <c r="K16" s="306">
        <f t="shared" si="22"/>
        <v>43.478260869565219</v>
      </c>
      <c r="L16" s="307">
        <f t="shared" si="23"/>
        <v>0.15434385908040271</v>
      </c>
      <c r="M16" s="307">
        <f t="shared" si="24"/>
        <v>0.71522135831090161</v>
      </c>
      <c r="N16" s="308">
        <f t="shared" si="25"/>
        <v>1</v>
      </c>
      <c r="O16" s="301" t="str">
        <f t="shared" si="26"/>
        <v>Western Isles</v>
      </c>
      <c r="P16" s="301" t="s">
        <v>37</v>
      </c>
      <c r="Q16" s="403">
        <f>'Chart 1c DATA (final diag)'!Q29</f>
        <v>0</v>
      </c>
      <c r="R16" s="403">
        <f>'Chart 1c DATA (final diag)'!R29+'Chart 1c DATA (final diag)'!R32</f>
        <v>26</v>
      </c>
      <c r="S16" s="403">
        <f>'Chart 1c DATA (final diag)'!S29</f>
        <v>10</v>
      </c>
      <c r="T16" s="403">
        <f>'Chart 1c DATA (final diag)'!T29</f>
        <v>23</v>
      </c>
    </row>
    <row r="17" spans="1:20">
      <c r="A17" s="301" t="str">
        <f t="shared" si="13"/>
        <v>Orkney*</v>
      </c>
      <c r="B17" s="302">
        <f t="shared" si="14"/>
        <v>0</v>
      </c>
      <c r="C17" s="302">
        <f t="shared" si="15"/>
        <v>42.307692307692307</v>
      </c>
      <c r="D17" s="303" t="s">
        <v>262</v>
      </c>
      <c r="E17" s="303">
        <f t="shared" si="16"/>
        <v>0</v>
      </c>
      <c r="F17" s="303">
        <f t="shared" si="17"/>
        <v>12</v>
      </c>
      <c r="G17" s="303">
        <f t="shared" si="18"/>
        <v>26</v>
      </c>
      <c r="H17" s="303">
        <f t="shared" si="19"/>
        <v>61</v>
      </c>
      <c r="I17" s="309" t="str">
        <f t="shared" si="20"/>
        <v>0 - 12</v>
      </c>
      <c r="J17" s="305" t="str">
        <f t="shared" si="21"/>
        <v>26 - 61</v>
      </c>
      <c r="K17" s="306">
        <f t="shared" si="22"/>
        <v>42.307692307692307</v>
      </c>
      <c r="L17" s="307">
        <f t="shared" si="23"/>
        <v>0.16020751325503807</v>
      </c>
      <c r="M17" s="307">
        <f t="shared" si="24"/>
        <v>0.68594633289880802</v>
      </c>
      <c r="N17" s="308">
        <f t="shared" si="25"/>
        <v>1</v>
      </c>
      <c r="O17" s="301" t="str">
        <f t="shared" si="26"/>
        <v>Orkney</v>
      </c>
      <c r="P17" s="301" t="s">
        <v>41</v>
      </c>
      <c r="Q17" s="403">
        <f>'Chart 1c DATA (final diag)'!Q30</f>
        <v>0</v>
      </c>
      <c r="R17" s="403">
        <f>'Chart 1c DATA (final diag)'!R30</f>
        <v>27</v>
      </c>
      <c r="S17" s="403">
        <f>'Chart 1c DATA (final diag)'!S30</f>
        <v>11</v>
      </c>
      <c r="T17" s="403">
        <f>'Chart 1c DATA (final diag)'!T30</f>
        <v>26</v>
      </c>
    </row>
    <row r="19" spans="1:20">
      <c r="C19" s="310"/>
    </row>
    <row r="21" spans="1:20">
      <c r="C21" s="310" t="s">
        <v>746</v>
      </c>
    </row>
  </sheetData>
  <sheetProtection password="B8D9" sheet="1" objects="1" scenarios="1"/>
  <sortState ref="A4:T17">
    <sortCondition descending="1" ref="C4:C17"/>
  </sortState>
  <mergeCells count="7">
    <mergeCell ref="A1:A2"/>
    <mergeCell ref="B1:H1"/>
    <mergeCell ref="O1:P1"/>
    <mergeCell ref="Q1:R1"/>
    <mergeCell ref="S1:T1"/>
    <mergeCell ref="E2:F2"/>
    <mergeCell ref="G2:H2"/>
  </mergeCells>
  <pageMargins left="0.70866141732283472" right="0.70866141732283472" top="0.74803149606299213" bottom="0.74803149606299213" header="0.31496062992125984" footer="0.31496062992125984"/>
  <pageSetup paperSize="9" scale="51"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19.xml><?xml version="1.0" encoding="utf-8"?>
<worksheet xmlns="http://schemas.openxmlformats.org/spreadsheetml/2006/main" xmlns:r="http://schemas.openxmlformats.org/officeDocument/2006/relationships">
  <sheetPr codeName="Sheet4">
    <pageSetUpPr fitToPage="1"/>
  </sheetPr>
  <dimension ref="A1:T48"/>
  <sheetViews>
    <sheetView workbookViewId="0"/>
  </sheetViews>
  <sheetFormatPr defaultRowHeight="12.75"/>
  <cols>
    <col min="1" max="1" width="1.7109375" style="2" customWidth="1"/>
    <col min="2" max="16384" width="9.140625" style="2"/>
  </cols>
  <sheetData>
    <row r="1" spans="1:20" ht="12.75" customHeight="1">
      <c r="A1" s="1"/>
      <c r="B1" s="969" t="s">
        <v>751</v>
      </c>
      <c r="C1" s="969"/>
      <c r="D1" s="969"/>
      <c r="E1" s="969"/>
      <c r="F1" s="969"/>
      <c r="G1" s="969"/>
      <c r="H1" s="969"/>
      <c r="I1" s="969"/>
      <c r="J1" s="969"/>
      <c r="K1" s="969"/>
      <c r="L1" s="969"/>
      <c r="M1" s="969"/>
      <c r="P1" s="985" t="s">
        <v>45</v>
      </c>
      <c r="Q1" s="985"/>
    </row>
    <row r="2" spans="1:20">
      <c r="B2" s="969"/>
      <c r="C2" s="969"/>
      <c r="D2" s="969"/>
      <c r="E2" s="969"/>
      <c r="F2" s="969"/>
      <c r="G2" s="969"/>
      <c r="H2" s="969"/>
      <c r="I2" s="969"/>
      <c r="J2" s="969"/>
      <c r="K2" s="969"/>
      <c r="L2" s="969"/>
      <c r="M2" s="969"/>
      <c r="P2" s="985"/>
      <c r="Q2" s="985"/>
    </row>
    <row r="3" spans="1:20">
      <c r="B3" s="969"/>
      <c r="C3" s="969"/>
      <c r="D3" s="969"/>
      <c r="E3" s="969"/>
      <c r="F3" s="969"/>
      <c r="G3" s="969"/>
      <c r="H3" s="969"/>
      <c r="I3" s="969"/>
      <c r="J3" s="969"/>
      <c r="K3" s="969"/>
      <c r="L3" s="969"/>
      <c r="M3" s="969"/>
      <c r="P3" s="985"/>
      <c r="Q3" s="985"/>
    </row>
    <row r="4" spans="1:20" s="784" customFormat="1" ht="12.75" customHeight="1">
      <c r="B4" s="996" t="s">
        <v>748</v>
      </c>
      <c r="C4" s="996"/>
      <c r="D4" s="996"/>
      <c r="E4" s="996"/>
      <c r="F4" s="996"/>
      <c r="G4" s="996"/>
      <c r="H4" s="996"/>
      <c r="I4" s="996"/>
      <c r="J4" s="996"/>
      <c r="K4" s="996"/>
      <c r="L4" s="996"/>
      <c r="M4" s="996"/>
      <c r="N4" s="996"/>
      <c r="O4" s="780"/>
    </row>
    <row r="5" spans="1:20" s="784" customFormat="1">
      <c r="B5" s="996"/>
      <c r="C5" s="996"/>
      <c r="D5" s="996"/>
      <c r="E5" s="996"/>
      <c r="F5" s="996"/>
      <c r="G5" s="996"/>
      <c r="H5" s="996"/>
      <c r="I5" s="996"/>
      <c r="J5" s="996"/>
      <c r="K5" s="996"/>
      <c r="L5" s="996"/>
      <c r="M5" s="996"/>
      <c r="N5" s="996"/>
      <c r="O5" s="780"/>
    </row>
    <row r="6" spans="1:20">
      <c r="B6" s="999" t="s">
        <v>793</v>
      </c>
      <c r="C6" s="999"/>
      <c r="D6" s="999"/>
      <c r="E6" s="999"/>
      <c r="F6" s="999"/>
      <c r="G6" s="999"/>
      <c r="H6" s="999"/>
      <c r="I6" s="999"/>
      <c r="J6" s="999"/>
      <c r="K6" s="999"/>
      <c r="L6" s="999"/>
      <c r="M6" s="999"/>
      <c r="N6" s="999"/>
      <c r="P6" s="987" t="s">
        <v>411</v>
      </c>
      <c r="Q6" s="987"/>
    </row>
    <row r="7" spans="1:20" s="814" customFormat="1">
      <c r="B7" s="999"/>
      <c r="C7" s="999"/>
      <c r="D7" s="999"/>
      <c r="E7" s="999"/>
      <c r="F7" s="999"/>
      <c r="G7" s="999"/>
      <c r="H7" s="999"/>
      <c r="I7" s="999"/>
      <c r="J7" s="999"/>
      <c r="K7" s="999"/>
      <c r="L7" s="999"/>
      <c r="M7" s="999"/>
      <c r="N7" s="999"/>
      <c r="P7" s="813"/>
      <c r="Q7" s="813"/>
    </row>
    <row r="8" spans="1:20">
      <c r="B8" s="821"/>
      <c r="C8" s="821"/>
      <c r="D8" s="821"/>
      <c r="E8" s="821"/>
      <c r="F8" s="821"/>
      <c r="G8" s="821"/>
      <c r="H8" s="821"/>
      <c r="I8" s="821"/>
      <c r="J8" s="821"/>
      <c r="K8" s="821"/>
      <c r="L8" s="821"/>
      <c r="M8" s="821"/>
      <c r="N8" s="821"/>
    </row>
    <row r="15" spans="1:20">
      <c r="O15" s="51"/>
      <c r="P15" s="51"/>
      <c r="Q15" s="51"/>
      <c r="R15" s="51"/>
      <c r="S15" s="51"/>
    </row>
    <row r="16" spans="1:20" ht="15">
      <c r="O16" s="819"/>
      <c r="P16" s="820"/>
      <c r="Q16" s="819"/>
      <c r="R16" s="819"/>
      <c r="S16" s="819"/>
      <c r="T16"/>
    </row>
    <row r="17" spans="15:20" ht="15">
      <c r="O17" s="819"/>
      <c r="P17" s="820"/>
      <c r="Q17" s="819"/>
      <c r="R17" s="819"/>
      <c r="S17" s="819"/>
      <c r="T17"/>
    </row>
    <row r="18" spans="15:20" ht="15">
      <c r="O18" s="819"/>
      <c r="P18" s="820"/>
      <c r="Q18" s="819"/>
      <c r="R18" s="819"/>
      <c r="S18" s="819"/>
      <c r="T18"/>
    </row>
    <row r="19" spans="15:20" ht="15">
      <c r="O19" s="819"/>
      <c r="P19" s="820"/>
      <c r="Q19" s="819"/>
      <c r="R19" s="819"/>
      <c r="S19" s="819"/>
      <c r="T19"/>
    </row>
    <row r="20" spans="15:20" ht="15">
      <c r="O20" s="819"/>
      <c r="P20" s="820"/>
      <c r="Q20" s="819"/>
      <c r="R20" s="819"/>
      <c r="S20" s="819"/>
      <c r="T20"/>
    </row>
    <row r="21" spans="15:20">
      <c r="P21" s="783"/>
    </row>
    <row r="22" spans="15:20">
      <c r="P22" s="783"/>
    </row>
    <row r="23" spans="15:20">
      <c r="P23" s="783"/>
    </row>
    <row r="24" spans="15:20">
      <c r="P24" s="783"/>
    </row>
    <row r="34" spans="2:14" ht="15">
      <c r="B34" s="311" t="s">
        <v>397</v>
      </c>
      <c r="C34" s="203"/>
      <c r="D34" s="204"/>
      <c r="E34" s="204"/>
      <c r="F34" s="204"/>
      <c r="G34" s="204"/>
      <c r="H34" s="204"/>
      <c r="I34" s="204"/>
      <c r="J34" s="203"/>
    </row>
    <row r="35" spans="2:14" ht="24" customHeight="1">
      <c r="B35" s="997" t="s">
        <v>294</v>
      </c>
      <c r="C35" s="997"/>
      <c r="D35" s="997"/>
      <c r="E35" s="997"/>
      <c r="F35" s="997"/>
      <c r="G35" s="997"/>
      <c r="H35" s="997"/>
      <c r="I35" s="997"/>
      <c r="J35" s="997"/>
      <c r="K35" s="997"/>
      <c r="L35" s="997"/>
      <c r="M35" s="997"/>
      <c r="N35" s="997"/>
    </row>
    <row r="36" spans="2:14" ht="12.75" customHeight="1">
      <c r="B36" s="312"/>
      <c r="C36" s="312"/>
      <c r="D36" s="312"/>
      <c r="E36" s="312"/>
      <c r="F36" s="312"/>
      <c r="G36" s="312"/>
      <c r="H36" s="312"/>
      <c r="I36" s="312"/>
      <c r="J36" s="312"/>
      <c r="K36" s="312"/>
      <c r="L36" s="312"/>
      <c r="M36" s="312"/>
      <c r="N36" s="312"/>
    </row>
    <row r="37" spans="2:14" ht="33" customHeight="1">
      <c r="B37" s="998" t="s">
        <v>295</v>
      </c>
      <c r="C37" s="998"/>
      <c r="D37" s="998"/>
      <c r="E37" s="998"/>
      <c r="F37" s="998"/>
      <c r="G37" s="998"/>
      <c r="H37" s="998"/>
      <c r="I37" s="998"/>
      <c r="J37" s="998"/>
      <c r="K37" s="998"/>
      <c r="L37" s="998"/>
      <c r="M37" s="998"/>
      <c r="N37" s="998"/>
    </row>
    <row r="38" spans="2:14" ht="12.75" customHeight="1">
      <c r="B38" s="313"/>
      <c r="C38" s="313"/>
      <c r="D38" s="313"/>
      <c r="E38" s="313"/>
      <c r="F38" s="313"/>
      <c r="G38" s="313"/>
      <c r="H38" s="313"/>
      <c r="I38" s="313"/>
      <c r="J38" s="313"/>
      <c r="K38" s="313"/>
      <c r="L38" s="313"/>
      <c r="M38" s="313"/>
      <c r="N38" s="313"/>
    </row>
    <row r="39" spans="2:14" ht="33.75" customHeight="1">
      <c r="B39" s="997" t="s">
        <v>296</v>
      </c>
      <c r="C39" s="997"/>
      <c r="D39" s="997"/>
      <c r="E39" s="997"/>
      <c r="F39" s="997"/>
      <c r="G39" s="997"/>
      <c r="H39" s="997"/>
      <c r="I39" s="997"/>
      <c r="J39" s="997"/>
      <c r="K39" s="997"/>
      <c r="L39" s="997"/>
      <c r="M39" s="997"/>
      <c r="N39" s="997"/>
    </row>
    <row r="40" spans="2:14" ht="12.75" customHeight="1">
      <c r="B40" s="312"/>
      <c r="C40" s="312"/>
      <c r="D40" s="312"/>
      <c r="E40" s="312"/>
      <c r="F40" s="312"/>
      <c r="G40" s="312"/>
      <c r="H40" s="312"/>
      <c r="I40" s="312"/>
      <c r="J40" s="312"/>
      <c r="K40" s="312"/>
      <c r="L40" s="312"/>
      <c r="M40" s="312"/>
      <c r="N40" s="312"/>
    </row>
    <row r="41" spans="2:14" ht="22.5" customHeight="1">
      <c r="B41" s="997" t="s">
        <v>297</v>
      </c>
      <c r="C41" s="997"/>
      <c r="D41" s="997"/>
      <c r="E41" s="997"/>
      <c r="F41" s="997"/>
      <c r="G41" s="997"/>
      <c r="H41" s="997"/>
      <c r="I41" s="997"/>
      <c r="J41" s="997"/>
      <c r="K41" s="997"/>
      <c r="L41" s="997"/>
      <c r="M41" s="997"/>
      <c r="N41" s="997"/>
    </row>
    <row r="42" spans="2:14" ht="12.75" customHeight="1">
      <c r="B42" s="312"/>
      <c r="C42" s="312"/>
      <c r="D42" s="312"/>
      <c r="E42" s="312"/>
      <c r="F42" s="312"/>
      <c r="G42" s="312"/>
      <c r="H42" s="312"/>
      <c r="I42" s="312"/>
      <c r="J42" s="312"/>
      <c r="K42" s="312"/>
      <c r="L42" s="312"/>
      <c r="M42" s="312"/>
      <c r="N42" s="312"/>
    </row>
    <row r="43" spans="2:14" ht="33.75" customHeight="1">
      <c r="B43" s="997" t="s">
        <v>298</v>
      </c>
      <c r="C43" s="997"/>
      <c r="D43" s="997"/>
      <c r="E43" s="997"/>
      <c r="F43" s="997"/>
      <c r="G43" s="997"/>
      <c r="H43" s="997"/>
      <c r="I43" s="997"/>
      <c r="J43" s="997"/>
      <c r="K43" s="997"/>
      <c r="L43" s="997"/>
      <c r="M43" s="997"/>
      <c r="N43" s="997"/>
    </row>
    <row r="44" spans="2:14" ht="12.75" customHeight="1">
      <c r="B44" s="312"/>
      <c r="C44" s="312"/>
      <c r="D44" s="312"/>
      <c r="E44" s="312"/>
      <c r="F44" s="312"/>
      <c r="G44" s="312"/>
      <c r="H44" s="312"/>
      <c r="I44" s="312"/>
      <c r="J44" s="312"/>
      <c r="K44" s="312"/>
      <c r="L44" s="312"/>
      <c r="M44" s="312"/>
      <c r="N44" s="312"/>
    </row>
    <row r="45" spans="2:14" ht="23.25" customHeight="1">
      <c r="B45" s="997" t="s">
        <v>749</v>
      </c>
      <c r="C45" s="997"/>
      <c r="D45" s="997"/>
      <c r="E45" s="997"/>
      <c r="F45" s="997"/>
      <c r="G45" s="997"/>
      <c r="H45" s="997"/>
      <c r="I45" s="997"/>
      <c r="J45" s="997"/>
      <c r="K45" s="997"/>
      <c r="L45" s="997"/>
      <c r="M45" s="997"/>
      <c r="N45" s="997"/>
    </row>
    <row r="47" spans="2:14">
      <c r="B47" s="205" t="s">
        <v>750</v>
      </c>
    </row>
    <row r="48" spans="2:14">
      <c r="B48" s="205" t="s">
        <v>626</v>
      </c>
    </row>
  </sheetData>
  <sheetProtection password="B8D9" sheet="1" objects="1" scenarios="1"/>
  <mergeCells count="11">
    <mergeCell ref="P6:Q6"/>
    <mergeCell ref="P1:Q3"/>
    <mergeCell ref="B4:N5"/>
    <mergeCell ref="B43:N43"/>
    <mergeCell ref="B45:N45"/>
    <mergeCell ref="B1:M3"/>
    <mergeCell ref="B35:N35"/>
    <mergeCell ref="B37:N37"/>
    <mergeCell ref="B39:N39"/>
    <mergeCell ref="B41:N41"/>
    <mergeCell ref="B6:N7"/>
  </mergeCells>
  <hyperlinks>
    <hyperlink ref="P1" location="'List of Tables &amp; Charts'!A1" display="return to List of Tables &amp; Charts"/>
    <hyperlink ref="P6:Q6" location="'Chart 1c DATA'!A1" display="view Chart 1c data"/>
  </hyperlinks>
  <pageMargins left="0.70866141732283472" right="0.70866141732283472" top="0.74803149606299213" bottom="0.74803149606299213" header="0.31496062992125984" footer="0.31496062992125984"/>
  <pageSetup paperSize="9" scale="70"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2.xml><?xml version="1.0" encoding="utf-8"?>
<worksheet xmlns="http://schemas.openxmlformats.org/spreadsheetml/2006/main" xmlns:r="http://schemas.openxmlformats.org/officeDocument/2006/relationships">
  <sheetPr codeName="Sheet13">
    <pageSetUpPr fitToPage="1"/>
  </sheetPr>
  <dimension ref="B1:S27"/>
  <sheetViews>
    <sheetView workbookViewId="0"/>
  </sheetViews>
  <sheetFormatPr defaultRowHeight="12.75"/>
  <cols>
    <col min="1" max="1" width="1.7109375" style="476" customWidth="1"/>
    <col min="2" max="2" width="34.42578125" style="476" bestFit="1" customWidth="1"/>
    <col min="3" max="4" width="10.7109375" style="477" customWidth="1"/>
    <col min="5" max="7" width="9.140625" style="476"/>
    <col min="8" max="8" width="10.7109375" style="476" customWidth="1"/>
    <col min="9" max="19" width="12.7109375" style="476" customWidth="1"/>
    <col min="20" max="16384" width="9.140625" style="476"/>
  </cols>
  <sheetData>
    <row r="1" spans="2:19" s="326" customFormat="1">
      <c r="B1" s="935" t="s">
        <v>642</v>
      </c>
      <c r="C1" s="935"/>
      <c r="D1" s="935"/>
      <c r="E1" s="935"/>
      <c r="F1" s="935"/>
      <c r="G1" s="935"/>
      <c r="H1" s="935"/>
      <c r="I1" s="935"/>
      <c r="J1" s="935"/>
      <c r="K1" s="935"/>
    </row>
    <row r="2" spans="2:19" s="326" customFormat="1">
      <c r="B2" s="935"/>
      <c r="C2" s="935"/>
      <c r="D2" s="935"/>
      <c r="E2" s="935"/>
      <c r="F2" s="935"/>
      <c r="G2" s="935"/>
      <c r="H2" s="935"/>
      <c r="I2" s="935"/>
      <c r="J2" s="935"/>
      <c r="K2" s="935"/>
    </row>
    <row r="3" spans="2:19" s="326" customFormat="1">
      <c r="B3" s="435" t="s">
        <v>45</v>
      </c>
    </row>
    <row r="4" spans="2:19">
      <c r="B4" s="627" t="s">
        <v>556</v>
      </c>
      <c r="O4" s="478"/>
      <c r="P4" s="478"/>
      <c r="Q4" s="478"/>
      <c r="R4" s="478"/>
      <c r="S4" s="478"/>
    </row>
    <row r="5" spans="2:19">
      <c r="B5" s="627" t="s">
        <v>572</v>
      </c>
      <c r="E5" s="631" t="s">
        <v>571</v>
      </c>
      <c r="O5" s="478"/>
      <c r="P5" s="478"/>
      <c r="Q5" s="478"/>
      <c r="R5" s="478"/>
      <c r="S5" s="478"/>
    </row>
    <row r="6" spans="2:19" ht="20.100000000000001" customHeight="1">
      <c r="B6" s="479"/>
      <c r="C6" s="480"/>
      <c r="D6" s="480"/>
      <c r="E6" s="481"/>
      <c r="F6" s="481"/>
      <c r="G6" s="481"/>
      <c r="H6" s="481"/>
      <c r="I6" s="936" t="s">
        <v>318</v>
      </c>
      <c r="J6" s="937"/>
      <c r="K6" s="937"/>
      <c r="L6" s="937"/>
      <c r="M6" s="937"/>
      <c r="N6" s="938"/>
      <c r="O6" s="936" t="s">
        <v>461</v>
      </c>
      <c r="P6" s="937"/>
      <c r="Q6" s="937"/>
      <c r="R6" s="937"/>
      <c r="S6" s="939"/>
    </row>
    <row r="7" spans="2:19" ht="63.75">
      <c r="B7" s="482" t="s">
        <v>322</v>
      </c>
      <c r="C7" s="483" t="s">
        <v>805</v>
      </c>
      <c r="D7" s="518" t="s">
        <v>527</v>
      </c>
      <c r="E7" s="483" t="s">
        <v>520</v>
      </c>
      <c r="F7" s="483" t="s">
        <v>521</v>
      </c>
      <c r="G7" s="484" t="s">
        <v>522</v>
      </c>
      <c r="H7" s="484" t="s">
        <v>523</v>
      </c>
      <c r="I7" s="484" t="s">
        <v>341</v>
      </c>
      <c r="J7" s="484" t="s">
        <v>340</v>
      </c>
      <c r="K7" s="484" t="s">
        <v>339</v>
      </c>
      <c r="L7" s="484" t="s">
        <v>338</v>
      </c>
      <c r="M7" s="484" t="s">
        <v>337</v>
      </c>
      <c r="N7" s="484" t="s">
        <v>336</v>
      </c>
      <c r="O7" s="484" t="s">
        <v>524</v>
      </c>
      <c r="P7" s="484" t="s">
        <v>464</v>
      </c>
      <c r="Q7" s="484" t="s">
        <v>462</v>
      </c>
      <c r="R7" s="484" t="s">
        <v>463</v>
      </c>
      <c r="S7" s="485" t="s">
        <v>525</v>
      </c>
    </row>
    <row r="8" spans="2:19" ht="20.100000000000001" customHeight="1">
      <c r="B8" s="482"/>
      <c r="C8" s="483"/>
      <c r="D8" s="483"/>
      <c r="E8" s="483"/>
      <c r="F8" s="483"/>
      <c r="G8" s="940" t="s">
        <v>526</v>
      </c>
      <c r="H8" s="941"/>
      <c r="I8" s="941"/>
      <c r="J8" s="941"/>
      <c r="K8" s="941"/>
      <c r="L8" s="941"/>
      <c r="M8" s="941"/>
      <c r="N8" s="941"/>
      <c r="O8" s="941"/>
      <c r="P8" s="941"/>
      <c r="Q8" s="941"/>
      <c r="R8" s="941"/>
      <c r="S8" s="942"/>
    </row>
    <row r="9" spans="2:19" ht="24.95" customHeight="1">
      <c r="B9" s="486" t="s">
        <v>178</v>
      </c>
      <c r="C9" s="487">
        <f>SUM(C11:C24,C26)</f>
        <v>9331</v>
      </c>
      <c r="D9" s="694">
        <f>C9/'Table 4 (2016)'!D6*100000</f>
        <v>172.64603030695505</v>
      </c>
      <c r="E9" s="488">
        <v>70.601956198171379</v>
      </c>
      <c r="F9" s="488">
        <v>75.398876404494388</v>
      </c>
      <c r="G9" s="489">
        <v>50.401886185832169</v>
      </c>
      <c r="H9" s="489">
        <v>85.789304468974379</v>
      </c>
      <c r="I9" s="490">
        <v>81.877612260207911</v>
      </c>
      <c r="J9" s="491">
        <v>37.648697888757901</v>
      </c>
      <c r="K9" s="491">
        <v>76.433394062801412</v>
      </c>
      <c r="L9" s="491">
        <v>65.105562104811924</v>
      </c>
      <c r="M9" s="491">
        <v>63.197942342728538</v>
      </c>
      <c r="N9" s="491">
        <v>48.826492337370055</v>
      </c>
      <c r="O9" s="492">
        <v>24.027435430286143</v>
      </c>
      <c r="P9" s="493">
        <v>22.280570142535634</v>
      </c>
      <c r="Q9" s="493">
        <v>18.926160111456436</v>
      </c>
      <c r="R9" s="493">
        <v>16.461258171685778</v>
      </c>
      <c r="S9" s="494">
        <v>15.689636694888007</v>
      </c>
    </row>
    <row r="10" spans="2:19" ht="24.95" customHeight="1">
      <c r="B10" s="495"/>
      <c r="C10" s="496"/>
      <c r="D10" s="677"/>
      <c r="E10" s="488"/>
      <c r="F10" s="488"/>
      <c r="G10" s="489"/>
      <c r="H10" s="489"/>
      <c r="I10" s="492"/>
      <c r="J10" s="493"/>
      <c r="K10" s="493"/>
      <c r="L10" s="493"/>
      <c r="M10" s="493"/>
      <c r="N10" s="493"/>
      <c r="O10" s="492"/>
      <c r="P10" s="493"/>
      <c r="Q10" s="493"/>
      <c r="R10" s="493"/>
      <c r="S10" s="494"/>
    </row>
    <row r="11" spans="2:19" ht="24.95" customHeight="1">
      <c r="B11" s="497" t="s">
        <v>33</v>
      </c>
      <c r="C11" s="498">
        <v>848</v>
      </c>
      <c r="D11" s="695">
        <f>C11/VLOOKUP(B11,'Table 4 (2016)'!$B$7:$D$20,3,FALSE)*100000</f>
        <v>228.84283246977546</v>
      </c>
      <c r="E11" s="499">
        <v>71.215982721382289</v>
      </c>
      <c r="F11" s="499">
        <v>74.298701298701303</v>
      </c>
      <c r="G11" s="500">
        <v>54.59905660377359</v>
      </c>
      <c r="H11" s="500">
        <v>87.028301886792448</v>
      </c>
      <c r="I11" s="501">
        <v>81.25</v>
      </c>
      <c r="J11" s="502">
        <v>36.202830188679243</v>
      </c>
      <c r="K11" s="502">
        <v>79.834905660377359</v>
      </c>
      <c r="L11" s="502">
        <v>72.169811320754718</v>
      </c>
      <c r="M11" s="502">
        <v>62.382075471698116</v>
      </c>
      <c r="N11" s="502">
        <v>47.877358490566039</v>
      </c>
      <c r="O11" s="501">
        <v>35.259433962264154</v>
      </c>
      <c r="P11" s="502">
        <v>26.061320754716981</v>
      </c>
      <c r="Q11" s="502">
        <v>15.80188679245283</v>
      </c>
      <c r="R11" s="502">
        <v>10.023584905660378</v>
      </c>
      <c r="S11" s="503">
        <v>12.853773584905662</v>
      </c>
    </row>
    <row r="12" spans="2:19" ht="24.95" customHeight="1">
      <c r="B12" s="504" t="s">
        <v>28</v>
      </c>
      <c r="C12" s="505">
        <v>232</v>
      </c>
      <c r="D12" s="696">
        <f>C12/VLOOKUP(B12,'Table 4 (2016)'!$B$7:$D$20,3,FALSE)*100000</f>
        <v>202.56701300969178</v>
      </c>
      <c r="E12" s="506">
        <v>72.484126984126988</v>
      </c>
      <c r="F12" s="506">
        <v>79.754716981132077</v>
      </c>
      <c r="G12" s="507">
        <v>54.310344827586206</v>
      </c>
      <c r="H12" s="507">
        <v>82.758620689655174</v>
      </c>
      <c r="I12" s="508">
        <v>77.58620689655173</v>
      </c>
      <c r="J12" s="509">
        <v>41.810344827586206</v>
      </c>
      <c r="K12" s="509">
        <v>66.810344827586206</v>
      </c>
      <c r="L12" s="509">
        <v>50</v>
      </c>
      <c r="M12" s="509">
        <v>66.810344827586206</v>
      </c>
      <c r="N12" s="509">
        <v>59.482758620689658</v>
      </c>
      <c r="O12" s="508">
        <v>6.4655172413793105</v>
      </c>
      <c r="P12" s="509">
        <v>18.53448275862069</v>
      </c>
      <c r="Q12" s="509">
        <v>33.620689655172413</v>
      </c>
      <c r="R12" s="509">
        <v>34.482758620689658</v>
      </c>
      <c r="S12" s="510">
        <v>6.8965517241379306</v>
      </c>
    </row>
    <row r="13" spans="2:19" ht="24.95" customHeight="1">
      <c r="B13" s="497" t="s">
        <v>31</v>
      </c>
      <c r="C13" s="498">
        <v>233</v>
      </c>
      <c r="D13" s="695">
        <f>C13/VLOOKUP(B13,'Table 4 (2016)'!$B$7:$D$20,3,FALSE)*100000</f>
        <v>155.83199571963618</v>
      </c>
      <c r="E13" s="499">
        <v>73.567999999999998</v>
      </c>
      <c r="F13" s="499">
        <v>75.444444444444443</v>
      </c>
      <c r="G13" s="500">
        <v>53.648068669527895</v>
      </c>
      <c r="H13" s="500">
        <v>86.695278969957073</v>
      </c>
      <c r="I13" s="501">
        <v>86.695278969957073</v>
      </c>
      <c r="J13" s="502">
        <v>39.484978540772531</v>
      </c>
      <c r="K13" s="502">
        <v>63.94849785407726</v>
      </c>
      <c r="L13" s="502">
        <v>63.94849785407726</v>
      </c>
      <c r="M13" s="502">
        <v>60.944206008583691</v>
      </c>
      <c r="N13" s="502">
        <v>28.75536480686695</v>
      </c>
      <c r="O13" s="501">
        <v>8.5836909871244629</v>
      </c>
      <c r="P13" s="502">
        <v>29.613733905579398</v>
      </c>
      <c r="Q13" s="502">
        <v>33.476394849785407</v>
      </c>
      <c r="R13" s="502">
        <v>20.171673819742487</v>
      </c>
      <c r="S13" s="503">
        <v>8.1545064377682408</v>
      </c>
    </row>
    <row r="14" spans="2:19" ht="24.95" customHeight="1">
      <c r="B14" s="504" t="s">
        <v>30</v>
      </c>
      <c r="C14" s="505">
        <v>727</v>
      </c>
      <c r="D14" s="696">
        <f>C14/VLOOKUP(B14,'Table 4 (2016)'!$B$7:$D$20,3,FALSE)*100000</f>
        <v>196.31139794237572</v>
      </c>
      <c r="E14" s="506">
        <v>71.0054794520548</v>
      </c>
      <c r="F14" s="506">
        <v>74.364640883977899</v>
      </c>
      <c r="G14" s="507">
        <v>50.20632737276479</v>
      </c>
      <c r="H14" s="507">
        <v>88.308115543328753</v>
      </c>
      <c r="I14" s="508">
        <v>82.393397524071531</v>
      </c>
      <c r="J14" s="509">
        <v>35.488308115543326</v>
      </c>
      <c r="K14" s="509">
        <v>84.04401650618982</v>
      </c>
      <c r="L14" s="509">
        <v>63.411279229711134</v>
      </c>
      <c r="M14" s="509">
        <v>67.262723521320495</v>
      </c>
      <c r="N14" s="509">
        <v>44.291609353507567</v>
      </c>
      <c r="O14" s="508">
        <v>23.383768913342504</v>
      </c>
      <c r="P14" s="509">
        <v>26.409903713892707</v>
      </c>
      <c r="Q14" s="509">
        <v>22.145804676753784</v>
      </c>
      <c r="R14" s="509">
        <v>15.955983493810177</v>
      </c>
      <c r="S14" s="510">
        <v>12.104539202200826</v>
      </c>
    </row>
    <row r="15" spans="2:19" ht="24.95" customHeight="1">
      <c r="B15" s="497" t="s">
        <v>35</v>
      </c>
      <c r="C15" s="498">
        <v>506</v>
      </c>
      <c r="D15" s="695">
        <f>C15/VLOOKUP(B15,'Table 4 (2016)'!$B$7:$D$20,3,FALSE)*100000</f>
        <v>166.18497109826589</v>
      </c>
      <c r="E15" s="499">
        <v>71.124513618677042</v>
      </c>
      <c r="F15" s="499">
        <v>74.915662650602414</v>
      </c>
      <c r="G15" s="500">
        <v>50.790513833992094</v>
      </c>
      <c r="H15" s="500">
        <v>90.316205533596843</v>
      </c>
      <c r="I15" s="501">
        <v>82.806324110671937</v>
      </c>
      <c r="J15" s="502">
        <v>34.980237154150196</v>
      </c>
      <c r="K15" s="502">
        <v>77.667984189723313</v>
      </c>
      <c r="L15" s="502">
        <v>70.750988142292499</v>
      </c>
      <c r="M15" s="502">
        <v>49.40711462450593</v>
      </c>
      <c r="N15" s="502">
        <v>38.142292490118578</v>
      </c>
      <c r="O15" s="501">
        <v>19.169960474308301</v>
      </c>
      <c r="P15" s="502">
        <v>27.66798418972332</v>
      </c>
      <c r="Q15" s="502">
        <v>17.391304347826086</v>
      </c>
      <c r="R15" s="502">
        <v>19.960474308300398</v>
      </c>
      <c r="S15" s="503">
        <v>15.810276679841898</v>
      </c>
    </row>
    <row r="16" spans="2:19" ht="24.95" customHeight="1">
      <c r="B16" s="504" t="s">
        <v>34</v>
      </c>
      <c r="C16" s="505">
        <v>764</v>
      </c>
      <c r="D16" s="696">
        <f>C16/VLOOKUP(B16,'Table 4 (2016)'!$B$7:$D$20,3,FALSE)*100000</f>
        <v>129.90987927223262</v>
      </c>
      <c r="E16" s="506">
        <v>71.893939393939391</v>
      </c>
      <c r="F16" s="506">
        <v>77.081521739130437</v>
      </c>
      <c r="G16" s="507">
        <v>51.832460732984295</v>
      </c>
      <c r="H16" s="507">
        <v>84.947643979057602</v>
      </c>
      <c r="I16" s="508">
        <v>84.293193717277475</v>
      </c>
      <c r="J16" s="509">
        <v>38.874345549738223</v>
      </c>
      <c r="K16" s="509">
        <v>69.502617801047123</v>
      </c>
      <c r="L16" s="509">
        <v>64.921465968586389</v>
      </c>
      <c r="M16" s="509">
        <v>58.376963350785338</v>
      </c>
      <c r="N16" s="509">
        <v>40.575916230366495</v>
      </c>
      <c r="O16" s="508">
        <v>5.7591623036649215</v>
      </c>
      <c r="P16" s="509">
        <v>18.586387434554975</v>
      </c>
      <c r="Q16" s="509">
        <v>20.549738219895289</v>
      </c>
      <c r="R16" s="509">
        <v>27.094240837696336</v>
      </c>
      <c r="S16" s="510">
        <v>28.01047120418848</v>
      </c>
    </row>
    <row r="17" spans="2:19" ht="24.95" customHeight="1">
      <c r="B17" s="497" t="s">
        <v>40</v>
      </c>
      <c r="C17" s="498">
        <v>2086</v>
      </c>
      <c r="D17" s="695">
        <f>C17/VLOOKUP(B17,'Table 4 (2016)'!$B$7:$D$20,3,FALSE)*100000</f>
        <v>179.615454161895</v>
      </c>
      <c r="E17" s="499">
        <v>68.7724609375</v>
      </c>
      <c r="F17" s="499">
        <v>73.507532956685495</v>
      </c>
      <c r="G17" s="500">
        <v>49.089165867689353</v>
      </c>
      <c r="H17" s="500">
        <v>87.104506232023013</v>
      </c>
      <c r="I17" s="501">
        <v>80.584851390220507</v>
      </c>
      <c r="J17" s="502">
        <v>39.309683604985615</v>
      </c>
      <c r="K17" s="502">
        <v>78.235858101629915</v>
      </c>
      <c r="L17" s="502">
        <v>66.155321188878233</v>
      </c>
      <c r="M17" s="502">
        <v>71.572387344199427</v>
      </c>
      <c r="N17" s="502">
        <v>67.209971236816884</v>
      </c>
      <c r="O17" s="501">
        <v>43.911792905081498</v>
      </c>
      <c r="P17" s="502">
        <v>16.586768935762226</v>
      </c>
      <c r="Q17" s="502">
        <v>12.751677852348994</v>
      </c>
      <c r="R17" s="502">
        <v>11.025886864813039</v>
      </c>
      <c r="S17" s="503">
        <v>15.723873441994247</v>
      </c>
    </row>
    <row r="18" spans="2:19" ht="24.95" customHeight="1">
      <c r="B18" s="504" t="s">
        <v>36</v>
      </c>
      <c r="C18" s="505">
        <v>548</v>
      </c>
      <c r="D18" s="696">
        <f>C18/VLOOKUP(B18,'Table 4 (2016)'!$B$7:$D$20,3,FALSE)*100000</f>
        <v>170.23920472196335</v>
      </c>
      <c r="E18" s="506">
        <v>72.590733590733592</v>
      </c>
      <c r="F18" s="506">
        <v>76.152249134948093</v>
      </c>
      <c r="G18" s="507">
        <v>47.262773722627735</v>
      </c>
      <c r="H18" s="507">
        <v>85.40145985401459</v>
      </c>
      <c r="I18" s="508">
        <v>79.744525547445249</v>
      </c>
      <c r="J18" s="509">
        <v>38.138686131386862</v>
      </c>
      <c r="K18" s="509">
        <v>74.087591240875923</v>
      </c>
      <c r="L18" s="509">
        <v>64.96350364963503</v>
      </c>
      <c r="M18" s="509">
        <v>54.744525547445257</v>
      </c>
      <c r="N18" s="509">
        <v>40.875912408759127</v>
      </c>
      <c r="O18" s="508">
        <v>6.5693430656934311</v>
      </c>
      <c r="P18" s="509">
        <v>25.18248175182482</v>
      </c>
      <c r="Q18" s="509">
        <v>34.854014598540147</v>
      </c>
      <c r="R18" s="509">
        <v>24.635036496350367</v>
      </c>
      <c r="S18" s="510">
        <v>8.7591240875912408</v>
      </c>
    </row>
    <row r="19" spans="2:19" ht="24.95" customHeight="1">
      <c r="B19" s="497" t="s">
        <v>29</v>
      </c>
      <c r="C19" s="498">
        <v>1039</v>
      </c>
      <c r="D19" s="695">
        <f>C19/VLOOKUP(B19,'Table 4 (2016)'!$B$7:$D$20,3,FALSE)*100000</f>
        <v>158.26592941248154</v>
      </c>
      <c r="E19" s="499">
        <v>68.939508506616264</v>
      </c>
      <c r="F19" s="499">
        <v>74.180392156862752</v>
      </c>
      <c r="G19" s="500">
        <v>50.914340712223293</v>
      </c>
      <c r="H19" s="500">
        <v>86.044273339749751</v>
      </c>
      <c r="I19" s="501">
        <v>79.114533205004818</v>
      </c>
      <c r="J19" s="502">
        <v>34.167468719923008</v>
      </c>
      <c r="K19" s="502">
        <v>73.917228103946101</v>
      </c>
      <c r="L19" s="502">
        <v>64.388835418671803</v>
      </c>
      <c r="M19" s="502">
        <v>65.640038498556308</v>
      </c>
      <c r="N19" s="502">
        <v>54.186717998075075</v>
      </c>
      <c r="O19" s="501">
        <v>30.317613089509145</v>
      </c>
      <c r="P19" s="502">
        <v>30.991337824831568</v>
      </c>
      <c r="Q19" s="502">
        <v>18.38306063522618</v>
      </c>
      <c r="R19" s="502">
        <v>12.319538017324351</v>
      </c>
      <c r="S19" s="503">
        <v>7.988450433108758</v>
      </c>
    </row>
    <row r="20" spans="2:19" ht="24.95" customHeight="1">
      <c r="B20" s="504" t="s">
        <v>38</v>
      </c>
      <c r="C20" s="505">
        <v>1365</v>
      </c>
      <c r="D20" s="696">
        <f>C20/VLOOKUP(B20,'Table 4 (2016)'!$B$7:$D$20,3,FALSE)*100000</f>
        <v>155.11363636363637</v>
      </c>
      <c r="E20" s="506">
        <v>71.061469265367322</v>
      </c>
      <c r="F20" s="506">
        <v>77.621776504297998</v>
      </c>
      <c r="G20" s="507">
        <v>48.864468864468861</v>
      </c>
      <c r="H20" s="507">
        <v>82.124542124542117</v>
      </c>
      <c r="I20" s="508">
        <v>83.223443223443226</v>
      </c>
      <c r="J20" s="509">
        <v>38.827838827838832</v>
      </c>
      <c r="K20" s="509">
        <v>76.703296703296715</v>
      </c>
      <c r="L20" s="509">
        <v>58.021978021978029</v>
      </c>
      <c r="M20" s="509">
        <v>64.102564102564102</v>
      </c>
      <c r="N20" s="509">
        <v>39.047619047619051</v>
      </c>
      <c r="O20" s="508">
        <v>16.117216117216117</v>
      </c>
      <c r="P20" s="509">
        <v>24.249084249084248</v>
      </c>
      <c r="Q20" s="509">
        <v>16.776556776556774</v>
      </c>
      <c r="R20" s="509">
        <v>14.871794871794872</v>
      </c>
      <c r="S20" s="510">
        <v>27.985347985347985</v>
      </c>
    </row>
    <row r="21" spans="2:19" ht="24.95" customHeight="1">
      <c r="B21" s="497" t="s">
        <v>41</v>
      </c>
      <c r="C21" s="498">
        <v>35</v>
      </c>
      <c r="D21" s="695">
        <f>C21/VLOOKUP(B21,'Table 4 (2016)'!$B$7:$D$20,3,FALSE)*100000</f>
        <v>160.18306636155606</v>
      </c>
      <c r="E21" s="499">
        <v>74</v>
      </c>
      <c r="F21" s="499">
        <v>73.2</v>
      </c>
      <c r="G21" s="500">
        <v>42.857142857142854</v>
      </c>
      <c r="H21" s="500">
        <v>74.285714285714292</v>
      </c>
      <c r="I21" s="501">
        <v>91.428571428571431</v>
      </c>
      <c r="J21" s="502">
        <v>28.571428571428569</v>
      </c>
      <c r="K21" s="502">
        <v>68.571428571428569</v>
      </c>
      <c r="L21" s="502">
        <v>71.428571428571431</v>
      </c>
      <c r="M21" s="502">
        <v>42.857142857142854</v>
      </c>
      <c r="N21" s="502">
        <v>45.714285714285715</v>
      </c>
      <c r="O21" s="501">
        <v>0</v>
      </c>
      <c r="P21" s="502">
        <v>17.142857142857142</v>
      </c>
      <c r="Q21" s="502">
        <v>34.285714285714285</v>
      </c>
      <c r="R21" s="502">
        <v>42.857142857142854</v>
      </c>
      <c r="S21" s="503">
        <v>5.7142857142857144</v>
      </c>
    </row>
    <row r="22" spans="2:19" ht="24.95" customHeight="1">
      <c r="B22" s="504" t="s">
        <v>39</v>
      </c>
      <c r="C22" s="505">
        <v>37</v>
      </c>
      <c r="D22" s="696">
        <f>C22/VLOOKUP(B22,'Table 4 (2016)'!$B$7:$D$20,3,FALSE)*100000</f>
        <v>159.48275862068968</v>
      </c>
      <c r="E22" s="506">
        <v>74.849999999999994</v>
      </c>
      <c r="F22" s="506">
        <v>82</v>
      </c>
      <c r="G22" s="507">
        <v>54.054054054054056</v>
      </c>
      <c r="H22" s="507">
        <v>83.78378378378379</v>
      </c>
      <c r="I22" s="508">
        <v>75.675675675675677</v>
      </c>
      <c r="J22" s="509">
        <v>43.243243243243242</v>
      </c>
      <c r="K22" s="509">
        <v>83.78378378378379</v>
      </c>
      <c r="L22" s="509">
        <v>64.86486486486487</v>
      </c>
      <c r="M22" s="509">
        <v>70.270270270270274</v>
      </c>
      <c r="N22" s="509">
        <v>40.54054054054054</v>
      </c>
      <c r="O22" s="508">
        <v>0</v>
      </c>
      <c r="P22" s="509">
        <v>2.7027027027027026</v>
      </c>
      <c r="Q22" s="509">
        <v>37.837837837837839</v>
      </c>
      <c r="R22" s="509">
        <v>59.45945945945946</v>
      </c>
      <c r="S22" s="510">
        <v>0</v>
      </c>
    </row>
    <row r="23" spans="2:19" ht="24.95" customHeight="1">
      <c r="B23" s="497" t="s">
        <v>32</v>
      </c>
      <c r="C23" s="498">
        <v>639</v>
      </c>
      <c r="D23" s="695">
        <f>C23/VLOOKUP(B23,'Table 4 (2016)'!$B$7:$D$20,3,FALSE)*100000</f>
        <v>153.80171853563434</v>
      </c>
      <c r="E23" s="499">
        <v>72.474916387959865</v>
      </c>
      <c r="F23" s="499">
        <v>77.647058823529406</v>
      </c>
      <c r="G23" s="500">
        <v>46.791862284820027</v>
      </c>
      <c r="H23" s="500">
        <v>84.350547730829419</v>
      </c>
      <c r="I23" s="501">
        <v>84.194053208137717</v>
      </c>
      <c r="J23" s="502">
        <v>39.436619718309856</v>
      </c>
      <c r="K23" s="502">
        <v>78.873239436619713</v>
      </c>
      <c r="L23" s="502">
        <v>71.674491392801258</v>
      </c>
      <c r="M23" s="502">
        <v>51.643192488262912</v>
      </c>
      <c r="N23" s="502">
        <v>37.715179968701094</v>
      </c>
      <c r="O23" s="501">
        <v>17.214397496087635</v>
      </c>
      <c r="P23" s="502">
        <v>19.092331768388107</v>
      </c>
      <c r="Q23" s="502">
        <v>22.848200312989047</v>
      </c>
      <c r="R23" s="502">
        <v>25.978090766823158</v>
      </c>
      <c r="S23" s="503">
        <v>14.866979655712051</v>
      </c>
    </row>
    <row r="24" spans="2:19" ht="24.95" customHeight="1">
      <c r="B24" s="504" t="s">
        <v>37</v>
      </c>
      <c r="C24" s="505">
        <v>28</v>
      </c>
      <c r="D24" s="696">
        <f>C24/VLOOKUP(B24,'Table 4 (2016)'!$B$7:$D$20,3,FALSE)*100000</f>
        <v>104.08921933085502</v>
      </c>
      <c r="E24" s="506">
        <v>75</v>
      </c>
      <c r="F24" s="506">
        <v>73.933333333333337</v>
      </c>
      <c r="G24" s="507">
        <v>46.428571428571431</v>
      </c>
      <c r="H24" s="507">
        <v>89.285714285714292</v>
      </c>
      <c r="I24" s="508">
        <v>71.428571428571431</v>
      </c>
      <c r="J24" s="509">
        <v>46.428571428571431</v>
      </c>
      <c r="K24" s="509">
        <v>64.285714285714292</v>
      </c>
      <c r="L24" s="509">
        <v>39.285714285714285</v>
      </c>
      <c r="M24" s="509">
        <v>50</v>
      </c>
      <c r="N24" s="509">
        <v>39.285714285714285</v>
      </c>
      <c r="O24" s="508">
        <v>0</v>
      </c>
      <c r="P24" s="509">
        <v>21.428571428571427</v>
      </c>
      <c r="Q24" s="509">
        <v>75</v>
      </c>
      <c r="R24" s="509">
        <v>3.5714285714285712</v>
      </c>
      <c r="S24" s="510">
        <v>0</v>
      </c>
    </row>
    <row r="25" spans="2:19" ht="24.95" customHeight="1">
      <c r="B25" s="504"/>
      <c r="C25" s="505"/>
      <c r="D25" s="678"/>
      <c r="E25" s="506"/>
      <c r="F25" s="506"/>
      <c r="G25" s="507"/>
      <c r="H25" s="507"/>
      <c r="I25" s="508"/>
      <c r="J25" s="509"/>
      <c r="K25" s="509"/>
      <c r="L25" s="509"/>
      <c r="M25" s="509"/>
      <c r="N25" s="509"/>
      <c r="O25" s="508"/>
      <c r="P25" s="509"/>
      <c r="Q25" s="509"/>
      <c r="R25" s="509"/>
      <c r="S25" s="510"/>
    </row>
    <row r="26" spans="2:19" ht="24.95" customHeight="1">
      <c r="B26" s="511" t="s">
        <v>263</v>
      </c>
      <c r="C26" s="512">
        <v>244</v>
      </c>
      <c r="D26" s="679" t="s">
        <v>262</v>
      </c>
      <c r="E26" s="513">
        <v>67.103448275862064</v>
      </c>
      <c r="F26" s="513">
        <v>74.212121212121218</v>
      </c>
      <c r="G26" s="514">
        <v>59.426229508196727</v>
      </c>
      <c r="H26" s="514">
        <v>83.606557377049185</v>
      </c>
      <c r="I26" s="515">
        <v>87.295081967213122</v>
      </c>
      <c r="J26" s="516">
        <v>32.786885245901637</v>
      </c>
      <c r="K26" s="516">
        <v>76.229508196721312</v>
      </c>
      <c r="L26" s="516">
        <v>68.852459016393439</v>
      </c>
      <c r="M26" s="516">
        <v>61.885245901639344</v>
      </c>
      <c r="N26" s="516">
        <v>47.131147540983612</v>
      </c>
      <c r="O26" s="515" t="s">
        <v>262</v>
      </c>
      <c r="P26" s="516" t="s">
        <v>262</v>
      </c>
      <c r="Q26" s="516" t="s">
        <v>262</v>
      </c>
      <c r="R26" s="516" t="s">
        <v>262</v>
      </c>
      <c r="S26" s="517" t="s">
        <v>262</v>
      </c>
    </row>
    <row r="27" spans="2:19">
      <c r="D27" s="697"/>
    </row>
  </sheetData>
  <sheetProtection password="B8D9" sheet="1" objects="1" scenarios="1"/>
  <mergeCells count="4">
    <mergeCell ref="B1:K2"/>
    <mergeCell ref="I6:N6"/>
    <mergeCell ref="O6:S6"/>
    <mergeCell ref="G8:S8"/>
  </mergeCells>
  <hyperlinks>
    <hyperlink ref="B3" location="'List of Tables &amp; Charts'!A1" display="return to List of Tables &amp; Charts"/>
    <hyperlink ref="E5" location="'Tables 1a 1b 1c extra detail'!A1" display="Tables 1a 1b 1c extra detail"/>
  </hyperlinks>
  <pageMargins left="0" right="0" top="0.74803149606299213" bottom="0.74803149606299213" header="0.31496062992125984" footer="0.31496062992125984"/>
  <pageSetup scale="57"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20.xml><?xml version="1.0" encoding="utf-8"?>
<worksheet xmlns="http://schemas.openxmlformats.org/spreadsheetml/2006/main" xmlns:r="http://schemas.openxmlformats.org/officeDocument/2006/relationships">
  <sheetPr codeName="Sheet5">
    <pageSetUpPr fitToPage="1"/>
  </sheetPr>
  <dimension ref="A1:X133"/>
  <sheetViews>
    <sheetView zoomScaleNormal="100" workbookViewId="0">
      <selection sqref="A1:A2"/>
    </sheetView>
  </sheetViews>
  <sheetFormatPr defaultRowHeight="11.25"/>
  <cols>
    <col min="1" max="1" width="15.7109375" style="207" customWidth="1"/>
    <col min="2" max="3" width="7.28515625" style="207" bestFit="1" customWidth="1"/>
    <col min="4" max="4" width="12.7109375" style="207" bestFit="1" customWidth="1"/>
    <col min="5" max="8" width="9.28515625" style="207" customWidth="1"/>
    <col min="9" max="9" width="13.42578125" style="207" bestFit="1" customWidth="1"/>
    <col min="10" max="14" width="9.7109375" style="207" customWidth="1"/>
    <col min="15" max="15" width="10.42578125" style="207" bestFit="1" customWidth="1"/>
    <col min="16" max="16" width="45.7109375" style="207" customWidth="1"/>
    <col min="17" max="20" width="11.7109375" style="310" customWidth="1"/>
    <col min="21" max="21" width="9.140625" style="207"/>
    <col min="22" max="22" width="33.85546875" style="207" bestFit="1" customWidth="1"/>
    <col min="23" max="24" width="10.42578125" style="207" bestFit="1" customWidth="1"/>
    <col min="25" max="16384" width="9.140625" style="207"/>
  </cols>
  <sheetData>
    <row r="1" spans="1:21" ht="15" customHeight="1">
      <c r="A1" s="988" t="s">
        <v>25</v>
      </c>
      <c r="B1" s="1001" t="s">
        <v>42</v>
      </c>
      <c r="C1" s="991"/>
      <c r="D1" s="991"/>
      <c r="E1" s="991"/>
      <c r="F1" s="991"/>
      <c r="G1" s="991"/>
      <c r="H1" s="991"/>
      <c r="I1" s="290"/>
      <c r="J1" s="291"/>
      <c r="K1" s="291"/>
      <c r="L1" s="291"/>
      <c r="M1" s="291"/>
      <c r="N1" s="291"/>
      <c r="O1" s="992" t="s">
        <v>20</v>
      </c>
      <c r="P1" s="993"/>
      <c r="Q1" s="992">
        <v>2015</v>
      </c>
      <c r="R1" s="992"/>
      <c r="S1" s="992">
        <v>2016</v>
      </c>
      <c r="T1" s="992"/>
    </row>
    <row r="2" spans="1:21" ht="23.25" customHeight="1">
      <c r="A2" s="1000"/>
      <c r="B2" s="292" t="s">
        <v>438</v>
      </c>
      <c r="C2" s="292" t="s">
        <v>586</v>
      </c>
      <c r="D2" s="293" t="s">
        <v>21</v>
      </c>
      <c r="E2" s="994" t="s">
        <v>449</v>
      </c>
      <c r="F2" s="994"/>
      <c r="G2" s="994" t="s">
        <v>603</v>
      </c>
      <c r="H2" s="995"/>
      <c r="I2" s="294" t="s">
        <v>446</v>
      </c>
      <c r="J2" s="295" t="s">
        <v>589</v>
      </c>
      <c r="K2" s="296" t="s">
        <v>22</v>
      </c>
      <c r="L2" s="297" t="s">
        <v>16</v>
      </c>
      <c r="M2" s="297" t="s">
        <v>15</v>
      </c>
      <c r="N2" s="298" t="s">
        <v>23</v>
      </c>
      <c r="O2" s="299" t="s">
        <v>24</v>
      </c>
      <c r="P2" s="300" t="s">
        <v>25</v>
      </c>
      <c r="Q2" s="300" t="s">
        <v>26</v>
      </c>
      <c r="R2" s="300" t="s">
        <v>27</v>
      </c>
      <c r="S2" s="300" t="s">
        <v>26</v>
      </c>
      <c r="T2" s="300" t="s">
        <v>27</v>
      </c>
      <c r="U2" s="856" t="s">
        <v>792</v>
      </c>
    </row>
    <row r="3" spans="1:21" ht="12">
      <c r="A3" s="301" t="str">
        <f t="shared" ref="A3:A32" si="0">O3</f>
        <v>Scotland</v>
      </c>
      <c r="B3" s="302">
        <f t="shared" ref="B3" si="1">Q3/R3*100</f>
        <v>0.60170237745817434</v>
      </c>
      <c r="C3" s="302">
        <f t="shared" ref="C3" si="2">S3/T3*100</f>
        <v>66.620803522289478</v>
      </c>
      <c r="D3" s="302" t="s">
        <v>262</v>
      </c>
      <c r="E3" s="16">
        <f t="shared" ref="E3" si="3">SUM(1*MID(I3,1,FIND(" - ",I3)-1))</f>
        <v>0</v>
      </c>
      <c r="F3" s="303">
        <f t="shared" ref="F3" si="4">SUM(1*MID(I3,FIND(" - ",I3)+2,LEN(I3)))</f>
        <v>1</v>
      </c>
      <c r="G3" s="303">
        <f t="shared" ref="G3" si="5">SUM(1*MID(J3,1,FIND(" - ",J3)-1))</f>
        <v>66</v>
      </c>
      <c r="H3" s="303">
        <f t="shared" ref="H3" si="6">SUM(1*MID(J3,FIND(" - ",J3)+2,LEN(J3)))</f>
        <v>68</v>
      </c>
      <c r="I3" s="304"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0 - 1</v>
      </c>
      <c r="J3" s="305"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66 - 68</v>
      </c>
      <c r="K3" s="306">
        <f t="shared" ref="K3" si="9">C3-B3</f>
        <v>66.019101144831311</v>
      </c>
      <c r="L3" s="314">
        <f t="shared" ref="L3" si="10">((S3/T3)-(Q3/R3))-(NORMSINV(1-(0.05/COUNTA($O$3:$O$32)))*(SQRT((((Q3/R3)*(1-(Q3/R3)))/R3)+(((S3/T3)*(1-(S3/T3)))/T3))))</f>
        <v>0.64372400351167502</v>
      </c>
      <c r="M3" s="314">
        <f t="shared" ref="M3" si="11">((S3/T3)-(Q3/R3))+(NORMSINV(1-(0.05/COUNTA($O$3:$O$32)))*(SQRT((((Q3/R3)*(1-(Q3/R3)))/R3)+(((S3/T3)*(1-(S3/T3)))/T3))))</f>
        <v>0.67665801938495107</v>
      </c>
      <c r="N3" s="308">
        <f t="shared" ref="N3" si="12">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1</v>
      </c>
      <c r="O3" s="301" t="str">
        <f t="shared" ref="O3" si="13">VLOOKUP(P3,Hospitals,2,FALSE)</f>
        <v>Scotland</v>
      </c>
      <c r="P3" s="301" t="s">
        <v>280</v>
      </c>
      <c r="Q3" s="403">
        <f>SUM(Q4:Q32)</f>
        <v>41</v>
      </c>
      <c r="R3" s="403">
        <f t="shared" ref="R3:T3" si="14">SUM(R4:R32)</f>
        <v>6814</v>
      </c>
      <c r="S3" s="403">
        <f t="shared" si="14"/>
        <v>4842</v>
      </c>
      <c r="T3" s="403">
        <f t="shared" si="14"/>
        <v>7268</v>
      </c>
      <c r="U3" s="856">
        <v>0</v>
      </c>
    </row>
    <row r="4" spans="1:21" ht="12">
      <c r="A4" s="301" t="str">
        <f t="shared" si="0"/>
        <v>Caithness*</v>
      </c>
      <c r="B4" s="302">
        <f t="shared" ref="B4:B32" si="15">Q4/R4*100</f>
        <v>0</v>
      </c>
      <c r="C4" s="302">
        <f t="shared" ref="C4:C32" si="16">S4/T4*100</f>
        <v>81.132075471698116</v>
      </c>
      <c r="D4" s="303" t="s">
        <v>262</v>
      </c>
      <c r="E4" s="303">
        <f t="shared" ref="E4:E32" si="17">SUM(1*MID(I4,1,FIND(" - ",I4)-1))</f>
        <v>0</v>
      </c>
      <c r="F4" s="303">
        <f t="shared" ref="F4:F32" si="18">SUM(1*MID(I4,FIND(" - ",I4)+2,LEN(I4)))</f>
        <v>6</v>
      </c>
      <c r="G4" s="303">
        <f t="shared" ref="G4:G32" si="19">SUM(1*MID(J4,1,FIND(" - ",J4)-1))</f>
        <v>69</v>
      </c>
      <c r="H4" s="303">
        <f t="shared" ref="H4:H32" si="20">SUM(1*MID(J4,FIND(" - ",J4)+2,LEN(J4)))</f>
        <v>89</v>
      </c>
      <c r="I4" s="309" t="str">
        <f t="shared" ref="I4:I32" si="21">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0 - 6</v>
      </c>
      <c r="J4" s="305" t="str">
        <f t="shared" ref="J4:J32" si="22">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69 - 89</v>
      </c>
      <c r="K4" s="306">
        <f t="shared" ref="K4:K32" si="23">C4-B4</f>
        <v>81.132075471698116</v>
      </c>
      <c r="L4" s="314">
        <f t="shared" ref="L4:L32" si="24">((S4/T4)-(Q4/R4))-(NORMSINV(1-(0.05/COUNTA($O$3:$O$32)))*(SQRT((((Q4/R4)*(1-(Q4/R4)))/R4)+(((S4/T4)*(1-(S4/T4)))/T4))))</f>
        <v>0.65357486804471498</v>
      </c>
      <c r="M4" s="314">
        <f t="shared" ref="M4:M32" si="25">((S4/T4)-(Q4/R4))+(NORMSINV(1-(0.05/COUNTA($O$3:$O$32)))*(SQRT((((Q4/R4)*(1-(Q4/R4)))/R4)+(((S4/T4)*(1-(S4/T4)))/T4))))</f>
        <v>0.96906664138924736</v>
      </c>
      <c r="N4" s="308">
        <f t="shared" ref="N4:N32" si="26">IF(ISERR(IF(AND(((S4/T4)-(Q4/R4))-(NORMSINV(1-(0.05/COUNTA($P$3:$P$32)))*(SQRT((((Q4/R4)*(1-(Q4/R4)))/R4)+(((S4/T4)*(1-(S4/T4)))/T4))))&gt;0,((S4/T4)-(Q4/R4))+(NORMSINV(1-(0.05/COUNTA($P$3:$P$32)))*(SQRT((((Q4/R4)*(1-(Q4/R4)))/R4)+(((S4/T4)*(1-(S4/T4)))/T4))))&gt;0),1,IF(AND(((S4/T4)-(Q4/R4))-(NORMSINV(1-(0.05/COUNTA($P$3:$P$32)))*(SQRT((((Q4/R4)*(1-(Q4/R4)))/R4)+(((S4/T4)*(1-(S4/T4)))/T4))))&lt;0,((S4/T4)-(Q4/R4))+(NORMSINV(1-(0.05/COUNTA($P$3:$P$32)))*(SQRT((((Q4/R4)*(1-(Q4/R4)))/R4)+(((S4/T4)*(1-(S4/T4)))/T4))))&lt;0),-1,0))),"",IF(AND(((S4/T4)-(Q4/R4))-(NORMSINV(1-(0.05/COUNTA($P$3:$P$32)))*(SQRT((((Q4/R4)*(1-(Q4/R4)))/R4)+(((S4/T4)*(1-(S4/T4)))/T4))))&gt;0,((S4/T4)-(Q4/R4))+(NORMSINV(1-(0.05/COUNTA($P$3:$P$32)))*(SQRT((((Q4/R4)*(1-(Q4/R4)))/R4)+(((S4/T4)*(1-(S4/T4)))/T4))))&gt;0),1,IF(AND(((S4/T4)-(Q4/R4))-(NORMSINV(1-(0.05/COUNTA($P$3:$P$32)))*(SQRT((((Q4/R4)*(1-(Q4/R4)))/R4)+(((S4/T4)*(1-(S4/T4)))/T4))))&lt;0,((S4/T4)-(Q4/R4))+(NORMSINV(1-(0.05/COUNTA($P$3:$P$32)))*(SQRT((((Q4/R4)*(1-(Q4/R4)))/R4)+(((S4/T4)*(1-(S4/T4)))/T4))))&lt;0),-1,0)))</f>
        <v>1</v>
      </c>
      <c r="O4" s="301" t="str">
        <f t="shared" ref="O4:O32" si="27">VLOOKUP(P4,Hospitals,2,FALSE)</f>
        <v>Caithness*</v>
      </c>
      <c r="P4" s="301" t="s">
        <v>91</v>
      </c>
      <c r="Q4" s="403">
        <v>0</v>
      </c>
      <c r="R4" s="403">
        <v>58</v>
      </c>
      <c r="S4" s="403">
        <v>43</v>
      </c>
      <c r="T4" s="403">
        <v>53</v>
      </c>
      <c r="U4" s="856">
        <v>1</v>
      </c>
    </row>
    <row r="5" spans="1:21" ht="12">
      <c r="A5" s="301" t="str">
        <f t="shared" si="0"/>
        <v>Borders</v>
      </c>
      <c r="B5" s="302">
        <f t="shared" si="15"/>
        <v>0.63694267515923575</v>
      </c>
      <c r="C5" s="302">
        <f t="shared" si="16"/>
        <v>79.166666666666657</v>
      </c>
      <c r="D5" s="303" t="s">
        <v>262</v>
      </c>
      <c r="E5" s="303">
        <f t="shared" si="17"/>
        <v>0</v>
      </c>
      <c r="F5" s="303">
        <f t="shared" si="18"/>
        <v>4</v>
      </c>
      <c r="G5" s="303">
        <f t="shared" si="19"/>
        <v>72</v>
      </c>
      <c r="H5" s="303">
        <f t="shared" si="20"/>
        <v>85</v>
      </c>
      <c r="I5" s="309" t="str">
        <f t="shared" si="21"/>
        <v>0 - 4</v>
      </c>
      <c r="J5" s="305" t="str">
        <f t="shared" si="22"/>
        <v>72 - 85</v>
      </c>
      <c r="K5" s="306">
        <f t="shared" si="23"/>
        <v>78.529723991507424</v>
      </c>
      <c r="L5" s="314">
        <f t="shared" si="24"/>
        <v>0.69146075880142521</v>
      </c>
      <c r="M5" s="314">
        <f t="shared" si="25"/>
        <v>0.87913372102872334</v>
      </c>
      <c r="N5" s="308">
        <f t="shared" si="26"/>
        <v>1</v>
      </c>
      <c r="O5" s="301" t="str">
        <f t="shared" si="27"/>
        <v>Borders</v>
      </c>
      <c r="P5" s="301" t="s">
        <v>62</v>
      </c>
      <c r="Q5" s="403">
        <v>1</v>
      </c>
      <c r="R5" s="403">
        <v>157</v>
      </c>
      <c r="S5" s="403">
        <v>133</v>
      </c>
      <c r="T5" s="403">
        <v>168</v>
      </c>
      <c r="U5" s="856">
        <v>2</v>
      </c>
    </row>
    <row r="6" spans="1:21" ht="12">
      <c r="A6" s="301" t="str">
        <f t="shared" si="0"/>
        <v>Crosshouse</v>
      </c>
      <c r="B6" s="302">
        <f t="shared" si="15"/>
        <v>0</v>
      </c>
      <c r="C6" s="302">
        <f t="shared" si="16"/>
        <v>78.82352941176471</v>
      </c>
      <c r="D6" s="303" t="s">
        <v>262</v>
      </c>
      <c r="E6" s="303">
        <f t="shared" si="17"/>
        <v>0</v>
      </c>
      <c r="F6" s="303">
        <f t="shared" si="18"/>
        <v>1</v>
      </c>
      <c r="G6" s="303">
        <f t="shared" si="19"/>
        <v>76</v>
      </c>
      <c r="H6" s="303">
        <f t="shared" si="20"/>
        <v>82</v>
      </c>
      <c r="I6" s="309" t="str">
        <f t="shared" si="21"/>
        <v>0 - 1</v>
      </c>
      <c r="J6" s="305" t="str">
        <f t="shared" si="22"/>
        <v>76 - 82</v>
      </c>
      <c r="K6" s="306">
        <f t="shared" si="23"/>
        <v>78.82352941176471</v>
      </c>
      <c r="L6" s="314">
        <f t="shared" si="24"/>
        <v>0.74487805388529116</v>
      </c>
      <c r="M6" s="314">
        <f t="shared" si="25"/>
        <v>0.83159253435000291</v>
      </c>
      <c r="N6" s="308">
        <f t="shared" si="26"/>
        <v>1</v>
      </c>
      <c r="O6" s="301" t="str">
        <f t="shared" si="27"/>
        <v>Crosshouse</v>
      </c>
      <c r="P6" s="301" t="s">
        <v>59</v>
      </c>
      <c r="Q6" s="403">
        <v>0</v>
      </c>
      <c r="R6" s="403">
        <v>373</v>
      </c>
      <c r="S6" s="403">
        <v>603</v>
      </c>
      <c r="T6" s="403">
        <v>765</v>
      </c>
      <c r="U6" s="856">
        <v>3</v>
      </c>
    </row>
    <row r="7" spans="1:21" ht="12">
      <c r="A7" s="301" t="str">
        <f t="shared" si="0"/>
        <v>VHK</v>
      </c>
      <c r="B7" s="302">
        <f t="shared" si="15"/>
        <v>1.882845188284519</v>
      </c>
      <c r="C7" s="302">
        <f t="shared" si="16"/>
        <v>77.358490566037744</v>
      </c>
      <c r="D7" s="303" t="s">
        <v>262</v>
      </c>
      <c r="E7" s="303">
        <f t="shared" si="17"/>
        <v>1</v>
      </c>
      <c r="F7" s="303">
        <f t="shared" si="18"/>
        <v>4</v>
      </c>
      <c r="G7" s="303">
        <f t="shared" si="19"/>
        <v>74</v>
      </c>
      <c r="H7" s="303">
        <f t="shared" si="20"/>
        <v>81</v>
      </c>
      <c r="I7" s="309" t="str">
        <f t="shared" si="21"/>
        <v>1 - 4</v>
      </c>
      <c r="J7" s="305" t="str">
        <f t="shared" si="22"/>
        <v>74 - 81</v>
      </c>
      <c r="K7" s="306">
        <f t="shared" si="23"/>
        <v>75.475645377753224</v>
      </c>
      <c r="L7" s="314">
        <f t="shared" si="24"/>
        <v>0.69836375017217234</v>
      </c>
      <c r="M7" s="314">
        <f t="shared" si="25"/>
        <v>0.81114915738289206</v>
      </c>
      <c r="N7" s="308">
        <f t="shared" si="26"/>
        <v>1</v>
      </c>
      <c r="O7" s="301" t="str">
        <f t="shared" si="27"/>
        <v>VHK</v>
      </c>
      <c r="P7" s="301" t="s">
        <v>281</v>
      </c>
      <c r="Q7" s="403">
        <v>9</v>
      </c>
      <c r="R7" s="403">
        <v>478</v>
      </c>
      <c r="S7" s="403">
        <v>410</v>
      </c>
      <c r="T7" s="403">
        <v>530</v>
      </c>
      <c r="U7" s="856">
        <v>4</v>
      </c>
    </row>
    <row r="8" spans="1:21" ht="12">
      <c r="A8" s="301" t="str">
        <f t="shared" si="0"/>
        <v>Hairmyres</v>
      </c>
      <c r="B8" s="302">
        <f t="shared" si="15"/>
        <v>0</v>
      </c>
      <c r="C8" s="302">
        <f t="shared" si="16"/>
        <v>76.288659793814432</v>
      </c>
      <c r="D8" s="303" t="s">
        <v>262</v>
      </c>
      <c r="E8" s="303">
        <f t="shared" si="17"/>
        <v>0</v>
      </c>
      <c r="F8" s="303">
        <f t="shared" si="18"/>
        <v>2</v>
      </c>
      <c r="G8" s="303">
        <f t="shared" si="19"/>
        <v>70</v>
      </c>
      <c r="H8" s="303">
        <f t="shared" si="20"/>
        <v>82</v>
      </c>
      <c r="I8" s="309" t="str">
        <f t="shared" si="21"/>
        <v>0 - 2</v>
      </c>
      <c r="J8" s="305" t="str">
        <f t="shared" si="22"/>
        <v>70 - 82</v>
      </c>
      <c r="K8" s="306">
        <f t="shared" si="23"/>
        <v>76.288659793814432</v>
      </c>
      <c r="L8" s="314">
        <f t="shared" si="24"/>
        <v>0.67325837230324981</v>
      </c>
      <c r="M8" s="314">
        <f t="shared" si="25"/>
        <v>0.85251482357303876</v>
      </c>
      <c r="N8" s="308">
        <f t="shared" si="26"/>
        <v>1</v>
      </c>
      <c r="O8" s="301" t="str">
        <f t="shared" si="27"/>
        <v>Hairmyres</v>
      </c>
      <c r="P8" s="301" t="s">
        <v>100</v>
      </c>
      <c r="Q8" s="403">
        <v>0</v>
      </c>
      <c r="R8" s="403">
        <v>172</v>
      </c>
      <c r="S8" s="403">
        <v>148</v>
      </c>
      <c r="T8" s="403">
        <v>194</v>
      </c>
      <c r="U8" s="856">
        <v>5</v>
      </c>
    </row>
    <row r="9" spans="1:21" ht="12">
      <c r="A9" s="301" t="str">
        <f t="shared" si="0"/>
        <v>FVRH</v>
      </c>
      <c r="B9" s="302">
        <f t="shared" si="15"/>
        <v>0.23923444976076555</v>
      </c>
      <c r="C9" s="302">
        <f t="shared" si="16"/>
        <v>74.168797953964187</v>
      </c>
      <c r="D9" s="303" t="s">
        <v>262</v>
      </c>
      <c r="E9" s="303">
        <f t="shared" si="17"/>
        <v>0</v>
      </c>
      <c r="F9" s="303">
        <f t="shared" si="18"/>
        <v>1</v>
      </c>
      <c r="G9" s="303">
        <f t="shared" si="19"/>
        <v>70</v>
      </c>
      <c r="H9" s="303">
        <f t="shared" si="20"/>
        <v>78</v>
      </c>
      <c r="I9" s="309" t="str">
        <f t="shared" si="21"/>
        <v>0 - 1</v>
      </c>
      <c r="J9" s="305" t="str">
        <f t="shared" si="22"/>
        <v>70 - 78</v>
      </c>
      <c r="K9" s="306">
        <f t="shared" si="23"/>
        <v>73.929563504203415</v>
      </c>
      <c r="L9" s="314">
        <f t="shared" si="24"/>
        <v>0.67394529620822052</v>
      </c>
      <c r="M9" s="314">
        <f t="shared" si="25"/>
        <v>0.80464597387584813</v>
      </c>
      <c r="N9" s="308">
        <f t="shared" si="26"/>
        <v>1</v>
      </c>
      <c r="O9" s="301" t="str">
        <f t="shared" si="27"/>
        <v>FVRH</v>
      </c>
      <c r="P9" s="301" t="s">
        <v>72</v>
      </c>
      <c r="Q9" s="403">
        <v>1</v>
      </c>
      <c r="R9" s="403">
        <v>418</v>
      </c>
      <c r="S9" s="403">
        <v>290</v>
      </c>
      <c r="T9" s="403">
        <v>391</v>
      </c>
      <c r="U9" s="856">
        <v>6</v>
      </c>
    </row>
    <row r="10" spans="1:21" ht="12">
      <c r="A10" s="301" t="str">
        <f t="shared" si="0"/>
        <v>IRH</v>
      </c>
      <c r="B10" s="302">
        <f t="shared" si="15"/>
        <v>0</v>
      </c>
      <c r="C10" s="302">
        <f t="shared" si="16"/>
        <v>72.388059701492537</v>
      </c>
      <c r="D10" s="303" t="s">
        <v>262</v>
      </c>
      <c r="E10" s="303">
        <f t="shared" si="17"/>
        <v>0</v>
      </c>
      <c r="F10" s="303">
        <f t="shared" si="18"/>
        <v>2</v>
      </c>
      <c r="G10" s="303">
        <f t="shared" si="19"/>
        <v>64</v>
      </c>
      <c r="H10" s="303">
        <f t="shared" si="20"/>
        <v>79</v>
      </c>
      <c r="I10" s="309" t="str">
        <f t="shared" si="21"/>
        <v>0 - 2</v>
      </c>
      <c r="J10" s="305" t="str">
        <f t="shared" si="22"/>
        <v>64 - 79</v>
      </c>
      <c r="K10" s="306">
        <f t="shared" si="23"/>
        <v>72.388059701492537</v>
      </c>
      <c r="L10" s="314">
        <f t="shared" si="24"/>
        <v>0.61051868774970608</v>
      </c>
      <c r="M10" s="314">
        <f t="shared" si="25"/>
        <v>0.83724250628014463</v>
      </c>
      <c r="N10" s="308">
        <f t="shared" si="26"/>
        <v>1</v>
      </c>
      <c r="O10" s="301" t="str">
        <f t="shared" si="27"/>
        <v>IRH</v>
      </c>
      <c r="P10" s="301" t="s">
        <v>81</v>
      </c>
      <c r="Q10" s="403">
        <v>0</v>
      </c>
      <c r="R10" s="403">
        <v>175</v>
      </c>
      <c r="S10" s="403">
        <v>97</v>
      </c>
      <c r="T10" s="403">
        <v>134</v>
      </c>
      <c r="U10" s="856">
        <v>7</v>
      </c>
    </row>
    <row r="11" spans="1:21" ht="12">
      <c r="A11" s="301" t="str">
        <f t="shared" si="0"/>
        <v>L&amp;I</v>
      </c>
      <c r="B11" s="302">
        <f t="shared" si="15"/>
        <v>0</v>
      </c>
      <c r="C11" s="302">
        <f t="shared" si="16"/>
        <v>70.588235294117652</v>
      </c>
      <c r="D11" s="303" t="s">
        <v>262</v>
      </c>
      <c r="E11" s="303">
        <f t="shared" si="17"/>
        <v>0</v>
      </c>
      <c r="F11" s="303">
        <f t="shared" si="18"/>
        <v>11</v>
      </c>
      <c r="G11" s="303">
        <f t="shared" si="19"/>
        <v>57</v>
      </c>
      <c r="H11" s="303">
        <f t="shared" si="20"/>
        <v>81</v>
      </c>
      <c r="I11" s="309" t="str">
        <f t="shared" si="21"/>
        <v>0 - 11</v>
      </c>
      <c r="J11" s="305" t="str">
        <f t="shared" si="22"/>
        <v>57 - 81</v>
      </c>
      <c r="K11" s="306">
        <f t="shared" si="23"/>
        <v>70.588235294117652</v>
      </c>
      <c r="L11" s="314">
        <f t="shared" si="24"/>
        <v>0.51860759865578632</v>
      </c>
      <c r="M11" s="314">
        <f t="shared" si="25"/>
        <v>0.89315710722656672</v>
      </c>
      <c r="N11" s="308">
        <f t="shared" si="26"/>
        <v>1</v>
      </c>
      <c r="O11" s="301" t="str">
        <f t="shared" si="27"/>
        <v>L&amp;I</v>
      </c>
      <c r="P11" s="301" t="s">
        <v>94</v>
      </c>
      <c r="Q11" s="403">
        <v>0</v>
      </c>
      <c r="R11" s="403">
        <v>31</v>
      </c>
      <c r="S11" s="403">
        <v>36</v>
      </c>
      <c r="T11" s="403">
        <v>51</v>
      </c>
      <c r="U11" s="856">
        <v>8</v>
      </c>
    </row>
    <row r="12" spans="1:21" ht="12">
      <c r="A12" s="301" t="str">
        <f t="shared" si="0"/>
        <v>Dr Grays</v>
      </c>
      <c r="B12" s="302">
        <f t="shared" si="15"/>
        <v>0</v>
      </c>
      <c r="C12" s="302">
        <f t="shared" si="16"/>
        <v>69.696969696969703</v>
      </c>
      <c r="D12" s="303" t="s">
        <v>262</v>
      </c>
      <c r="E12" s="303">
        <f t="shared" si="17"/>
        <v>0</v>
      </c>
      <c r="F12" s="303">
        <f t="shared" si="18"/>
        <v>5</v>
      </c>
      <c r="G12" s="303">
        <f t="shared" si="19"/>
        <v>60</v>
      </c>
      <c r="H12" s="303">
        <f t="shared" si="20"/>
        <v>78</v>
      </c>
      <c r="I12" s="309" t="str">
        <f t="shared" si="21"/>
        <v>0 - 5</v>
      </c>
      <c r="J12" s="305" t="str">
        <f t="shared" si="22"/>
        <v>60 - 78</v>
      </c>
      <c r="K12" s="306">
        <f t="shared" si="23"/>
        <v>69.696969696969703</v>
      </c>
      <c r="L12" s="314">
        <f t="shared" si="24"/>
        <v>0.56139769757882141</v>
      </c>
      <c r="M12" s="314">
        <f t="shared" si="25"/>
        <v>0.83254169636057263</v>
      </c>
      <c r="N12" s="308">
        <f t="shared" si="26"/>
        <v>1</v>
      </c>
      <c r="O12" s="301" t="str">
        <f t="shared" si="27"/>
        <v>Dr Grays</v>
      </c>
      <c r="P12" s="301" t="s">
        <v>76</v>
      </c>
      <c r="Q12" s="403">
        <v>0</v>
      </c>
      <c r="R12" s="403">
        <v>79</v>
      </c>
      <c r="S12" s="403">
        <v>69</v>
      </c>
      <c r="T12" s="403">
        <v>99</v>
      </c>
      <c r="U12" s="856">
        <v>9</v>
      </c>
    </row>
    <row r="13" spans="1:21" ht="12">
      <c r="A13" s="301" t="str">
        <f t="shared" si="0"/>
        <v>ARI</v>
      </c>
      <c r="B13" s="302">
        <f t="shared" si="15"/>
        <v>1.2320328542094456</v>
      </c>
      <c r="C13" s="302">
        <f t="shared" si="16"/>
        <v>68.930041152263371</v>
      </c>
      <c r="D13" s="303" t="s">
        <v>262</v>
      </c>
      <c r="E13" s="303">
        <f t="shared" si="17"/>
        <v>1</v>
      </c>
      <c r="F13" s="303">
        <f t="shared" si="18"/>
        <v>3</v>
      </c>
      <c r="G13" s="303">
        <f t="shared" si="19"/>
        <v>65</v>
      </c>
      <c r="H13" s="303">
        <f t="shared" si="20"/>
        <v>73</v>
      </c>
      <c r="I13" s="309" t="str">
        <f t="shared" si="21"/>
        <v>1 - 3</v>
      </c>
      <c r="J13" s="305" t="str">
        <f t="shared" si="22"/>
        <v>65 - 73</v>
      </c>
      <c r="K13" s="306">
        <f t="shared" si="23"/>
        <v>67.698008298053921</v>
      </c>
      <c r="L13" s="314">
        <f t="shared" si="24"/>
        <v>0.61364121347467215</v>
      </c>
      <c r="M13" s="314">
        <f t="shared" si="25"/>
        <v>0.74031895248640656</v>
      </c>
      <c r="N13" s="308">
        <f t="shared" si="26"/>
        <v>1</v>
      </c>
      <c r="O13" s="301" t="str">
        <f t="shared" si="27"/>
        <v>ARI</v>
      </c>
      <c r="P13" s="301" t="s">
        <v>74</v>
      </c>
      <c r="Q13" s="403">
        <v>6</v>
      </c>
      <c r="R13" s="403">
        <v>487</v>
      </c>
      <c r="S13" s="403">
        <v>335</v>
      </c>
      <c r="T13" s="403">
        <v>486</v>
      </c>
      <c r="U13" s="856">
        <v>10</v>
      </c>
    </row>
    <row r="14" spans="1:21" ht="12">
      <c r="A14" s="301" t="str">
        <f t="shared" si="0"/>
        <v>RIE</v>
      </c>
      <c r="B14" s="302">
        <f t="shared" si="15"/>
        <v>0.15384615384615385</v>
      </c>
      <c r="C14" s="302">
        <f t="shared" si="16"/>
        <v>67.58169934640523</v>
      </c>
      <c r="D14" s="303" t="s">
        <v>262</v>
      </c>
      <c r="E14" s="303">
        <f t="shared" si="17"/>
        <v>0</v>
      </c>
      <c r="F14" s="303">
        <f t="shared" si="18"/>
        <v>1</v>
      </c>
      <c r="G14" s="303">
        <f t="shared" si="19"/>
        <v>64</v>
      </c>
      <c r="H14" s="303">
        <f t="shared" si="20"/>
        <v>71</v>
      </c>
      <c r="I14" s="309" t="str">
        <f t="shared" si="21"/>
        <v>0 - 1</v>
      </c>
      <c r="J14" s="305" t="str">
        <f t="shared" si="22"/>
        <v>64 - 71</v>
      </c>
      <c r="K14" s="306">
        <f t="shared" si="23"/>
        <v>67.42785319255907</v>
      </c>
      <c r="L14" s="314">
        <f t="shared" si="24"/>
        <v>0.62440144572081901</v>
      </c>
      <c r="M14" s="314">
        <f t="shared" si="25"/>
        <v>0.72415561813036267</v>
      </c>
      <c r="N14" s="308">
        <f t="shared" si="26"/>
        <v>1</v>
      </c>
      <c r="O14" s="301" t="str">
        <f t="shared" si="27"/>
        <v>RIE</v>
      </c>
      <c r="P14" s="301" t="s">
        <v>108</v>
      </c>
      <c r="Q14" s="403">
        <v>1</v>
      </c>
      <c r="R14" s="403">
        <v>650</v>
      </c>
      <c r="S14" s="403">
        <v>517</v>
      </c>
      <c r="T14" s="403">
        <v>765</v>
      </c>
      <c r="U14" s="856">
        <v>11</v>
      </c>
    </row>
    <row r="15" spans="1:21" ht="12">
      <c r="A15" s="301" t="str">
        <f t="shared" si="0"/>
        <v>RAH</v>
      </c>
      <c r="B15" s="302">
        <f t="shared" si="15"/>
        <v>0</v>
      </c>
      <c r="C15" s="302">
        <f t="shared" si="16"/>
        <v>66.785714285714278</v>
      </c>
      <c r="D15" s="303" t="s">
        <v>262</v>
      </c>
      <c r="E15" s="303">
        <f t="shared" si="17"/>
        <v>0</v>
      </c>
      <c r="F15" s="303">
        <f t="shared" si="18"/>
        <v>1</v>
      </c>
      <c r="G15" s="303">
        <f t="shared" si="19"/>
        <v>61</v>
      </c>
      <c r="H15" s="303">
        <f t="shared" si="20"/>
        <v>72</v>
      </c>
      <c r="I15" s="309" t="str">
        <f t="shared" si="21"/>
        <v>0 - 1</v>
      </c>
      <c r="J15" s="305" t="str">
        <f t="shared" si="22"/>
        <v>61 - 72</v>
      </c>
      <c r="K15" s="306">
        <f t="shared" si="23"/>
        <v>66.785714285714278</v>
      </c>
      <c r="L15" s="314">
        <f t="shared" si="24"/>
        <v>0.58524139269011211</v>
      </c>
      <c r="M15" s="314">
        <f t="shared" si="25"/>
        <v>0.75047289302417353</v>
      </c>
      <c r="N15" s="308">
        <f t="shared" si="26"/>
        <v>1</v>
      </c>
      <c r="O15" s="301" t="str">
        <f t="shared" si="27"/>
        <v>RAH</v>
      </c>
      <c r="P15" s="301" t="s">
        <v>84</v>
      </c>
      <c r="Q15" s="403">
        <v>0</v>
      </c>
      <c r="R15" s="403">
        <v>284</v>
      </c>
      <c r="S15" s="403">
        <v>187</v>
      </c>
      <c r="T15" s="403">
        <v>280</v>
      </c>
      <c r="U15" s="856">
        <v>12</v>
      </c>
    </row>
    <row r="16" spans="1:21" ht="12">
      <c r="A16" s="301" t="str">
        <f t="shared" si="0"/>
        <v>DGRI</v>
      </c>
      <c r="B16" s="302">
        <f t="shared" si="15"/>
        <v>0</v>
      </c>
      <c r="C16" s="302">
        <f t="shared" si="16"/>
        <v>65.734265734265733</v>
      </c>
      <c r="D16" s="303" t="s">
        <v>262</v>
      </c>
      <c r="E16" s="303">
        <f t="shared" si="17"/>
        <v>0</v>
      </c>
      <c r="F16" s="303">
        <f t="shared" si="18"/>
        <v>2</v>
      </c>
      <c r="G16" s="303">
        <f t="shared" si="19"/>
        <v>58</v>
      </c>
      <c r="H16" s="303">
        <f t="shared" si="20"/>
        <v>73</v>
      </c>
      <c r="I16" s="309" t="str">
        <f t="shared" si="21"/>
        <v>0 - 2</v>
      </c>
      <c r="J16" s="305" t="str">
        <f t="shared" si="22"/>
        <v>58 - 73</v>
      </c>
      <c r="K16" s="306">
        <f t="shared" si="23"/>
        <v>65.734265734265733</v>
      </c>
      <c r="L16" s="314">
        <f t="shared" si="24"/>
        <v>0.54085081044001393</v>
      </c>
      <c r="M16" s="314">
        <f t="shared" si="25"/>
        <v>0.77383450424530065</v>
      </c>
      <c r="N16" s="308">
        <f t="shared" si="26"/>
        <v>1</v>
      </c>
      <c r="O16" s="301" t="str">
        <f t="shared" si="27"/>
        <v>DGRI</v>
      </c>
      <c r="P16" s="301" t="s">
        <v>64</v>
      </c>
      <c r="Q16" s="403">
        <v>0</v>
      </c>
      <c r="R16" s="403">
        <v>159</v>
      </c>
      <c r="S16" s="403">
        <v>94</v>
      </c>
      <c r="T16" s="403">
        <v>143</v>
      </c>
      <c r="U16" s="856">
        <v>13</v>
      </c>
    </row>
    <row r="17" spans="1:21" ht="12">
      <c r="A17" s="301" t="str">
        <f t="shared" si="0"/>
        <v>Belford*</v>
      </c>
      <c r="B17" s="302">
        <f t="shared" si="15"/>
        <v>0</v>
      </c>
      <c r="C17" s="302">
        <f t="shared" si="16"/>
        <v>65.517241379310349</v>
      </c>
      <c r="D17" s="303" t="s">
        <v>262</v>
      </c>
      <c r="E17" s="303">
        <f t="shared" si="17"/>
        <v>0</v>
      </c>
      <c r="F17" s="303">
        <f t="shared" si="18"/>
        <v>13</v>
      </c>
      <c r="G17" s="303">
        <f t="shared" si="19"/>
        <v>47</v>
      </c>
      <c r="H17" s="303">
        <f t="shared" si="20"/>
        <v>80</v>
      </c>
      <c r="I17" s="309" t="str">
        <f t="shared" si="21"/>
        <v>0 - 13</v>
      </c>
      <c r="J17" s="305" t="str">
        <f t="shared" si="22"/>
        <v>47 - 80</v>
      </c>
      <c r="K17" s="306">
        <f t="shared" si="23"/>
        <v>65.517241379310349</v>
      </c>
      <c r="L17" s="314">
        <f t="shared" si="24"/>
        <v>0.39610223562148739</v>
      </c>
      <c r="M17" s="314">
        <f t="shared" si="25"/>
        <v>0.91424259196471946</v>
      </c>
      <c r="N17" s="308">
        <f t="shared" si="26"/>
        <v>1</v>
      </c>
      <c r="O17" s="301" t="str">
        <f t="shared" si="27"/>
        <v>Belford*</v>
      </c>
      <c r="P17" s="301" t="s">
        <v>88</v>
      </c>
      <c r="Q17" s="403">
        <v>0</v>
      </c>
      <c r="R17" s="403">
        <v>25</v>
      </c>
      <c r="S17" s="403">
        <v>19</v>
      </c>
      <c r="T17" s="403">
        <v>29</v>
      </c>
      <c r="U17" s="856">
        <v>14</v>
      </c>
    </row>
    <row r="18" spans="1:21" ht="12">
      <c r="A18" s="301" t="str">
        <f t="shared" si="0"/>
        <v>SJH</v>
      </c>
      <c r="B18" s="302">
        <f t="shared" si="15"/>
        <v>0.625</v>
      </c>
      <c r="C18" s="302">
        <f t="shared" si="16"/>
        <v>65.340909090909093</v>
      </c>
      <c r="D18" s="303" t="s">
        <v>262</v>
      </c>
      <c r="E18" s="303">
        <f t="shared" si="17"/>
        <v>0</v>
      </c>
      <c r="F18" s="303">
        <f t="shared" si="18"/>
        <v>3</v>
      </c>
      <c r="G18" s="303">
        <f t="shared" si="19"/>
        <v>58</v>
      </c>
      <c r="H18" s="303">
        <f t="shared" si="20"/>
        <v>72</v>
      </c>
      <c r="I18" s="309" t="str">
        <f t="shared" si="21"/>
        <v>0 - 3</v>
      </c>
      <c r="J18" s="305" t="str">
        <f t="shared" si="22"/>
        <v>58 - 72</v>
      </c>
      <c r="K18" s="306">
        <f t="shared" si="23"/>
        <v>64.715909090909093</v>
      </c>
      <c r="L18" s="314">
        <f t="shared" si="24"/>
        <v>0.54029384284837745</v>
      </c>
      <c r="M18" s="314">
        <f t="shared" si="25"/>
        <v>0.75402433896980448</v>
      </c>
      <c r="N18" s="308">
        <f t="shared" si="26"/>
        <v>1</v>
      </c>
      <c r="O18" s="301" t="str">
        <f t="shared" si="27"/>
        <v>SJH</v>
      </c>
      <c r="P18" s="301" t="s">
        <v>111</v>
      </c>
      <c r="Q18" s="403">
        <v>1</v>
      </c>
      <c r="R18" s="403">
        <v>160</v>
      </c>
      <c r="S18" s="403">
        <v>115</v>
      </c>
      <c r="T18" s="403">
        <v>176</v>
      </c>
      <c r="U18" s="856">
        <v>15</v>
      </c>
    </row>
    <row r="19" spans="1:21" ht="12">
      <c r="A19" s="301" t="str">
        <f t="shared" si="0"/>
        <v>Ninewells</v>
      </c>
      <c r="B19" s="302">
        <f t="shared" si="15"/>
        <v>0.32679738562091504</v>
      </c>
      <c r="C19" s="302">
        <f t="shared" si="16"/>
        <v>63.661971830985919</v>
      </c>
      <c r="D19" s="303" t="s">
        <v>262</v>
      </c>
      <c r="E19" s="303">
        <f t="shared" si="17"/>
        <v>0</v>
      </c>
      <c r="F19" s="303">
        <f t="shared" si="18"/>
        <v>2</v>
      </c>
      <c r="G19" s="303">
        <f t="shared" si="19"/>
        <v>59</v>
      </c>
      <c r="H19" s="303">
        <f t="shared" si="20"/>
        <v>68</v>
      </c>
      <c r="I19" s="309" t="str">
        <f t="shared" si="21"/>
        <v>0 - 2</v>
      </c>
      <c r="J19" s="305" t="str">
        <f t="shared" si="22"/>
        <v>59 - 68</v>
      </c>
      <c r="K19" s="306">
        <f t="shared" si="23"/>
        <v>63.335174445365006</v>
      </c>
      <c r="L19" s="314">
        <f t="shared" si="24"/>
        <v>0.55781423997825219</v>
      </c>
      <c r="M19" s="314">
        <f t="shared" si="25"/>
        <v>0.70888924892904792</v>
      </c>
      <c r="N19" s="308">
        <f t="shared" si="26"/>
        <v>1</v>
      </c>
      <c r="O19" s="301" t="str">
        <f t="shared" si="27"/>
        <v>Ninewells</v>
      </c>
      <c r="P19" s="301" t="s">
        <v>123</v>
      </c>
      <c r="Q19" s="403">
        <v>1</v>
      </c>
      <c r="R19" s="403">
        <v>306</v>
      </c>
      <c r="S19" s="403">
        <v>226</v>
      </c>
      <c r="T19" s="403">
        <v>355</v>
      </c>
      <c r="U19" s="856">
        <v>16</v>
      </c>
    </row>
    <row r="20" spans="1:21" ht="12">
      <c r="A20" s="301" t="str">
        <f t="shared" si="0"/>
        <v>Monklands</v>
      </c>
      <c r="B20" s="302">
        <f t="shared" si="15"/>
        <v>0</v>
      </c>
      <c r="C20" s="302">
        <f t="shared" si="16"/>
        <v>63.030303030303024</v>
      </c>
      <c r="D20" s="303" t="s">
        <v>262</v>
      </c>
      <c r="E20" s="303">
        <f t="shared" si="17"/>
        <v>0</v>
      </c>
      <c r="F20" s="303">
        <f t="shared" si="18"/>
        <v>2</v>
      </c>
      <c r="G20" s="303">
        <f t="shared" si="19"/>
        <v>55</v>
      </c>
      <c r="H20" s="303">
        <f t="shared" si="20"/>
        <v>70</v>
      </c>
      <c r="I20" s="309" t="str">
        <f t="shared" si="21"/>
        <v>0 - 2</v>
      </c>
      <c r="J20" s="305" t="str">
        <f t="shared" si="22"/>
        <v>55 - 70</v>
      </c>
      <c r="K20" s="306">
        <f t="shared" si="23"/>
        <v>63.030303030303024</v>
      </c>
      <c r="L20" s="314">
        <f t="shared" si="24"/>
        <v>0.51999851489976257</v>
      </c>
      <c r="M20" s="314">
        <f t="shared" si="25"/>
        <v>0.74060754570629794</v>
      </c>
      <c r="N20" s="308">
        <f t="shared" si="26"/>
        <v>1</v>
      </c>
      <c r="O20" s="301" t="str">
        <f t="shared" si="27"/>
        <v>Monklands</v>
      </c>
      <c r="P20" s="301" t="s">
        <v>103</v>
      </c>
      <c r="Q20" s="403">
        <v>0</v>
      </c>
      <c r="R20" s="403">
        <v>201</v>
      </c>
      <c r="S20" s="403">
        <v>104</v>
      </c>
      <c r="T20" s="403">
        <v>165</v>
      </c>
      <c r="U20" s="856">
        <v>17</v>
      </c>
    </row>
    <row r="21" spans="1:21" ht="12">
      <c r="A21" s="301" t="str">
        <f t="shared" si="0"/>
        <v>WGH</v>
      </c>
      <c r="B21" s="302">
        <f t="shared" si="15"/>
        <v>3.3898305084745761</v>
      </c>
      <c r="C21" s="302">
        <f t="shared" si="16"/>
        <v>59.895833333333336</v>
      </c>
      <c r="D21" s="303" t="s">
        <v>262</v>
      </c>
      <c r="E21" s="303">
        <f t="shared" si="17"/>
        <v>2</v>
      </c>
      <c r="F21" s="303">
        <f t="shared" si="18"/>
        <v>7</v>
      </c>
      <c r="G21" s="303">
        <f t="shared" si="19"/>
        <v>53</v>
      </c>
      <c r="H21" s="303">
        <f t="shared" si="20"/>
        <v>67</v>
      </c>
      <c r="I21" s="309" t="str">
        <f t="shared" si="21"/>
        <v>2 - 7</v>
      </c>
      <c r="J21" s="305" t="str">
        <f t="shared" si="22"/>
        <v>53 - 67</v>
      </c>
      <c r="K21" s="306">
        <f t="shared" si="23"/>
        <v>56.506002824858761</v>
      </c>
      <c r="L21" s="314">
        <f t="shared" si="24"/>
        <v>0.45382784908428614</v>
      </c>
      <c r="M21" s="314">
        <f t="shared" si="25"/>
        <v>0.67629220741288909</v>
      </c>
      <c r="N21" s="308">
        <f t="shared" si="26"/>
        <v>1</v>
      </c>
      <c r="O21" s="301" t="str">
        <f t="shared" si="27"/>
        <v>WGH</v>
      </c>
      <c r="P21" s="301" t="s">
        <v>114</v>
      </c>
      <c r="Q21" s="403">
        <v>6</v>
      </c>
      <c r="R21" s="403">
        <v>177</v>
      </c>
      <c r="S21" s="403">
        <v>115</v>
      </c>
      <c r="T21" s="403">
        <v>192</v>
      </c>
      <c r="U21" s="856">
        <v>18</v>
      </c>
    </row>
    <row r="22" spans="1:21" ht="12">
      <c r="A22" s="301" t="str">
        <f t="shared" si="0"/>
        <v>PRI</v>
      </c>
      <c r="B22" s="302">
        <f t="shared" si="15"/>
        <v>0</v>
      </c>
      <c r="C22" s="302">
        <f t="shared" si="16"/>
        <v>59.872611464968152</v>
      </c>
      <c r="D22" s="303" t="s">
        <v>262</v>
      </c>
      <c r="E22" s="303">
        <f t="shared" si="17"/>
        <v>0</v>
      </c>
      <c r="F22" s="303">
        <f t="shared" si="18"/>
        <v>3</v>
      </c>
      <c r="G22" s="303">
        <f t="shared" si="19"/>
        <v>52</v>
      </c>
      <c r="H22" s="303">
        <f t="shared" si="20"/>
        <v>67</v>
      </c>
      <c r="I22" s="309" t="str">
        <f t="shared" si="21"/>
        <v>0 - 3</v>
      </c>
      <c r="J22" s="305" t="str">
        <f t="shared" si="22"/>
        <v>52 - 67</v>
      </c>
      <c r="K22" s="306">
        <f t="shared" si="23"/>
        <v>59.872611464968152</v>
      </c>
      <c r="L22" s="314">
        <f t="shared" si="24"/>
        <v>0.48390484546178764</v>
      </c>
      <c r="M22" s="314">
        <f t="shared" si="25"/>
        <v>0.71354738383757543</v>
      </c>
      <c r="N22" s="308">
        <f t="shared" si="26"/>
        <v>1</v>
      </c>
      <c r="O22" s="301" t="str">
        <f t="shared" si="27"/>
        <v>PRI</v>
      </c>
      <c r="P22" s="301" t="s">
        <v>126</v>
      </c>
      <c r="Q22" s="403">
        <v>0</v>
      </c>
      <c r="R22" s="403">
        <v>110</v>
      </c>
      <c r="S22" s="403">
        <v>94</v>
      </c>
      <c r="T22" s="403">
        <v>157</v>
      </c>
      <c r="U22" s="856">
        <v>19</v>
      </c>
    </row>
    <row r="23" spans="1:21" ht="12">
      <c r="A23" s="301" t="str">
        <f t="shared" si="0"/>
        <v>Wishaw</v>
      </c>
      <c r="B23" s="302">
        <f t="shared" si="15"/>
        <v>0</v>
      </c>
      <c r="C23" s="302">
        <f t="shared" si="16"/>
        <v>59.534883720930232</v>
      </c>
      <c r="D23" s="303" t="s">
        <v>262</v>
      </c>
      <c r="E23" s="303">
        <f t="shared" si="17"/>
        <v>0</v>
      </c>
      <c r="F23" s="303">
        <f t="shared" si="18"/>
        <v>2</v>
      </c>
      <c r="G23" s="303">
        <f t="shared" si="19"/>
        <v>53</v>
      </c>
      <c r="H23" s="303">
        <f t="shared" si="20"/>
        <v>66</v>
      </c>
      <c r="I23" s="309" t="str">
        <f t="shared" si="21"/>
        <v>0 - 2</v>
      </c>
      <c r="J23" s="305" t="str">
        <f t="shared" si="22"/>
        <v>53 - 66</v>
      </c>
      <c r="K23" s="306">
        <f t="shared" si="23"/>
        <v>59.534883720930232</v>
      </c>
      <c r="L23" s="314">
        <f t="shared" si="24"/>
        <v>0.49709612641173961</v>
      </c>
      <c r="M23" s="314">
        <f t="shared" si="25"/>
        <v>0.69360154800686502</v>
      </c>
      <c r="N23" s="308">
        <f t="shared" si="26"/>
        <v>1</v>
      </c>
      <c r="O23" s="301" t="str">
        <f t="shared" si="27"/>
        <v>Wishaw</v>
      </c>
      <c r="P23" s="301" t="s">
        <v>106</v>
      </c>
      <c r="Q23" s="403">
        <v>0</v>
      </c>
      <c r="R23" s="403">
        <v>226</v>
      </c>
      <c r="S23" s="403">
        <v>128</v>
      </c>
      <c r="T23" s="403">
        <v>215</v>
      </c>
      <c r="U23" s="856">
        <v>20</v>
      </c>
    </row>
    <row r="24" spans="1:21" ht="12">
      <c r="A24" s="301" t="str">
        <f t="shared" si="0"/>
        <v>GRI</v>
      </c>
      <c r="B24" s="302">
        <f t="shared" si="15"/>
        <v>1.5695067264573992</v>
      </c>
      <c r="C24" s="302">
        <f t="shared" si="16"/>
        <v>58.687258687258691</v>
      </c>
      <c r="D24" s="303" t="s">
        <v>262</v>
      </c>
      <c r="E24" s="303">
        <f t="shared" si="17"/>
        <v>1</v>
      </c>
      <c r="F24" s="303">
        <f t="shared" si="18"/>
        <v>3</v>
      </c>
      <c r="G24" s="303">
        <f t="shared" si="19"/>
        <v>54</v>
      </c>
      <c r="H24" s="303">
        <f t="shared" si="20"/>
        <v>63</v>
      </c>
      <c r="I24" s="309" t="str">
        <f t="shared" si="21"/>
        <v>1 - 3</v>
      </c>
      <c r="J24" s="305" t="str">
        <f t="shared" si="22"/>
        <v>54 - 63</v>
      </c>
      <c r="K24" s="306">
        <f t="shared" si="23"/>
        <v>57.117751960801293</v>
      </c>
      <c r="L24" s="314">
        <f t="shared" si="24"/>
        <v>0.50536784086014175</v>
      </c>
      <c r="M24" s="314">
        <f t="shared" si="25"/>
        <v>0.63698719835588402</v>
      </c>
      <c r="N24" s="308">
        <f t="shared" si="26"/>
        <v>1</v>
      </c>
      <c r="O24" s="301" t="str">
        <f t="shared" si="27"/>
        <v>GRI</v>
      </c>
      <c r="P24" s="301" t="s">
        <v>79</v>
      </c>
      <c r="Q24" s="403">
        <v>7</v>
      </c>
      <c r="R24" s="403">
        <v>446</v>
      </c>
      <c r="S24" s="403">
        <v>304</v>
      </c>
      <c r="T24" s="403">
        <v>518</v>
      </c>
      <c r="U24" s="856">
        <v>21</v>
      </c>
    </row>
    <row r="25" spans="1:21" ht="12">
      <c r="A25" s="301" t="str">
        <f t="shared" si="0"/>
        <v>Gilbert Bain*</v>
      </c>
      <c r="B25" s="302">
        <f t="shared" si="15"/>
        <v>0</v>
      </c>
      <c r="C25" s="302">
        <f t="shared" si="16"/>
        <v>58.064516129032263</v>
      </c>
      <c r="D25" s="303" t="s">
        <v>262</v>
      </c>
      <c r="E25" s="303">
        <f t="shared" si="17"/>
        <v>0</v>
      </c>
      <c r="F25" s="303">
        <f t="shared" si="18"/>
        <v>11</v>
      </c>
      <c r="G25" s="303">
        <f t="shared" si="19"/>
        <v>41</v>
      </c>
      <c r="H25" s="303">
        <f t="shared" si="20"/>
        <v>74</v>
      </c>
      <c r="I25" s="309" t="str">
        <f t="shared" si="21"/>
        <v>0 - 11</v>
      </c>
      <c r="J25" s="305" t="str">
        <f t="shared" si="22"/>
        <v>41 - 74</v>
      </c>
      <c r="K25" s="306">
        <f t="shared" si="23"/>
        <v>58.064516129032263</v>
      </c>
      <c r="L25" s="314">
        <f t="shared" si="24"/>
        <v>0.32050763380428798</v>
      </c>
      <c r="M25" s="314">
        <f t="shared" si="25"/>
        <v>0.8407826887763572</v>
      </c>
      <c r="N25" s="308">
        <f t="shared" si="26"/>
        <v>1</v>
      </c>
      <c r="O25" s="301" t="str">
        <f t="shared" si="27"/>
        <v>Gilbert Bain*</v>
      </c>
      <c r="P25" s="301" t="s">
        <v>120</v>
      </c>
      <c r="Q25" s="403">
        <v>0</v>
      </c>
      <c r="R25" s="403">
        <v>31</v>
      </c>
      <c r="S25" s="403">
        <v>18</v>
      </c>
      <c r="T25" s="403">
        <v>31</v>
      </c>
      <c r="U25" s="856">
        <v>22</v>
      </c>
    </row>
    <row r="26" spans="1:21" ht="12">
      <c r="A26" s="301" t="str">
        <f t="shared" si="0"/>
        <v>QEUH</v>
      </c>
      <c r="B26" s="302">
        <f t="shared" si="15"/>
        <v>0.6097560975609756</v>
      </c>
      <c r="C26" s="302">
        <f t="shared" si="16"/>
        <v>57.497517378351539</v>
      </c>
      <c r="D26" s="303" t="s">
        <v>262</v>
      </c>
      <c r="E26" s="303">
        <f t="shared" si="17"/>
        <v>0</v>
      </c>
      <c r="F26" s="303">
        <f t="shared" si="18"/>
        <v>1</v>
      </c>
      <c r="G26" s="303">
        <f t="shared" si="19"/>
        <v>54</v>
      </c>
      <c r="H26" s="303">
        <f t="shared" si="20"/>
        <v>61</v>
      </c>
      <c r="I26" s="309" t="str">
        <f t="shared" si="21"/>
        <v>0 - 1</v>
      </c>
      <c r="J26" s="305" t="str">
        <f t="shared" si="22"/>
        <v>54 - 61</v>
      </c>
      <c r="K26" s="306">
        <f t="shared" si="23"/>
        <v>56.887761280790563</v>
      </c>
      <c r="L26" s="314">
        <f t="shared" si="24"/>
        <v>0.52257593321707607</v>
      </c>
      <c r="M26" s="314">
        <f t="shared" si="25"/>
        <v>0.61517929239873514</v>
      </c>
      <c r="N26" s="308">
        <f t="shared" si="26"/>
        <v>1</v>
      </c>
      <c r="O26" s="301" t="str">
        <f t="shared" si="27"/>
        <v>QEUH</v>
      </c>
      <c r="P26" s="301" t="s">
        <v>447</v>
      </c>
      <c r="Q26" s="403">
        <v>6</v>
      </c>
      <c r="R26" s="403">
        <v>984</v>
      </c>
      <c r="S26" s="403">
        <v>579</v>
      </c>
      <c r="T26" s="403">
        <v>1007</v>
      </c>
      <c r="U26" s="856">
        <v>23</v>
      </c>
    </row>
    <row r="27" spans="1:21" ht="12">
      <c r="A27" s="301" t="str">
        <f t="shared" si="0"/>
        <v>GCH*</v>
      </c>
      <c r="B27" s="302">
        <f t="shared" si="15"/>
        <v>0</v>
      </c>
      <c r="C27" s="302">
        <f t="shared" si="16"/>
        <v>54.166666666666664</v>
      </c>
      <c r="D27" s="303" t="s">
        <v>262</v>
      </c>
      <c r="E27" s="303">
        <f t="shared" si="17"/>
        <v>0</v>
      </c>
      <c r="F27" s="303">
        <f t="shared" si="18"/>
        <v>9</v>
      </c>
      <c r="G27" s="303">
        <f t="shared" si="19"/>
        <v>35</v>
      </c>
      <c r="H27" s="303">
        <f t="shared" si="20"/>
        <v>72</v>
      </c>
      <c r="I27" s="309" t="str">
        <f t="shared" si="21"/>
        <v>0 - 9</v>
      </c>
      <c r="J27" s="305" t="str">
        <f t="shared" si="22"/>
        <v>35 - 72</v>
      </c>
      <c r="K27" s="306">
        <f t="shared" si="23"/>
        <v>54.166666666666664</v>
      </c>
      <c r="L27" s="314">
        <f t="shared" si="24"/>
        <v>0.24313611993805911</v>
      </c>
      <c r="M27" s="314">
        <f t="shared" si="25"/>
        <v>0.8401972133952742</v>
      </c>
      <c r="N27" s="308">
        <f t="shared" si="26"/>
        <v>1</v>
      </c>
      <c r="O27" s="301" t="str">
        <f t="shared" si="27"/>
        <v>GCH*</v>
      </c>
      <c r="P27" s="301" t="s">
        <v>67</v>
      </c>
      <c r="Q27" s="403">
        <v>0</v>
      </c>
      <c r="R27" s="403">
        <v>37</v>
      </c>
      <c r="S27" s="403">
        <v>13</v>
      </c>
      <c r="T27" s="403">
        <v>24</v>
      </c>
      <c r="U27" s="856">
        <v>24</v>
      </c>
    </row>
    <row r="28" spans="1:21" ht="12">
      <c r="A28" s="301" t="str">
        <f t="shared" si="0"/>
        <v>Balfour</v>
      </c>
      <c r="B28" s="302">
        <f t="shared" si="15"/>
        <v>0</v>
      </c>
      <c r="C28" s="302">
        <f t="shared" si="16"/>
        <v>52</v>
      </c>
      <c r="D28" s="303" t="s">
        <v>262</v>
      </c>
      <c r="E28" s="303">
        <f t="shared" si="17"/>
        <v>0</v>
      </c>
      <c r="F28" s="303">
        <f t="shared" si="18"/>
        <v>8</v>
      </c>
      <c r="G28" s="303">
        <f t="shared" si="19"/>
        <v>33</v>
      </c>
      <c r="H28" s="303">
        <f t="shared" si="20"/>
        <v>70</v>
      </c>
      <c r="I28" s="309" t="str">
        <f t="shared" si="21"/>
        <v>0 - 8</v>
      </c>
      <c r="J28" s="305" t="str">
        <f t="shared" si="22"/>
        <v>33 - 70</v>
      </c>
      <c r="K28" s="306">
        <f t="shared" si="23"/>
        <v>52</v>
      </c>
      <c r="L28" s="314">
        <f t="shared" si="24"/>
        <v>0.2267149630724401</v>
      </c>
      <c r="M28" s="314">
        <f t="shared" si="25"/>
        <v>0.81328503692755993</v>
      </c>
      <c r="N28" s="308">
        <f t="shared" si="26"/>
        <v>1</v>
      </c>
      <c r="O28" s="301" t="str">
        <f t="shared" si="27"/>
        <v>Balfour</v>
      </c>
      <c r="P28" s="301" t="s">
        <v>117</v>
      </c>
      <c r="Q28" s="403">
        <v>0</v>
      </c>
      <c r="R28" s="403">
        <v>43</v>
      </c>
      <c r="S28" s="403">
        <v>13</v>
      </c>
      <c r="T28" s="403">
        <v>25</v>
      </c>
      <c r="U28" s="856">
        <v>25</v>
      </c>
    </row>
    <row r="29" spans="1:21" ht="12">
      <c r="A29" s="301" t="str">
        <f t="shared" si="0"/>
        <v>Raigmore</v>
      </c>
      <c r="B29" s="302">
        <f t="shared" si="15"/>
        <v>0.64308681672025725</v>
      </c>
      <c r="C29" s="302">
        <f t="shared" si="16"/>
        <v>51.838235294117652</v>
      </c>
      <c r="D29" s="303" t="s">
        <v>262</v>
      </c>
      <c r="E29" s="303">
        <f t="shared" si="17"/>
        <v>0</v>
      </c>
      <c r="F29" s="303">
        <f t="shared" si="18"/>
        <v>2</v>
      </c>
      <c r="G29" s="303">
        <f t="shared" si="19"/>
        <v>46</v>
      </c>
      <c r="H29" s="303">
        <f t="shared" si="20"/>
        <v>58</v>
      </c>
      <c r="I29" s="309" t="str">
        <f t="shared" si="21"/>
        <v>0 - 2</v>
      </c>
      <c r="J29" s="305" t="str">
        <f t="shared" si="22"/>
        <v>46 - 58</v>
      </c>
      <c r="K29" s="306">
        <f t="shared" si="23"/>
        <v>51.195148477397396</v>
      </c>
      <c r="L29" s="314">
        <f t="shared" si="24"/>
        <v>0.42203561778098098</v>
      </c>
      <c r="M29" s="314">
        <f t="shared" si="25"/>
        <v>0.60186735176696682</v>
      </c>
      <c r="N29" s="308">
        <f t="shared" si="26"/>
        <v>1</v>
      </c>
      <c r="O29" s="301" t="str">
        <f t="shared" si="27"/>
        <v>Raigmore</v>
      </c>
      <c r="P29" s="301" t="s">
        <v>97</v>
      </c>
      <c r="Q29" s="403">
        <v>2</v>
      </c>
      <c r="R29" s="403">
        <v>311</v>
      </c>
      <c r="S29" s="403">
        <v>141</v>
      </c>
      <c r="T29" s="403">
        <v>272</v>
      </c>
      <c r="U29" s="856">
        <v>26</v>
      </c>
    </row>
    <row r="30" spans="1:21" ht="12">
      <c r="A30" s="301" t="str">
        <f t="shared" si="0"/>
        <v>Western Isles</v>
      </c>
      <c r="B30" s="302">
        <f t="shared" si="15"/>
        <v>0</v>
      </c>
      <c r="C30" s="302">
        <f t="shared" si="16"/>
        <v>42.857142857142854</v>
      </c>
      <c r="D30" s="303" t="s">
        <v>262</v>
      </c>
      <c r="E30" s="303">
        <f t="shared" si="17"/>
        <v>0</v>
      </c>
      <c r="F30" s="303">
        <f t="shared" si="18"/>
        <v>14</v>
      </c>
      <c r="G30" s="303">
        <f t="shared" si="19"/>
        <v>24</v>
      </c>
      <c r="H30" s="303">
        <f t="shared" si="20"/>
        <v>63</v>
      </c>
      <c r="I30" s="309" t="str">
        <f t="shared" si="21"/>
        <v>0 - 14</v>
      </c>
      <c r="J30" s="305" t="str">
        <f t="shared" si="22"/>
        <v>24 - 63</v>
      </c>
      <c r="K30" s="306">
        <f t="shared" si="23"/>
        <v>42.857142857142854</v>
      </c>
      <c r="L30" s="314">
        <f t="shared" si="24"/>
        <v>0.11159967987795411</v>
      </c>
      <c r="M30" s="314">
        <f t="shared" si="25"/>
        <v>0.74554317726490305</v>
      </c>
      <c r="N30" s="308">
        <f t="shared" si="26"/>
        <v>1</v>
      </c>
      <c r="O30" s="301" t="str">
        <f t="shared" si="27"/>
        <v>Western Isles</v>
      </c>
      <c r="P30" s="301" t="s">
        <v>132</v>
      </c>
      <c r="Q30" s="403">
        <v>0</v>
      </c>
      <c r="R30" s="403">
        <v>24</v>
      </c>
      <c r="S30" s="403">
        <v>9</v>
      </c>
      <c r="T30" s="403">
        <v>21</v>
      </c>
      <c r="U30" s="856">
        <v>27</v>
      </c>
    </row>
    <row r="31" spans="1:21" ht="12">
      <c r="A31" s="301" t="str">
        <f t="shared" si="0"/>
        <v>Ayr</v>
      </c>
      <c r="B31" s="302">
        <f t="shared" si="15"/>
        <v>0</v>
      </c>
      <c r="C31" s="302">
        <f t="shared" si="16"/>
        <v>9.0909090909090917</v>
      </c>
      <c r="D31" s="303" t="s">
        <v>262</v>
      </c>
      <c r="E31" s="303">
        <f t="shared" si="17"/>
        <v>0</v>
      </c>
      <c r="F31" s="303">
        <f t="shared" si="18"/>
        <v>2</v>
      </c>
      <c r="G31" s="303">
        <f t="shared" si="19"/>
        <v>3</v>
      </c>
      <c r="H31" s="303">
        <f t="shared" si="20"/>
        <v>28</v>
      </c>
      <c r="I31" s="309" t="str">
        <f t="shared" si="21"/>
        <v>0 - 2</v>
      </c>
      <c r="J31" s="305" t="str">
        <f t="shared" si="22"/>
        <v>3 - 28</v>
      </c>
      <c r="K31" s="306">
        <f t="shared" si="23"/>
        <v>9.0909090909090917</v>
      </c>
      <c r="L31" s="314">
        <f t="shared" si="24"/>
        <v>-8.8991916201100085E-2</v>
      </c>
      <c r="M31" s="314">
        <f t="shared" si="25"/>
        <v>0.27081009801928191</v>
      </c>
      <c r="N31" s="308">
        <f t="shared" si="26"/>
        <v>0</v>
      </c>
      <c r="O31" s="301" t="str">
        <f t="shared" si="27"/>
        <v>Ayr</v>
      </c>
      <c r="P31" s="301" t="s">
        <v>57</v>
      </c>
      <c r="Q31" s="403">
        <v>0</v>
      </c>
      <c r="R31" s="403">
        <v>211</v>
      </c>
      <c r="S31" s="403">
        <v>2</v>
      </c>
      <c r="T31" s="403">
        <v>22</v>
      </c>
      <c r="U31" s="856">
        <v>28</v>
      </c>
    </row>
    <row r="32" spans="1:21" ht="12">
      <c r="A32" s="301" t="str">
        <f t="shared" si="0"/>
        <v>Uist &amp; Barra</v>
      </c>
      <c r="B32" s="302">
        <f t="shared" si="15"/>
        <v>0</v>
      </c>
      <c r="C32" s="302" t="e">
        <f t="shared" si="16"/>
        <v>#DIV/0!</v>
      </c>
      <c r="D32" s="303" t="s">
        <v>262</v>
      </c>
      <c r="E32" s="303">
        <f t="shared" si="17"/>
        <v>0</v>
      </c>
      <c r="F32" s="303">
        <f t="shared" si="18"/>
        <v>79</v>
      </c>
      <c r="G32" s="303" t="e">
        <f t="shared" si="19"/>
        <v>#DIV/0!</v>
      </c>
      <c r="H32" s="303" t="e">
        <f t="shared" si="20"/>
        <v>#DIV/0!</v>
      </c>
      <c r="I32" s="309" t="str">
        <f t="shared" si="21"/>
        <v>0 - 79</v>
      </c>
      <c r="J32" s="305" t="e">
        <f t="shared" si="22"/>
        <v>#DIV/0!</v>
      </c>
      <c r="K32" s="306" t="e">
        <f t="shared" si="23"/>
        <v>#DIV/0!</v>
      </c>
      <c r="L32" s="314" t="e">
        <f t="shared" si="24"/>
        <v>#DIV/0!</v>
      </c>
      <c r="M32" s="314" t="e">
        <f t="shared" si="25"/>
        <v>#DIV/0!</v>
      </c>
      <c r="N32" s="308" t="str">
        <f t="shared" si="26"/>
        <v/>
      </c>
      <c r="O32" s="301" t="str">
        <f t="shared" si="27"/>
        <v>Uist &amp; Barra</v>
      </c>
      <c r="P32" s="301" t="s">
        <v>129</v>
      </c>
      <c r="Q32" s="403">
        <v>0</v>
      </c>
      <c r="R32" s="403">
        <v>1</v>
      </c>
      <c r="S32" s="403"/>
      <c r="T32" s="403"/>
      <c r="U32" s="856">
        <v>29</v>
      </c>
    </row>
    <row r="34" spans="3:24">
      <c r="Q34" s="207"/>
      <c r="R34" s="207"/>
      <c r="S34" s="207"/>
      <c r="T34" s="207"/>
    </row>
    <row r="35" spans="3:24">
      <c r="O35" s="857"/>
      <c r="P35" s="857"/>
      <c r="Q35" s="857"/>
      <c r="R35" s="857"/>
      <c r="S35" s="857"/>
      <c r="T35" s="857"/>
      <c r="V35" s="866" t="s">
        <v>280</v>
      </c>
      <c r="W35" s="867" t="s">
        <v>134</v>
      </c>
      <c r="X35" s="867" t="s">
        <v>134</v>
      </c>
    </row>
    <row r="36" spans="3:24" ht="12.75">
      <c r="C36" s="310" t="s">
        <v>746</v>
      </c>
      <c r="O36" s="858"/>
      <c r="P36" s="858"/>
      <c r="Q36" s="858"/>
      <c r="R36" s="858"/>
      <c r="S36" s="858"/>
      <c r="T36" s="858"/>
      <c r="U36" s="660"/>
      <c r="V36" s="866" t="s">
        <v>74</v>
      </c>
      <c r="W36" s="866" t="s">
        <v>175</v>
      </c>
      <c r="X36" s="866" t="s">
        <v>175</v>
      </c>
    </row>
    <row r="37" spans="3:24" ht="12.75">
      <c r="O37" s="859"/>
      <c r="P37" s="860"/>
      <c r="Q37" s="860"/>
      <c r="R37" s="860"/>
      <c r="S37" s="860"/>
      <c r="T37" s="860"/>
      <c r="U37" s="660"/>
      <c r="V37" s="866" t="s">
        <v>57</v>
      </c>
      <c r="W37" s="866" t="s">
        <v>58</v>
      </c>
      <c r="X37" s="866" t="s">
        <v>58</v>
      </c>
    </row>
    <row r="38" spans="3:24" ht="12.75">
      <c r="O38" s="861"/>
      <c r="P38" s="861"/>
      <c r="Q38" s="861"/>
      <c r="R38" s="862"/>
      <c r="S38" s="862"/>
      <c r="T38" s="862"/>
      <c r="U38" s="660"/>
      <c r="V38" s="866" t="s">
        <v>117</v>
      </c>
      <c r="W38" s="866" t="s">
        <v>118</v>
      </c>
      <c r="X38" s="866" t="s">
        <v>118</v>
      </c>
    </row>
    <row r="39" spans="3:24" ht="12.75">
      <c r="O39" s="861"/>
      <c r="P39" s="861"/>
      <c r="Q39" s="861"/>
      <c r="R39" s="862"/>
      <c r="S39" s="862"/>
      <c r="T39" s="862"/>
      <c r="U39" s="660"/>
      <c r="V39" s="866" t="s">
        <v>88</v>
      </c>
      <c r="W39" s="866" t="s">
        <v>249</v>
      </c>
      <c r="X39" s="866" t="s">
        <v>89</v>
      </c>
    </row>
    <row r="40" spans="3:24" ht="12.75">
      <c r="O40" s="863"/>
      <c r="P40" s="863"/>
      <c r="Q40" s="863"/>
      <c r="R40" s="864"/>
      <c r="S40" s="864"/>
      <c r="T40" s="864"/>
      <c r="U40" s="660"/>
      <c r="V40" s="866" t="s">
        <v>62</v>
      </c>
      <c r="W40" s="866" t="s">
        <v>28</v>
      </c>
      <c r="X40" s="866" t="s">
        <v>28</v>
      </c>
    </row>
    <row r="41" spans="3:24" ht="12.75">
      <c r="O41" s="863"/>
      <c r="P41" s="863"/>
      <c r="Q41" s="863"/>
      <c r="R41" s="864"/>
      <c r="S41" s="864"/>
      <c r="T41" s="864"/>
      <c r="U41" s="660"/>
      <c r="V41" s="866" t="s">
        <v>91</v>
      </c>
      <c r="W41" s="866" t="s">
        <v>250</v>
      </c>
      <c r="X41" s="866" t="s">
        <v>92</v>
      </c>
    </row>
    <row r="42" spans="3:24" ht="12.75">
      <c r="O42" s="863"/>
      <c r="P42" s="863"/>
      <c r="Q42" s="863"/>
      <c r="R42" s="864"/>
      <c r="S42" s="864"/>
      <c r="T42" s="864"/>
      <c r="U42" s="660"/>
      <c r="V42" s="866" t="s">
        <v>59</v>
      </c>
      <c r="W42" s="866" t="s">
        <v>60</v>
      </c>
      <c r="X42" s="866" t="s">
        <v>60</v>
      </c>
    </row>
    <row r="43" spans="3:24" ht="12.75">
      <c r="O43" s="863"/>
      <c r="P43" s="863"/>
      <c r="Q43" s="863"/>
      <c r="R43" s="864"/>
      <c r="S43" s="864"/>
      <c r="T43" s="864"/>
      <c r="U43" s="660"/>
      <c r="V43" s="866" t="s">
        <v>76</v>
      </c>
      <c r="W43" s="866" t="s">
        <v>77</v>
      </c>
      <c r="X43" s="866" t="s">
        <v>77</v>
      </c>
    </row>
    <row r="44" spans="3:24" ht="12.75">
      <c r="O44" s="863"/>
      <c r="P44" s="863"/>
      <c r="Q44" s="863"/>
      <c r="R44" s="864"/>
      <c r="S44" s="864"/>
      <c r="T44" s="864"/>
      <c r="U44" s="660"/>
      <c r="V44" s="866" t="s">
        <v>64</v>
      </c>
      <c r="W44" s="866" t="s">
        <v>65</v>
      </c>
      <c r="X44" s="866" t="s">
        <v>65</v>
      </c>
    </row>
    <row r="45" spans="3:24" ht="12.75">
      <c r="O45" s="863"/>
      <c r="P45" s="863"/>
      <c r="Q45" s="863"/>
      <c r="R45" s="864"/>
      <c r="S45" s="864"/>
      <c r="T45" s="864"/>
      <c r="U45" s="660"/>
      <c r="V45" s="866" t="s">
        <v>72</v>
      </c>
      <c r="W45" s="866" t="s">
        <v>183</v>
      </c>
      <c r="X45" s="866" t="s">
        <v>183</v>
      </c>
    </row>
    <row r="46" spans="3:24" ht="12.75">
      <c r="O46" s="863"/>
      <c r="P46" s="863"/>
      <c r="Q46" s="863"/>
      <c r="R46" s="864"/>
      <c r="S46" s="864"/>
      <c r="T46" s="864"/>
      <c r="U46" s="660"/>
      <c r="V46" s="866" t="s">
        <v>67</v>
      </c>
      <c r="W46" s="866" t="s">
        <v>248</v>
      </c>
      <c r="X46" s="866" t="s">
        <v>68</v>
      </c>
    </row>
    <row r="47" spans="3:24" ht="12.75">
      <c r="O47" s="863"/>
      <c r="P47" s="863"/>
      <c r="Q47" s="863"/>
      <c r="R47" s="864"/>
      <c r="S47" s="864"/>
      <c r="T47" s="864"/>
      <c r="U47" s="660"/>
      <c r="V47" s="866" t="s">
        <v>120</v>
      </c>
      <c r="W47" s="866" t="s">
        <v>289</v>
      </c>
      <c r="X47" s="866" t="s">
        <v>121</v>
      </c>
    </row>
    <row r="48" spans="3:24" ht="12.75">
      <c r="O48" s="863"/>
      <c r="P48" s="863"/>
      <c r="Q48" s="863"/>
      <c r="R48" s="864"/>
      <c r="S48" s="864"/>
      <c r="T48" s="864"/>
      <c r="U48" s="660"/>
      <c r="V48" s="866" t="s">
        <v>79</v>
      </c>
      <c r="W48" s="866" t="s">
        <v>184</v>
      </c>
      <c r="X48" s="866" t="s">
        <v>184</v>
      </c>
    </row>
    <row r="49" spans="15:24" ht="12.75">
      <c r="O49" s="863"/>
      <c r="P49" s="863"/>
      <c r="Q49" s="863"/>
      <c r="R49" s="864"/>
      <c r="S49" s="864"/>
      <c r="T49" s="864"/>
      <c r="U49" s="660"/>
      <c r="V49" s="866" t="s">
        <v>100</v>
      </c>
      <c r="W49" s="866" t="s">
        <v>101</v>
      </c>
      <c r="X49" s="866" t="s">
        <v>101</v>
      </c>
    </row>
    <row r="50" spans="15:24" ht="12.75">
      <c r="O50" s="863"/>
      <c r="P50" s="863"/>
      <c r="Q50" s="863"/>
      <c r="R50" s="864"/>
      <c r="S50" s="864"/>
      <c r="T50" s="864"/>
      <c r="U50" s="660"/>
      <c r="V50" s="866" t="s">
        <v>81</v>
      </c>
      <c r="W50" s="866" t="s">
        <v>82</v>
      </c>
      <c r="X50" s="866" t="s">
        <v>82</v>
      </c>
    </row>
    <row r="51" spans="15:24" ht="12.75">
      <c r="O51" s="863"/>
      <c r="P51" s="863"/>
      <c r="Q51" s="863"/>
      <c r="R51" s="864"/>
      <c r="S51" s="864"/>
      <c r="T51" s="864"/>
      <c r="U51" s="660"/>
      <c r="V51" s="866" t="s">
        <v>94</v>
      </c>
      <c r="W51" s="866" t="s">
        <v>95</v>
      </c>
      <c r="X51" s="866" t="s">
        <v>95</v>
      </c>
    </row>
    <row r="52" spans="15:24" ht="12.75">
      <c r="O52" s="863"/>
      <c r="P52" s="863"/>
      <c r="Q52" s="863"/>
      <c r="R52" s="864"/>
      <c r="S52" s="864"/>
      <c r="T52" s="864"/>
      <c r="U52" s="660"/>
      <c r="V52" s="866" t="s">
        <v>103</v>
      </c>
      <c r="W52" s="866" t="s">
        <v>104</v>
      </c>
      <c r="X52" s="866" t="s">
        <v>104</v>
      </c>
    </row>
    <row r="53" spans="15:24" ht="12.75">
      <c r="O53" s="863"/>
      <c r="P53" s="863"/>
      <c r="Q53" s="863"/>
      <c r="R53" s="864"/>
      <c r="S53" s="864"/>
      <c r="T53" s="864"/>
      <c r="U53" s="660"/>
      <c r="V53" s="866" t="s">
        <v>123</v>
      </c>
      <c r="W53" s="866" t="s">
        <v>124</v>
      </c>
      <c r="X53" s="866" t="s">
        <v>124</v>
      </c>
    </row>
    <row r="54" spans="15:24" ht="12.75">
      <c r="O54" s="863"/>
      <c r="P54" s="863"/>
      <c r="Q54" s="863"/>
      <c r="R54" s="864"/>
      <c r="S54" s="864"/>
      <c r="T54" s="864"/>
      <c r="U54" s="660"/>
      <c r="V54" s="866" t="s">
        <v>126</v>
      </c>
      <c r="W54" s="866" t="s">
        <v>127</v>
      </c>
      <c r="X54" s="866" t="s">
        <v>127</v>
      </c>
    </row>
    <row r="55" spans="15:24" ht="12.75">
      <c r="O55" s="863"/>
      <c r="P55" s="863"/>
      <c r="Q55" s="863"/>
      <c r="R55" s="864"/>
      <c r="S55" s="864"/>
      <c r="T55" s="864"/>
      <c r="U55" s="660"/>
      <c r="V55" s="866" t="s">
        <v>447</v>
      </c>
      <c r="W55" s="867" t="s">
        <v>459</v>
      </c>
      <c r="X55" s="867" t="s">
        <v>459</v>
      </c>
    </row>
    <row r="56" spans="15:24" ht="12.75">
      <c r="O56" s="863"/>
      <c r="P56" s="863"/>
      <c r="Q56" s="863"/>
      <c r="R56" s="864"/>
      <c r="S56" s="864"/>
      <c r="T56" s="864"/>
      <c r="U56" s="660"/>
      <c r="V56" s="866" t="s">
        <v>97</v>
      </c>
      <c r="W56" s="866" t="s">
        <v>98</v>
      </c>
      <c r="X56" s="866" t="s">
        <v>98</v>
      </c>
    </row>
    <row r="57" spans="15:24" ht="12.75">
      <c r="O57" s="863"/>
      <c r="P57" s="863"/>
      <c r="Q57" s="863"/>
      <c r="R57" s="864"/>
      <c r="S57" s="864"/>
      <c r="T57" s="864"/>
      <c r="U57" s="660"/>
      <c r="V57" s="866" t="s">
        <v>84</v>
      </c>
      <c r="W57" s="866" t="s">
        <v>185</v>
      </c>
      <c r="X57" s="866" t="s">
        <v>185</v>
      </c>
    </row>
    <row r="58" spans="15:24" ht="12.75">
      <c r="O58" s="863"/>
      <c r="P58" s="863"/>
      <c r="Q58" s="863"/>
      <c r="R58" s="864"/>
      <c r="S58" s="864"/>
      <c r="T58" s="864"/>
      <c r="U58" s="660"/>
      <c r="V58" s="866" t="s">
        <v>108</v>
      </c>
      <c r="W58" s="866" t="s">
        <v>109</v>
      </c>
      <c r="X58" s="866" t="s">
        <v>109</v>
      </c>
    </row>
    <row r="59" spans="15:24" ht="12.75">
      <c r="O59" s="863"/>
      <c r="P59" s="863"/>
      <c r="Q59" s="863"/>
      <c r="R59" s="864"/>
      <c r="S59" s="864"/>
      <c r="T59" s="864"/>
      <c r="U59" s="660"/>
      <c r="V59" s="866" t="s">
        <v>111</v>
      </c>
      <c r="W59" s="866" t="s">
        <v>112</v>
      </c>
      <c r="X59" s="866" t="s">
        <v>112</v>
      </c>
    </row>
    <row r="60" spans="15:24" ht="12.75">
      <c r="O60" s="863"/>
      <c r="P60" s="863"/>
      <c r="Q60" s="863"/>
      <c r="R60" s="864"/>
      <c r="S60" s="864"/>
      <c r="T60" s="864"/>
      <c r="U60" s="660"/>
      <c r="V60" s="866" t="s">
        <v>129</v>
      </c>
      <c r="W60" s="866" t="s">
        <v>130</v>
      </c>
      <c r="X60" s="866" t="s">
        <v>130</v>
      </c>
    </row>
    <row r="61" spans="15:24" ht="12.75">
      <c r="O61" s="863"/>
      <c r="P61" s="863"/>
      <c r="Q61" s="863"/>
      <c r="R61" s="864"/>
      <c r="S61" s="864"/>
      <c r="T61" s="864"/>
      <c r="U61" s="660"/>
      <c r="V61" s="866" t="s">
        <v>281</v>
      </c>
      <c r="W61" s="866" t="s">
        <v>174</v>
      </c>
      <c r="X61" s="866" t="s">
        <v>174</v>
      </c>
    </row>
    <row r="62" spans="15:24" ht="12.75">
      <c r="O62" s="863"/>
      <c r="P62" s="863"/>
      <c r="Q62" s="863"/>
      <c r="R62" s="864"/>
      <c r="S62" s="864"/>
      <c r="T62" s="864"/>
      <c r="U62" s="660"/>
      <c r="V62" s="866" t="s">
        <v>114</v>
      </c>
      <c r="W62" s="866" t="s">
        <v>115</v>
      </c>
      <c r="X62" s="866" t="s">
        <v>115</v>
      </c>
    </row>
    <row r="63" spans="15:24" ht="12.75">
      <c r="O63" s="863"/>
      <c r="P63" s="863"/>
      <c r="Q63" s="863"/>
      <c r="R63" s="864"/>
      <c r="S63" s="864"/>
      <c r="T63" s="864"/>
      <c r="U63" s="660"/>
      <c r="V63" s="866" t="s">
        <v>132</v>
      </c>
      <c r="W63" s="866" t="s">
        <v>37</v>
      </c>
      <c r="X63" s="866" t="s">
        <v>37</v>
      </c>
    </row>
    <row r="64" spans="15:24" ht="12.75">
      <c r="O64" s="863"/>
      <c r="P64" s="863"/>
      <c r="Q64" s="863"/>
      <c r="R64" s="864"/>
      <c r="S64" s="864"/>
      <c r="T64" s="864"/>
      <c r="U64" s="660"/>
      <c r="V64" s="866" t="s">
        <v>106</v>
      </c>
      <c r="W64" s="866" t="s">
        <v>107</v>
      </c>
      <c r="X64" s="866" t="s">
        <v>107</v>
      </c>
    </row>
    <row r="65" spans="15:24" ht="12.75">
      <c r="O65" s="863"/>
      <c r="P65" s="863"/>
      <c r="Q65" s="863"/>
      <c r="R65" s="864"/>
      <c r="S65" s="864"/>
      <c r="T65" s="864"/>
      <c r="U65" s="660"/>
      <c r="V65" s="868" t="s">
        <v>171</v>
      </c>
      <c r="W65" s="868" t="s">
        <v>172</v>
      </c>
      <c r="X65" s="868" t="s">
        <v>172</v>
      </c>
    </row>
    <row r="66" spans="15:24" ht="12.75">
      <c r="O66" s="863"/>
      <c r="P66" s="863"/>
      <c r="Q66" s="863"/>
      <c r="R66" s="864"/>
      <c r="S66" s="864"/>
      <c r="T66" s="864"/>
      <c r="U66" s="660"/>
      <c r="V66" s="868" t="s">
        <v>176</v>
      </c>
      <c r="W66" s="868" t="s">
        <v>177</v>
      </c>
      <c r="X66" s="868" t="s">
        <v>177</v>
      </c>
    </row>
    <row r="67" spans="15:24" ht="12.75">
      <c r="O67" s="863"/>
      <c r="P67" s="863"/>
      <c r="Q67" s="863"/>
      <c r="R67" s="864"/>
      <c r="S67" s="864"/>
      <c r="T67" s="864"/>
      <c r="U67" s="660"/>
      <c r="V67" s="868" t="s">
        <v>86</v>
      </c>
      <c r="W67" s="868" t="s">
        <v>87</v>
      </c>
      <c r="X67" s="868" t="s">
        <v>87</v>
      </c>
    </row>
    <row r="68" spans="15:24" ht="12.75">
      <c r="O68" s="863"/>
      <c r="P68" s="863"/>
      <c r="Q68" s="863"/>
      <c r="R68" s="864"/>
      <c r="S68" s="864"/>
      <c r="T68" s="864"/>
      <c r="U68" s="660"/>
    </row>
    <row r="69" spans="15:24" ht="12.75">
      <c r="O69" s="863"/>
      <c r="P69" s="863"/>
      <c r="Q69" s="863"/>
      <c r="R69" s="864"/>
      <c r="S69" s="864"/>
      <c r="T69" s="864"/>
      <c r="U69" s="660"/>
    </row>
    <row r="70" spans="15:24" ht="12.75">
      <c r="O70" s="863"/>
      <c r="P70" s="863"/>
      <c r="Q70" s="863"/>
      <c r="R70" s="864"/>
      <c r="S70" s="864"/>
      <c r="T70" s="864"/>
      <c r="U70" s="660"/>
    </row>
    <row r="71" spans="15:24" ht="12.75">
      <c r="O71" s="863"/>
      <c r="P71" s="863"/>
      <c r="Q71" s="863"/>
      <c r="R71" s="864"/>
      <c r="S71" s="864"/>
      <c r="T71" s="864"/>
      <c r="U71" s="660"/>
    </row>
    <row r="72" spans="15:24" ht="12.75">
      <c r="O72" s="863"/>
      <c r="P72" s="863"/>
      <c r="Q72" s="863"/>
      <c r="R72" s="864"/>
      <c r="S72" s="864"/>
      <c r="T72" s="864"/>
      <c r="U72" s="660"/>
    </row>
    <row r="73" spans="15:24" ht="12.75">
      <c r="O73" s="863"/>
      <c r="P73" s="863"/>
      <c r="Q73" s="863"/>
      <c r="R73" s="864"/>
      <c r="S73" s="864"/>
      <c r="T73" s="864"/>
      <c r="U73" s="660"/>
    </row>
    <row r="74" spans="15:24" ht="12.75">
      <c r="O74" s="863"/>
      <c r="P74" s="863"/>
      <c r="Q74" s="863"/>
      <c r="R74" s="864"/>
      <c r="S74" s="864"/>
      <c r="T74" s="864"/>
      <c r="U74" s="660"/>
    </row>
    <row r="75" spans="15:24" ht="12.75">
      <c r="O75" s="863"/>
      <c r="P75" s="863"/>
      <c r="Q75" s="863"/>
      <c r="R75" s="864"/>
      <c r="S75" s="864"/>
      <c r="T75" s="864"/>
      <c r="U75" s="660"/>
    </row>
    <row r="76" spans="15:24" ht="12.75">
      <c r="O76" s="863"/>
      <c r="P76" s="863"/>
      <c r="Q76" s="863"/>
      <c r="R76" s="864"/>
      <c r="S76" s="864"/>
      <c r="T76" s="864"/>
      <c r="U76" s="660"/>
    </row>
    <row r="77" spans="15:24" ht="12.75">
      <c r="O77" s="863"/>
      <c r="P77" s="863"/>
      <c r="Q77" s="863"/>
      <c r="R77" s="864"/>
      <c r="S77" s="864"/>
      <c r="T77" s="864"/>
      <c r="U77" s="660"/>
    </row>
    <row r="78" spans="15:24" ht="12.75">
      <c r="O78" s="863"/>
      <c r="P78" s="863"/>
      <c r="Q78" s="863"/>
      <c r="R78" s="864"/>
      <c r="S78" s="864"/>
      <c r="T78" s="864"/>
      <c r="U78" s="660"/>
    </row>
    <row r="79" spans="15:24" ht="12.75">
      <c r="O79" s="863"/>
      <c r="P79" s="863"/>
      <c r="Q79" s="863"/>
      <c r="R79" s="864"/>
      <c r="S79" s="864"/>
      <c r="T79" s="864"/>
      <c r="U79" s="660"/>
    </row>
    <row r="80" spans="15:24" ht="12.75">
      <c r="O80" s="863"/>
      <c r="P80" s="863"/>
      <c r="Q80" s="863"/>
      <c r="R80" s="864"/>
      <c r="S80" s="864"/>
      <c r="T80" s="864"/>
      <c r="U80" s="660"/>
    </row>
    <row r="81" spans="15:21" ht="12.75">
      <c r="O81" s="863"/>
      <c r="P81" s="863"/>
      <c r="Q81" s="863"/>
      <c r="R81" s="864"/>
      <c r="S81" s="864"/>
      <c r="T81" s="864"/>
      <c r="U81" s="660"/>
    </row>
    <row r="82" spans="15:21" ht="12.75">
      <c r="O82" s="863"/>
      <c r="P82" s="863"/>
      <c r="Q82" s="863"/>
      <c r="R82" s="864"/>
      <c r="S82" s="864"/>
      <c r="T82" s="864"/>
      <c r="U82" s="660"/>
    </row>
    <row r="83" spans="15:21" ht="12.75">
      <c r="O83" s="863"/>
      <c r="P83" s="863"/>
      <c r="Q83" s="863"/>
      <c r="R83" s="864"/>
      <c r="S83" s="864"/>
      <c r="T83" s="864"/>
      <c r="U83" s="660"/>
    </row>
    <row r="84" spans="15:21" ht="12.75">
      <c r="O84" s="863"/>
      <c r="P84" s="863"/>
      <c r="Q84" s="863"/>
      <c r="R84" s="864"/>
      <c r="S84" s="864"/>
      <c r="T84" s="864"/>
      <c r="U84" s="660"/>
    </row>
    <row r="85" spans="15:21" ht="12.75">
      <c r="O85" s="863"/>
      <c r="P85" s="863"/>
      <c r="Q85" s="863"/>
      <c r="R85" s="864"/>
      <c r="S85" s="864"/>
      <c r="T85" s="864"/>
      <c r="U85" s="660"/>
    </row>
    <row r="86" spans="15:21" ht="12.75">
      <c r="O86" s="863"/>
      <c r="P86" s="863"/>
      <c r="Q86" s="863"/>
      <c r="R86" s="864"/>
      <c r="S86" s="864"/>
      <c r="T86" s="864"/>
      <c r="U86" s="660"/>
    </row>
    <row r="87" spans="15:21" ht="12.75">
      <c r="O87" s="863"/>
      <c r="P87" s="863"/>
      <c r="Q87" s="863"/>
      <c r="R87" s="864"/>
      <c r="S87" s="864"/>
      <c r="T87" s="864"/>
      <c r="U87" s="660"/>
    </row>
    <row r="88" spans="15:21" ht="12.75">
      <c r="O88" s="863"/>
      <c r="P88" s="863"/>
      <c r="Q88" s="863"/>
      <c r="R88" s="864"/>
      <c r="S88" s="864"/>
      <c r="T88" s="864"/>
      <c r="U88" s="660"/>
    </row>
    <row r="89" spans="15:21" ht="12.75">
      <c r="O89" s="863"/>
      <c r="P89" s="863"/>
      <c r="Q89" s="863"/>
      <c r="R89" s="864"/>
      <c r="S89" s="864"/>
      <c r="T89" s="864"/>
      <c r="U89" s="660"/>
    </row>
    <row r="90" spans="15:21" ht="12.75">
      <c r="O90" s="863"/>
      <c r="P90" s="863"/>
      <c r="Q90" s="863"/>
      <c r="R90" s="864"/>
      <c r="S90" s="864"/>
      <c r="T90" s="864"/>
      <c r="U90" s="660"/>
    </row>
    <row r="91" spans="15:21" ht="12.75">
      <c r="O91" s="863"/>
      <c r="P91" s="863"/>
      <c r="Q91" s="863"/>
      <c r="R91" s="864"/>
      <c r="S91" s="864"/>
      <c r="T91" s="864"/>
      <c r="U91" s="660"/>
    </row>
    <row r="92" spans="15:21" ht="12.75">
      <c r="O92" s="863"/>
      <c r="P92" s="863"/>
      <c r="Q92" s="863"/>
      <c r="R92" s="864"/>
      <c r="S92" s="864"/>
      <c r="T92" s="864"/>
      <c r="U92" s="660"/>
    </row>
    <row r="93" spans="15:21" ht="12.75">
      <c r="O93" s="863"/>
      <c r="P93" s="863"/>
      <c r="Q93" s="863"/>
      <c r="R93" s="864"/>
      <c r="S93" s="864"/>
      <c r="T93" s="864"/>
      <c r="U93" s="660"/>
    </row>
    <row r="94" spans="15:21" ht="12.75">
      <c r="O94" s="863"/>
      <c r="P94" s="863"/>
      <c r="Q94" s="863"/>
      <c r="R94" s="864"/>
      <c r="S94" s="864"/>
      <c r="T94" s="864"/>
      <c r="U94" s="660"/>
    </row>
    <row r="95" spans="15:21" ht="12.75">
      <c r="O95" s="863"/>
      <c r="P95" s="863"/>
      <c r="Q95" s="863"/>
      <c r="R95" s="864"/>
      <c r="S95" s="864"/>
      <c r="T95" s="864"/>
      <c r="U95" s="660"/>
    </row>
    <row r="96" spans="15:21" ht="12.75">
      <c r="O96" s="863"/>
      <c r="P96" s="863"/>
      <c r="Q96" s="863"/>
      <c r="R96" s="864"/>
      <c r="S96" s="864"/>
      <c r="T96" s="864"/>
      <c r="U96" s="660"/>
    </row>
    <row r="97" spans="15:21" ht="12.75">
      <c r="O97" s="863"/>
      <c r="P97" s="863"/>
      <c r="Q97" s="863"/>
      <c r="R97" s="864"/>
      <c r="S97" s="864"/>
      <c r="T97" s="864"/>
      <c r="U97" s="660"/>
    </row>
    <row r="98" spans="15:21" ht="12.75">
      <c r="O98" s="863"/>
      <c r="P98" s="863"/>
      <c r="Q98" s="863"/>
      <c r="R98" s="864"/>
      <c r="S98" s="864"/>
      <c r="T98" s="864"/>
      <c r="U98" s="660"/>
    </row>
    <row r="99" spans="15:21" ht="12.75">
      <c r="O99" s="863"/>
      <c r="P99" s="863"/>
      <c r="Q99" s="863"/>
      <c r="R99" s="864"/>
      <c r="S99" s="864"/>
      <c r="T99" s="864"/>
      <c r="U99" s="660"/>
    </row>
    <row r="100" spans="15:21" ht="12.75">
      <c r="O100" s="863"/>
      <c r="P100" s="863"/>
      <c r="Q100" s="863"/>
      <c r="R100" s="864"/>
      <c r="S100" s="864"/>
      <c r="T100" s="864"/>
      <c r="U100" s="660"/>
    </row>
    <row r="101" spans="15:21" ht="12.75">
      <c r="O101" s="863"/>
      <c r="P101" s="863"/>
      <c r="Q101" s="863"/>
      <c r="R101" s="864"/>
      <c r="S101" s="864"/>
      <c r="T101" s="864"/>
      <c r="U101" s="660"/>
    </row>
    <row r="102" spans="15:21" ht="12.75">
      <c r="O102" s="863"/>
      <c r="P102" s="863"/>
      <c r="Q102" s="863"/>
      <c r="R102" s="864"/>
      <c r="S102" s="864"/>
      <c r="T102" s="864"/>
      <c r="U102" s="660"/>
    </row>
    <row r="103" spans="15:21" ht="12.75">
      <c r="O103" s="863"/>
      <c r="P103" s="863"/>
      <c r="Q103" s="863"/>
      <c r="R103" s="864"/>
      <c r="S103" s="864"/>
      <c r="T103" s="864"/>
      <c r="U103" s="660"/>
    </row>
    <row r="104" spans="15:21" ht="12.75">
      <c r="O104" s="863"/>
      <c r="P104" s="863"/>
      <c r="Q104" s="863"/>
      <c r="R104" s="864"/>
      <c r="S104" s="864"/>
      <c r="T104" s="864"/>
      <c r="U104" s="660"/>
    </row>
    <row r="105" spans="15:21" ht="12.75">
      <c r="O105" s="863"/>
      <c r="P105" s="863"/>
      <c r="Q105" s="863"/>
      <c r="R105" s="864"/>
      <c r="S105" s="864"/>
      <c r="T105" s="864"/>
      <c r="U105" s="660"/>
    </row>
    <row r="106" spans="15:21" ht="12.75">
      <c r="O106" s="863"/>
      <c r="P106" s="863"/>
      <c r="Q106" s="863"/>
      <c r="R106" s="864"/>
      <c r="S106" s="864"/>
      <c r="T106" s="864"/>
      <c r="U106" s="660"/>
    </row>
    <row r="107" spans="15:21" ht="12.75">
      <c r="O107" s="863"/>
      <c r="P107" s="863"/>
      <c r="Q107" s="863"/>
      <c r="R107" s="864"/>
      <c r="S107" s="864"/>
      <c r="T107" s="864"/>
      <c r="U107" s="660"/>
    </row>
    <row r="108" spans="15:21" ht="12.75">
      <c r="O108" s="863"/>
      <c r="P108" s="863"/>
      <c r="Q108" s="863"/>
      <c r="R108" s="864"/>
      <c r="S108" s="864"/>
      <c r="T108" s="864"/>
      <c r="U108" s="660"/>
    </row>
    <row r="109" spans="15:21" ht="12.75">
      <c r="O109" s="863"/>
      <c r="P109" s="863"/>
      <c r="Q109" s="863"/>
      <c r="R109" s="864"/>
      <c r="S109" s="864"/>
      <c r="T109" s="864"/>
      <c r="U109" s="660"/>
    </row>
    <row r="110" spans="15:21" ht="12.75">
      <c r="O110" s="863"/>
      <c r="P110" s="863"/>
      <c r="Q110" s="863"/>
      <c r="R110" s="864"/>
      <c r="S110" s="864"/>
      <c r="T110" s="864"/>
      <c r="U110" s="660"/>
    </row>
    <row r="111" spans="15:21" ht="12.75">
      <c r="O111" s="863"/>
      <c r="P111" s="863"/>
      <c r="Q111" s="863"/>
      <c r="R111" s="864"/>
      <c r="S111" s="864"/>
      <c r="T111" s="864"/>
      <c r="U111" s="660"/>
    </row>
    <row r="112" spans="15:21" ht="12.75">
      <c r="O112" s="863"/>
      <c r="P112" s="863"/>
      <c r="Q112" s="863"/>
      <c r="R112" s="864"/>
      <c r="S112" s="864"/>
      <c r="T112" s="864"/>
      <c r="U112" s="660"/>
    </row>
    <row r="113" spans="15:21" ht="12.75">
      <c r="O113" s="863"/>
      <c r="P113" s="863"/>
      <c r="Q113" s="863"/>
      <c r="R113" s="864"/>
      <c r="S113" s="864"/>
      <c r="T113" s="864"/>
      <c r="U113" s="660"/>
    </row>
    <row r="114" spans="15:21" ht="12.75">
      <c r="O114" s="863"/>
      <c r="P114" s="863"/>
      <c r="Q114" s="863"/>
      <c r="R114" s="864"/>
      <c r="S114" s="864"/>
      <c r="T114" s="864"/>
      <c r="U114" s="660"/>
    </row>
    <row r="115" spans="15:21" ht="12.75">
      <c r="O115" s="863"/>
      <c r="P115" s="863"/>
      <c r="Q115" s="863"/>
      <c r="R115" s="864"/>
      <c r="S115" s="864"/>
      <c r="T115" s="864"/>
      <c r="U115" s="660"/>
    </row>
    <row r="116" spans="15:21" ht="12.75">
      <c r="O116" s="863"/>
      <c r="P116" s="863"/>
      <c r="Q116" s="863"/>
      <c r="R116" s="864"/>
      <c r="S116" s="864"/>
      <c r="T116" s="864"/>
      <c r="U116" s="660"/>
    </row>
    <row r="117" spans="15:21" ht="12.75">
      <c r="O117" s="863"/>
      <c r="P117" s="863"/>
      <c r="Q117" s="863"/>
      <c r="R117" s="864"/>
      <c r="S117" s="864"/>
      <c r="T117" s="864"/>
      <c r="U117" s="660"/>
    </row>
    <row r="118" spans="15:21" ht="12.75">
      <c r="O118" s="863"/>
      <c r="P118" s="863"/>
      <c r="Q118" s="863"/>
      <c r="R118" s="864"/>
      <c r="S118" s="864"/>
      <c r="T118" s="864"/>
      <c r="U118" s="660"/>
    </row>
    <row r="119" spans="15:21" ht="12.75">
      <c r="O119" s="863"/>
      <c r="P119" s="863"/>
      <c r="Q119" s="863"/>
      <c r="R119" s="864"/>
      <c r="S119" s="864"/>
      <c r="T119" s="864"/>
      <c r="U119" s="660"/>
    </row>
    <row r="120" spans="15:21" ht="12.75">
      <c r="O120" s="863"/>
      <c r="P120" s="863"/>
      <c r="Q120" s="863"/>
      <c r="R120" s="864"/>
      <c r="S120" s="864"/>
      <c r="T120" s="864"/>
      <c r="U120" s="660"/>
    </row>
    <row r="121" spans="15:21" ht="12.75">
      <c r="O121" s="863"/>
      <c r="P121" s="863"/>
      <c r="Q121" s="863"/>
      <c r="R121" s="864"/>
      <c r="S121" s="864"/>
      <c r="T121" s="864"/>
      <c r="U121" s="660"/>
    </row>
    <row r="122" spans="15:21" ht="12.75">
      <c r="O122" s="863"/>
      <c r="P122" s="863"/>
      <c r="Q122" s="863"/>
      <c r="R122" s="864"/>
      <c r="S122" s="864"/>
      <c r="T122" s="864"/>
      <c r="U122" s="660"/>
    </row>
    <row r="123" spans="15:21" ht="12.75">
      <c r="O123" s="863"/>
      <c r="P123" s="863"/>
      <c r="Q123" s="863"/>
      <c r="R123" s="864"/>
      <c r="S123" s="864"/>
      <c r="T123" s="864"/>
      <c r="U123" s="660"/>
    </row>
    <row r="124" spans="15:21" ht="12.75">
      <c r="O124" s="863"/>
      <c r="P124" s="863"/>
      <c r="Q124" s="863"/>
      <c r="R124" s="864"/>
      <c r="S124" s="864"/>
      <c r="T124" s="864"/>
      <c r="U124" s="660"/>
    </row>
    <row r="125" spans="15:21" ht="12.75">
      <c r="O125" s="863"/>
      <c r="P125" s="863"/>
      <c r="Q125" s="863"/>
      <c r="R125" s="864"/>
      <c r="S125" s="864"/>
      <c r="T125" s="864"/>
      <c r="U125" s="660"/>
    </row>
    <row r="126" spans="15:21" ht="12.75">
      <c r="O126" s="863"/>
      <c r="P126" s="863"/>
      <c r="Q126" s="863"/>
      <c r="R126" s="864"/>
      <c r="S126" s="864"/>
      <c r="T126" s="864"/>
      <c r="U126" s="660"/>
    </row>
    <row r="127" spans="15:21" ht="12.75">
      <c r="O127" s="863"/>
      <c r="P127" s="863"/>
      <c r="Q127" s="863"/>
      <c r="R127" s="864"/>
      <c r="S127" s="864"/>
      <c r="T127" s="864"/>
      <c r="U127" s="660"/>
    </row>
    <row r="128" spans="15:21" ht="12.75">
      <c r="O128" s="863"/>
      <c r="P128" s="863"/>
      <c r="Q128" s="863"/>
      <c r="R128" s="864"/>
      <c r="S128" s="864"/>
      <c r="T128" s="864"/>
      <c r="U128" s="660"/>
    </row>
    <row r="129" spans="15:21" ht="12.75">
      <c r="O129" s="863"/>
      <c r="P129" s="863"/>
      <c r="Q129" s="863"/>
      <c r="R129" s="864"/>
      <c r="S129" s="864"/>
      <c r="T129" s="864"/>
      <c r="U129" s="660"/>
    </row>
    <row r="130" spans="15:21" ht="12.75">
      <c r="O130" s="863"/>
      <c r="P130" s="863"/>
      <c r="Q130" s="863"/>
      <c r="R130" s="864"/>
      <c r="S130" s="864"/>
      <c r="T130" s="864"/>
      <c r="U130" s="660"/>
    </row>
    <row r="131" spans="15:21" ht="12.75">
      <c r="O131" s="863"/>
      <c r="P131" s="863"/>
      <c r="Q131" s="863"/>
      <c r="R131" s="864"/>
      <c r="S131" s="864"/>
      <c r="T131" s="864"/>
      <c r="U131" s="660"/>
    </row>
    <row r="132" spans="15:21" ht="12.75">
      <c r="O132" s="863"/>
      <c r="P132" s="863"/>
      <c r="Q132" s="863"/>
      <c r="R132" s="864"/>
      <c r="S132" s="864"/>
      <c r="T132" s="864"/>
      <c r="U132" s="660"/>
    </row>
    <row r="133" spans="15:21" ht="15">
      <c r="O133" s="865"/>
      <c r="P133" s="865"/>
      <c r="Q133" s="865"/>
      <c r="R133" s="865"/>
      <c r="S133" s="865"/>
      <c r="T133" s="865"/>
      <c r="U133" s="660"/>
    </row>
  </sheetData>
  <sheetProtection password="B8D9" sheet="1" objects="1" scenarios="1"/>
  <sortState ref="A4:U32">
    <sortCondition ref="U4:U32"/>
  </sortState>
  <mergeCells count="7">
    <mergeCell ref="A1:A2"/>
    <mergeCell ref="B1:H1"/>
    <mergeCell ref="O1:P1"/>
    <mergeCell ref="Q1:R1"/>
    <mergeCell ref="S1:T1"/>
    <mergeCell ref="E2:F2"/>
    <mergeCell ref="G2:H2"/>
  </mergeCells>
  <conditionalFormatting sqref="A3:A32">
    <cfRule type="expression" dxfId="35" priority="4" stopIfTrue="1">
      <formula>N3=-1</formula>
    </cfRule>
    <cfRule type="expression" dxfId="34" priority="5" stopIfTrue="1">
      <formula>N3=0</formula>
    </cfRule>
    <cfRule type="expression" dxfId="33" priority="7" stopIfTrue="1">
      <formula>N3=1</formula>
    </cfRule>
  </conditionalFormatting>
  <pageMargins left="0.70866141732283472" right="0.70866141732283472" top="0.74803149606299213" bottom="0.74803149606299213" header="0.31496062992125984" footer="0.31496062992125984"/>
  <pageSetup paperSize="9" scale="1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21.xml><?xml version="1.0" encoding="utf-8"?>
<worksheet xmlns="http://schemas.openxmlformats.org/spreadsheetml/2006/main" xmlns:r="http://schemas.openxmlformats.org/officeDocument/2006/relationships">
  <sheetPr codeName="Sheet27">
    <pageSetUpPr fitToPage="1"/>
  </sheetPr>
  <dimension ref="A1:T48"/>
  <sheetViews>
    <sheetView workbookViewId="0"/>
  </sheetViews>
  <sheetFormatPr defaultRowHeight="12.75"/>
  <cols>
    <col min="1" max="1" width="1.7109375" style="603" customWidth="1"/>
    <col min="2" max="16384" width="9.140625" style="603"/>
  </cols>
  <sheetData>
    <row r="1" spans="1:20" ht="12.75" customHeight="1">
      <c r="A1" s="604"/>
      <c r="B1" s="969" t="s">
        <v>754</v>
      </c>
      <c r="C1" s="969"/>
      <c r="D1" s="969"/>
      <c r="E1" s="969"/>
      <c r="F1" s="969"/>
      <c r="G1" s="969"/>
      <c r="H1" s="969"/>
      <c r="I1" s="969"/>
      <c r="J1" s="969"/>
      <c r="K1" s="969"/>
      <c r="L1" s="969"/>
      <c r="M1" s="969"/>
      <c r="P1" s="985" t="s">
        <v>45</v>
      </c>
      <c r="Q1" s="985"/>
    </row>
    <row r="2" spans="1:20">
      <c r="B2" s="969"/>
      <c r="C2" s="969"/>
      <c r="D2" s="969"/>
      <c r="E2" s="969"/>
      <c r="F2" s="969"/>
      <c r="G2" s="969"/>
      <c r="H2" s="969"/>
      <c r="I2" s="969"/>
      <c r="J2" s="969"/>
      <c r="K2" s="969"/>
      <c r="L2" s="969"/>
      <c r="M2" s="969"/>
      <c r="P2" s="985"/>
      <c r="Q2" s="985"/>
    </row>
    <row r="3" spans="1:20">
      <c r="B3" s="969"/>
      <c r="C3" s="969"/>
      <c r="D3" s="969"/>
      <c r="E3" s="969"/>
      <c r="F3" s="969"/>
      <c r="G3" s="969"/>
      <c r="H3" s="969"/>
      <c r="I3" s="969"/>
      <c r="J3" s="969"/>
      <c r="K3" s="969"/>
      <c r="L3" s="969"/>
      <c r="M3" s="969"/>
      <c r="P3" s="985"/>
      <c r="Q3" s="985"/>
    </row>
    <row r="4" spans="1:20" s="784" customFormat="1">
      <c r="B4" s="996" t="s">
        <v>748</v>
      </c>
      <c r="C4" s="996"/>
      <c r="D4" s="996"/>
      <c r="E4" s="996"/>
      <c r="F4" s="996"/>
      <c r="G4" s="996"/>
      <c r="H4" s="996"/>
      <c r="I4" s="996"/>
      <c r="J4" s="996"/>
      <c r="K4" s="996"/>
      <c r="L4" s="996"/>
      <c r="M4" s="996"/>
      <c r="N4" s="996"/>
      <c r="P4" s="780"/>
      <c r="Q4" s="780"/>
    </row>
    <row r="5" spans="1:20" s="784" customFormat="1">
      <c r="B5" s="996"/>
      <c r="C5" s="996"/>
      <c r="D5" s="996"/>
      <c r="E5" s="996"/>
      <c r="F5" s="996"/>
      <c r="G5" s="996"/>
      <c r="H5" s="996"/>
      <c r="I5" s="996"/>
      <c r="J5" s="996"/>
      <c r="K5" s="996"/>
      <c r="L5" s="996"/>
      <c r="M5" s="996"/>
      <c r="N5" s="996"/>
      <c r="P5" s="780"/>
      <c r="Q5" s="780"/>
    </row>
    <row r="6" spans="1:20" s="814" customFormat="1">
      <c r="B6" s="999" t="s">
        <v>793</v>
      </c>
      <c r="C6" s="999"/>
      <c r="D6" s="999"/>
      <c r="E6" s="999"/>
      <c r="F6" s="999"/>
      <c r="G6" s="999"/>
      <c r="H6" s="999"/>
      <c r="I6" s="999"/>
      <c r="J6" s="999"/>
      <c r="K6" s="999"/>
      <c r="L6" s="999"/>
      <c r="M6" s="999"/>
      <c r="N6" s="999"/>
      <c r="P6" s="812"/>
      <c r="Q6" s="812"/>
    </row>
    <row r="7" spans="1:20">
      <c r="B7" s="999"/>
      <c r="C7" s="999"/>
      <c r="D7" s="999"/>
      <c r="E7" s="999"/>
      <c r="F7" s="999"/>
      <c r="G7" s="999"/>
      <c r="H7" s="999"/>
      <c r="I7" s="999"/>
      <c r="J7" s="999"/>
      <c r="K7" s="999"/>
      <c r="L7" s="999"/>
      <c r="M7" s="999"/>
      <c r="N7" s="999"/>
      <c r="P7" s="958" t="s">
        <v>529</v>
      </c>
      <c r="Q7" s="958"/>
    </row>
    <row r="15" spans="1:20">
      <c r="O15" s="818"/>
      <c r="P15" s="818"/>
      <c r="Q15" s="818"/>
      <c r="R15" s="818"/>
      <c r="S15" s="818"/>
    </row>
    <row r="16" spans="1:20" ht="15">
      <c r="O16" s="819"/>
      <c r="P16" s="792"/>
      <c r="Q16" s="343"/>
      <c r="R16" s="343"/>
      <c r="S16" s="343"/>
      <c r="T16"/>
    </row>
    <row r="17" spans="15:20" ht="15">
      <c r="O17" s="819"/>
      <c r="P17" s="792"/>
      <c r="Q17" s="343"/>
      <c r="R17" s="343"/>
      <c r="S17" s="343"/>
      <c r="T17"/>
    </row>
    <row r="18" spans="15:20" ht="15">
      <c r="O18" s="819"/>
      <c r="P18" s="792"/>
      <c r="Q18" s="343"/>
      <c r="R18" s="343"/>
      <c r="S18" s="343"/>
      <c r="T18"/>
    </row>
    <row r="19" spans="15:20" ht="15">
      <c r="O19" s="819"/>
      <c r="P19" s="792"/>
      <c r="Q19" s="343"/>
      <c r="R19" s="343"/>
      <c r="S19" s="343"/>
      <c r="T19"/>
    </row>
    <row r="20" spans="15:20" ht="15">
      <c r="O20" s="343"/>
      <c r="P20" s="792"/>
      <c r="Q20" s="343"/>
      <c r="R20" s="343"/>
      <c r="S20" s="343"/>
      <c r="T20"/>
    </row>
    <row r="23" spans="15:20">
      <c r="P23" s="602"/>
      <c r="Q23" s="602"/>
    </row>
    <row r="24" spans="15:20">
      <c r="P24" s="602"/>
      <c r="Q24" s="602"/>
    </row>
    <row r="25" spans="15:20">
      <c r="P25" s="602"/>
      <c r="Q25" s="602"/>
    </row>
    <row r="26" spans="15:20">
      <c r="P26" s="602"/>
      <c r="Q26" s="602"/>
    </row>
    <row r="27" spans="15:20">
      <c r="P27" s="602"/>
      <c r="Q27" s="602"/>
    </row>
    <row r="28" spans="15:20">
      <c r="P28" s="602"/>
      <c r="Q28" s="602"/>
    </row>
    <row r="34" spans="2:14" ht="15">
      <c r="B34" s="311" t="s">
        <v>530</v>
      </c>
      <c r="C34" s="203"/>
      <c r="D34" s="204"/>
      <c r="E34" s="204"/>
      <c r="F34" s="204"/>
      <c r="G34" s="204"/>
      <c r="H34" s="204"/>
      <c r="I34" s="204"/>
      <c r="J34" s="203"/>
    </row>
    <row r="35" spans="2:14" ht="24" customHeight="1">
      <c r="B35" s="997" t="s">
        <v>294</v>
      </c>
      <c r="C35" s="997"/>
      <c r="D35" s="997"/>
      <c r="E35" s="997"/>
      <c r="F35" s="997"/>
      <c r="G35" s="997"/>
      <c r="H35" s="997"/>
      <c r="I35" s="997"/>
      <c r="J35" s="997"/>
      <c r="K35" s="997"/>
      <c r="L35" s="997"/>
      <c r="M35" s="997"/>
      <c r="N35" s="997"/>
    </row>
    <row r="36" spans="2:14" ht="12.75" customHeight="1">
      <c r="B36" s="600"/>
      <c r="C36" s="600"/>
      <c r="D36" s="600"/>
      <c r="E36" s="600"/>
      <c r="F36" s="600"/>
      <c r="G36" s="600"/>
      <c r="H36" s="600"/>
      <c r="I36" s="600"/>
      <c r="J36" s="600"/>
      <c r="K36" s="600"/>
      <c r="L36" s="600"/>
      <c r="M36" s="600"/>
      <c r="N36" s="600"/>
    </row>
    <row r="37" spans="2:14" ht="33" customHeight="1">
      <c r="B37" s="998" t="s">
        <v>295</v>
      </c>
      <c r="C37" s="998"/>
      <c r="D37" s="998"/>
      <c r="E37" s="998"/>
      <c r="F37" s="998"/>
      <c r="G37" s="998"/>
      <c r="H37" s="998"/>
      <c r="I37" s="998"/>
      <c r="J37" s="998"/>
      <c r="K37" s="998"/>
      <c r="L37" s="998"/>
      <c r="M37" s="998"/>
      <c r="N37" s="998"/>
    </row>
    <row r="38" spans="2:14" ht="12.75" customHeight="1">
      <c r="B38" s="601"/>
      <c r="C38" s="601"/>
      <c r="D38" s="601"/>
      <c r="E38" s="601"/>
      <c r="F38" s="601"/>
      <c r="G38" s="601"/>
      <c r="H38" s="601"/>
      <c r="I38" s="601"/>
      <c r="J38" s="601"/>
      <c r="K38" s="601"/>
      <c r="L38" s="601"/>
      <c r="M38" s="601"/>
      <c r="N38" s="601"/>
    </row>
    <row r="39" spans="2:14" ht="33.75" customHeight="1">
      <c r="B39" s="997" t="s">
        <v>296</v>
      </c>
      <c r="C39" s="997"/>
      <c r="D39" s="997"/>
      <c r="E39" s="997"/>
      <c r="F39" s="997"/>
      <c r="G39" s="997"/>
      <c r="H39" s="997"/>
      <c r="I39" s="997"/>
      <c r="J39" s="997"/>
      <c r="K39" s="997"/>
      <c r="L39" s="997"/>
      <c r="M39" s="997"/>
      <c r="N39" s="997"/>
    </row>
    <row r="40" spans="2:14" ht="12.75" customHeight="1">
      <c r="B40" s="600"/>
      <c r="C40" s="600"/>
      <c r="D40" s="600"/>
      <c r="E40" s="600"/>
      <c r="F40" s="600"/>
      <c r="G40" s="600"/>
      <c r="H40" s="600"/>
      <c r="I40" s="600"/>
      <c r="J40" s="600"/>
      <c r="K40" s="600"/>
      <c r="L40" s="600"/>
      <c r="M40" s="600"/>
      <c r="N40" s="600"/>
    </row>
    <row r="41" spans="2:14" ht="22.5" customHeight="1">
      <c r="B41" s="997" t="s">
        <v>297</v>
      </c>
      <c r="C41" s="997"/>
      <c r="D41" s="997"/>
      <c r="E41" s="997"/>
      <c r="F41" s="997"/>
      <c r="G41" s="997"/>
      <c r="H41" s="997"/>
      <c r="I41" s="997"/>
      <c r="J41" s="997"/>
      <c r="K41" s="997"/>
      <c r="L41" s="997"/>
      <c r="M41" s="997"/>
      <c r="N41" s="997"/>
    </row>
    <row r="42" spans="2:14" ht="12.75" customHeight="1">
      <c r="B42" s="600"/>
      <c r="C42" s="600"/>
      <c r="D42" s="600"/>
      <c r="E42" s="600"/>
      <c r="F42" s="600"/>
      <c r="G42" s="600"/>
      <c r="H42" s="600"/>
      <c r="I42" s="600"/>
      <c r="J42" s="600"/>
      <c r="K42" s="600"/>
      <c r="L42" s="600"/>
      <c r="M42" s="600"/>
      <c r="N42" s="600"/>
    </row>
    <row r="43" spans="2:14" ht="33.75" customHeight="1">
      <c r="B43" s="997" t="s">
        <v>298</v>
      </c>
      <c r="C43" s="997"/>
      <c r="D43" s="997"/>
      <c r="E43" s="997"/>
      <c r="F43" s="997"/>
      <c r="G43" s="997"/>
      <c r="H43" s="997"/>
      <c r="I43" s="997"/>
      <c r="J43" s="997"/>
      <c r="K43" s="997"/>
      <c r="L43" s="997"/>
      <c r="M43" s="997"/>
      <c r="N43" s="997"/>
    </row>
    <row r="44" spans="2:14" ht="12.75" customHeight="1">
      <c r="B44" s="600"/>
      <c r="C44" s="600"/>
      <c r="D44" s="600"/>
      <c r="E44" s="600"/>
      <c r="F44" s="600"/>
      <c r="G44" s="600"/>
      <c r="H44" s="600"/>
      <c r="I44" s="600"/>
      <c r="J44" s="600"/>
      <c r="K44" s="600"/>
      <c r="L44" s="600"/>
      <c r="M44" s="600"/>
      <c r="N44" s="600"/>
    </row>
    <row r="45" spans="2:14" ht="23.25" customHeight="1">
      <c r="B45" s="997" t="s">
        <v>749</v>
      </c>
      <c r="C45" s="997"/>
      <c r="D45" s="997"/>
      <c r="E45" s="997"/>
      <c r="F45" s="997"/>
      <c r="G45" s="997"/>
      <c r="H45" s="997"/>
      <c r="I45" s="997"/>
      <c r="J45" s="997"/>
      <c r="K45" s="997"/>
      <c r="L45" s="997"/>
      <c r="M45" s="997"/>
      <c r="N45" s="997"/>
    </row>
    <row r="47" spans="2:14">
      <c r="B47" s="205" t="s">
        <v>750</v>
      </c>
    </row>
    <row r="48" spans="2:14">
      <c r="B48" s="205" t="s">
        <v>626</v>
      </c>
    </row>
  </sheetData>
  <sheetProtection password="B8D9" sheet="1" objects="1" scenarios="1"/>
  <mergeCells count="11">
    <mergeCell ref="B41:N41"/>
    <mergeCell ref="B43:N43"/>
    <mergeCell ref="B45:N45"/>
    <mergeCell ref="B1:M3"/>
    <mergeCell ref="P1:Q3"/>
    <mergeCell ref="P7:Q7"/>
    <mergeCell ref="B35:N35"/>
    <mergeCell ref="B37:N37"/>
    <mergeCell ref="B39:N39"/>
    <mergeCell ref="B4:N5"/>
    <mergeCell ref="B6:N7"/>
  </mergeCells>
  <hyperlinks>
    <hyperlink ref="P1" location="'List of Tables &amp; Charts'!A1" display="return to List of Tables &amp; Charts"/>
    <hyperlink ref="P7:Q7" location="'Chart 1c DATA (final diag)'!A1" display="view Chart 1c (final) data"/>
  </hyperlinks>
  <pageMargins left="0.70866141732283472" right="0.70866141732283472" top="0.74803149606299213" bottom="0.74803149606299213" header="0.31496062992125984" footer="0.31496062992125984"/>
  <pageSetup paperSize="9" scale="70"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22.xml><?xml version="1.0" encoding="utf-8"?>
<worksheet xmlns="http://schemas.openxmlformats.org/spreadsheetml/2006/main" xmlns:r="http://schemas.openxmlformats.org/officeDocument/2006/relationships">
  <sheetPr codeName="Sheet28">
    <pageSetUpPr fitToPage="1"/>
  </sheetPr>
  <dimension ref="A1:X133"/>
  <sheetViews>
    <sheetView zoomScaleNormal="100" workbookViewId="0">
      <selection sqref="A1:A2"/>
    </sheetView>
  </sheetViews>
  <sheetFormatPr defaultRowHeight="11.25"/>
  <cols>
    <col min="1" max="1" width="15.7109375" style="207" customWidth="1"/>
    <col min="2" max="3" width="7.28515625" style="207" bestFit="1" customWidth="1"/>
    <col min="4" max="4" width="12.7109375" style="207" bestFit="1" customWidth="1"/>
    <col min="5" max="8" width="9.28515625" style="207" customWidth="1"/>
    <col min="9" max="9" width="13.42578125" style="207" bestFit="1" customWidth="1"/>
    <col min="10" max="14" width="9.7109375" style="207" customWidth="1"/>
    <col min="15" max="15" width="10.42578125" style="207" bestFit="1" customWidth="1"/>
    <col min="16" max="16" width="45.7109375" style="207" customWidth="1"/>
    <col min="17" max="20" width="11.7109375" style="310" customWidth="1"/>
    <col min="21" max="21" width="9.140625" style="207"/>
    <col min="22" max="22" width="33.85546875" style="207" bestFit="1" customWidth="1"/>
    <col min="23" max="24" width="10.42578125" style="207" bestFit="1" customWidth="1"/>
    <col min="25" max="16384" width="9.140625" style="207"/>
  </cols>
  <sheetData>
    <row r="1" spans="1:23" ht="15" customHeight="1">
      <c r="A1" s="988" t="s">
        <v>25</v>
      </c>
      <c r="B1" s="1001" t="s">
        <v>42</v>
      </c>
      <c r="C1" s="991"/>
      <c r="D1" s="991"/>
      <c r="E1" s="991"/>
      <c r="F1" s="991"/>
      <c r="G1" s="991"/>
      <c r="H1" s="991"/>
      <c r="I1" s="290"/>
      <c r="J1" s="291"/>
      <c r="K1" s="291"/>
      <c r="L1" s="291"/>
      <c r="M1" s="291"/>
      <c r="N1" s="291"/>
      <c r="O1" s="992" t="s">
        <v>20</v>
      </c>
      <c r="P1" s="993"/>
      <c r="Q1" s="992">
        <v>2015</v>
      </c>
      <c r="R1" s="992"/>
      <c r="S1" s="992">
        <v>2016</v>
      </c>
      <c r="T1" s="992"/>
    </row>
    <row r="2" spans="1:23" ht="23.25" customHeight="1">
      <c r="A2" s="1000"/>
      <c r="B2" s="292" t="s">
        <v>438</v>
      </c>
      <c r="C2" s="292" t="s">
        <v>586</v>
      </c>
      <c r="D2" s="599" t="s">
        <v>21</v>
      </c>
      <c r="E2" s="994" t="s">
        <v>449</v>
      </c>
      <c r="F2" s="994"/>
      <c r="G2" s="994" t="s">
        <v>603</v>
      </c>
      <c r="H2" s="995"/>
      <c r="I2" s="294" t="s">
        <v>446</v>
      </c>
      <c r="J2" s="295" t="s">
        <v>589</v>
      </c>
      <c r="K2" s="296" t="s">
        <v>22</v>
      </c>
      <c r="L2" s="297" t="s">
        <v>16</v>
      </c>
      <c r="M2" s="297" t="s">
        <v>15</v>
      </c>
      <c r="N2" s="298" t="s">
        <v>23</v>
      </c>
      <c r="O2" s="299" t="s">
        <v>24</v>
      </c>
      <c r="P2" s="300" t="s">
        <v>25</v>
      </c>
      <c r="Q2" s="300" t="s">
        <v>26</v>
      </c>
      <c r="R2" s="300" t="s">
        <v>27</v>
      </c>
      <c r="S2" s="300" t="s">
        <v>26</v>
      </c>
      <c r="T2" s="300" t="s">
        <v>27</v>
      </c>
      <c r="U2" s="856" t="s">
        <v>792</v>
      </c>
    </row>
    <row r="3" spans="1:23" ht="12">
      <c r="A3" s="301" t="str">
        <f t="shared" ref="A3" si="0">O3</f>
        <v>Scotland</v>
      </c>
      <c r="B3" s="302">
        <f t="shared" ref="B3" si="1">Q3/R3*100</f>
        <v>0.64074559487403526</v>
      </c>
      <c r="C3" s="302">
        <f t="shared" ref="C3" si="2">S3/T3*100</f>
        <v>60.757169091679621</v>
      </c>
      <c r="D3" s="302" t="s">
        <v>262</v>
      </c>
      <c r="E3" s="16">
        <f t="shared" ref="E3" si="3">SUM(1*MID(I3,1,FIND(" - ",I3)-1))</f>
        <v>0</v>
      </c>
      <c r="F3" s="303">
        <f t="shared" ref="F3" si="4">SUM(1*MID(I3,FIND(" - ",I3)+2,LEN(I3)))</f>
        <v>1</v>
      </c>
      <c r="G3" s="303">
        <f t="shared" ref="G3" si="5">SUM(1*MID(J3,1,FIND(" - ",J3)-1))</f>
        <v>60</v>
      </c>
      <c r="H3" s="303">
        <f t="shared" ref="H3" si="6">SUM(1*MID(J3,FIND(" - ",J3)+2,LEN(J3)))</f>
        <v>62</v>
      </c>
      <c r="I3" s="304"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0 - 1</v>
      </c>
      <c r="J3" s="305"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60 - 62</v>
      </c>
      <c r="K3" s="306">
        <f t="shared" ref="K3" si="9">C3-B3</f>
        <v>60.116423496805588</v>
      </c>
      <c r="L3" s="314">
        <f t="shared" ref="L3" si="10">((S3/T3)-(Q3/R3))-(NORMSINV(1-(0.05/COUNTA($O$3:$O$32)))*(SQRT((((Q3/R3)*(1-(Q3/R3)))/R3)+(((S3/T3)*(1-(S3/T3)))/T3))))</f>
        <v>0.58389683396437619</v>
      </c>
      <c r="M3" s="314">
        <f t="shared" ref="M3" si="11">((S3/T3)-(Q3/R3))+(NORMSINV(1-(0.05/COUNTA($O$3:$O$32)))*(SQRT((((Q3/R3)*(1-(Q3/R3)))/R3)+(((S3/T3)*(1-(S3/T3)))/T3))))</f>
        <v>0.61843163597173545</v>
      </c>
      <c r="N3" s="308">
        <f t="shared" ref="N3" si="12">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1</v>
      </c>
      <c r="O3" s="301" t="str">
        <f t="shared" ref="O3" si="13">VLOOKUP(P3,Hospitals,2,FALSE)</f>
        <v>Scotland</v>
      </c>
      <c r="P3" s="301" t="s">
        <v>280</v>
      </c>
      <c r="Q3" s="403">
        <f>SUM(Q4:Q32)</f>
        <v>44</v>
      </c>
      <c r="R3" s="403">
        <f t="shared" ref="R3:T3" si="14">SUM(R4:R32)</f>
        <v>6867</v>
      </c>
      <c r="S3" s="403">
        <f t="shared" si="14"/>
        <v>4301</v>
      </c>
      <c r="T3" s="403">
        <f t="shared" si="14"/>
        <v>7079</v>
      </c>
      <c r="U3" s="856">
        <v>0</v>
      </c>
      <c r="V3" s="856">
        <v>5753</v>
      </c>
      <c r="W3" s="856">
        <v>9026</v>
      </c>
    </row>
    <row r="4" spans="1:23" ht="12">
      <c r="A4" s="301" t="str">
        <f t="shared" ref="A4:A32" si="15">O4</f>
        <v>Caithness*</v>
      </c>
      <c r="B4" s="302">
        <f t="shared" ref="B4:B32" si="16">Q4/R4*100</f>
        <v>0</v>
      </c>
      <c r="C4" s="302">
        <f t="shared" ref="C4:C32" si="17">S4/T4*100</f>
        <v>82.222222222222214</v>
      </c>
      <c r="D4" s="303" t="s">
        <v>262</v>
      </c>
      <c r="E4" s="303">
        <f t="shared" ref="E4:E32" si="18">SUM(1*MID(I4,1,FIND(" - ",I4)-1))</f>
        <v>0</v>
      </c>
      <c r="F4" s="303">
        <f t="shared" ref="F4:F32" si="19">SUM(1*MID(I4,FIND(" - ",I4)+2,LEN(I4)))</f>
        <v>6</v>
      </c>
      <c r="G4" s="303">
        <f t="shared" ref="G4:G32" si="20">SUM(1*MID(J4,1,FIND(" - ",J4)-1))</f>
        <v>69</v>
      </c>
      <c r="H4" s="303">
        <f t="shared" ref="H4:H32" si="21">SUM(1*MID(J4,FIND(" - ",J4)+2,LEN(J4)))</f>
        <v>91</v>
      </c>
      <c r="I4" s="309" t="str">
        <f t="shared" ref="I4:I32" si="22">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0 - 6</v>
      </c>
      <c r="J4" s="305" t="str">
        <f t="shared" ref="J4:J32" si="23">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69 - 91</v>
      </c>
      <c r="K4" s="306">
        <f t="shared" ref="K4:K32" si="24">C4-B4</f>
        <v>82.222222222222214</v>
      </c>
      <c r="L4" s="314">
        <f t="shared" ref="L4:L32" si="25">((S4/T4)-(Q4/R4))-(NORMSINV(1-(0.05/COUNTA($O$3:$O$32)))*(SQRT((((Q4/R4)*(1-(Q4/R4)))/R4)+(((S4/T4)*(1-(S4/T4)))/T4))))</f>
        <v>0.6549342545740312</v>
      </c>
      <c r="M4" s="314">
        <f t="shared" ref="M4:M32" si="26">((S4/T4)-(Q4/R4))+(NORMSINV(1-(0.05/COUNTA($O$3:$O$32)))*(SQRT((((Q4/R4)*(1-(Q4/R4)))/R4)+(((S4/T4)*(1-(S4/T4)))/T4))))</f>
        <v>0.98951018987041317</v>
      </c>
      <c r="N4" s="308">
        <f t="shared" ref="N4:N32" si="27">IF(ISERR(IF(AND(((S4/T4)-(Q4/R4))-(NORMSINV(1-(0.05/COUNTA($P$3:$P$32)))*(SQRT((((Q4/R4)*(1-(Q4/R4)))/R4)+(((S4/T4)*(1-(S4/T4)))/T4))))&gt;0,((S4/T4)-(Q4/R4))+(NORMSINV(1-(0.05/COUNTA($P$3:$P$32)))*(SQRT((((Q4/R4)*(1-(Q4/R4)))/R4)+(((S4/T4)*(1-(S4/T4)))/T4))))&gt;0),1,IF(AND(((S4/T4)-(Q4/R4))-(NORMSINV(1-(0.05/COUNTA($P$3:$P$32)))*(SQRT((((Q4/R4)*(1-(Q4/R4)))/R4)+(((S4/T4)*(1-(S4/T4)))/T4))))&lt;0,((S4/T4)-(Q4/R4))+(NORMSINV(1-(0.05/COUNTA($P$3:$P$32)))*(SQRT((((Q4/R4)*(1-(Q4/R4)))/R4)+(((S4/T4)*(1-(S4/T4)))/T4))))&lt;0),-1,0))),"",IF(AND(((S4/T4)-(Q4/R4))-(NORMSINV(1-(0.05/COUNTA($P$3:$P$32)))*(SQRT((((Q4/R4)*(1-(Q4/R4)))/R4)+(((S4/T4)*(1-(S4/T4)))/T4))))&gt;0,((S4/T4)-(Q4/R4))+(NORMSINV(1-(0.05/COUNTA($P$3:$P$32)))*(SQRT((((Q4/R4)*(1-(Q4/R4)))/R4)+(((S4/T4)*(1-(S4/T4)))/T4))))&gt;0),1,IF(AND(((S4/T4)-(Q4/R4))-(NORMSINV(1-(0.05/COUNTA($P$3:$P$32)))*(SQRT((((Q4/R4)*(1-(Q4/R4)))/R4)+(((S4/T4)*(1-(S4/T4)))/T4))))&lt;0,((S4/T4)-(Q4/R4))+(NORMSINV(1-(0.05/COUNTA($P$3:$P$32)))*(SQRT((((Q4/R4)*(1-(Q4/R4)))/R4)+(((S4/T4)*(1-(S4/T4)))/T4))))&lt;0),-1,0)))</f>
        <v>1</v>
      </c>
      <c r="O4" s="301" t="str">
        <f t="shared" ref="O4:O32" si="28">VLOOKUP(P4,Hospitals,2,FALSE)</f>
        <v>Caithness*</v>
      </c>
      <c r="P4" s="301" t="s">
        <v>91</v>
      </c>
      <c r="Q4" s="403">
        <v>0</v>
      </c>
      <c r="R4" s="403">
        <v>56</v>
      </c>
      <c r="S4" s="403">
        <v>37</v>
      </c>
      <c r="T4" s="403">
        <v>45</v>
      </c>
      <c r="U4" s="856">
        <v>1</v>
      </c>
    </row>
    <row r="5" spans="1:23" ht="12">
      <c r="A5" s="301" t="str">
        <f t="shared" si="15"/>
        <v>Borders</v>
      </c>
      <c r="B5" s="302">
        <f t="shared" si="16"/>
        <v>0.6211180124223602</v>
      </c>
      <c r="C5" s="302">
        <f t="shared" si="17"/>
        <v>76.397515527950304</v>
      </c>
      <c r="D5" s="303" t="s">
        <v>262</v>
      </c>
      <c r="E5" s="303">
        <f t="shared" si="18"/>
        <v>0</v>
      </c>
      <c r="F5" s="303">
        <f t="shared" si="19"/>
        <v>3</v>
      </c>
      <c r="G5" s="303">
        <f t="shared" si="20"/>
        <v>69</v>
      </c>
      <c r="H5" s="303">
        <f t="shared" si="21"/>
        <v>82</v>
      </c>
      <c r="I5" s="309" t="str">
        <f t="shared" si="22"/>
        <v>0 - 3</v>
      </c>
      <c r="J5" s="305" t="str">
        <f t="shared" si="23"/>
        <v>69 - 82</v>
      </c>
      <c r="K5" s="306">
        <f t="shared" si="24"/>
        <v>75.776397515527947</v>
      </c>
      <c r="L5" s="314">
        <f t="shared" si="25"/>
        <v>0.65786704807312157</v>
      </c>
      <c r="M5" s="314">
        <f t="shared" si="26"/>
        <v>0.85766090223743741</v>
      </c>
      <c r="N5" s="308">
        <f t="shared" si="27"/>
        <v>1</v>
      </c>
      <c r="O5" s="301" t="str">
        <f t="shared" si="28"/>
        <v>Borders</v>
      </c>
      <c r="P5" s="301" t="s">
        <v>62</v>
      </c>
      <c r="Q5" s="403">
        <v>1</v>
      </c>
      <c r="R5" s="403">
        <v>161</v>
      </c>
      <c r="S5" s="403">
        <v>123</v>
      </c>
      <c r="T5" s="403">
        <v>161</v>
      </c>
      <c r="U5" s="856">
        <v>2</v>
      </c>
    </row>
    <row r="6" spans="1:23" ht="12">
      <c r="A6" s="301" t="str">
        <f t="shared" si="15"/>
        <v>Crosshouse</v>
      </c>
      <c r="B6" s="302">
        <f t="shared" si="16"/>
        <v>0</v>
      </c>
      <c r="C6" s="302">
        <f t="shared" si="17"/>
        <v>75.662251655629149</v>
      </c>
      <c r="D6" s="303" t="s">
        <v>262</v>
      </c>
      <c r="E6" s="303">
        <f t="shared" si="18"/>
        <v>0</v>
      </c>
      <c r="F6" s="303">
        <f t="shared" si="19"/>
        <v>1</v>
      </c>
      <c r="G6" s="303">
        <f t="shared" si="20"/>
        <v>72</v>
      </c>
      <c r="H6" s="303">
        <f t="shared" si="21"/>
        <v>79</v>
      </c>
      <c r="I6" s="309" t="str">
        <f t="shared" si="22"/>
        <v>0 - 1</v>
      </c>
      <c r="J6" s="305" t="str">
        <f t="shared" si="23"/>
        <v>72 - 79</v>
      </c>
      <c r="K6" s="306">
        <f t="shared" si="24"/>
        <v>75.662251655629149</v>
      </c>
      <c r="L6" s="314">
        <f t="shared" si="25"/>
        <v>0.70537191354505102</v>
      </c>
      <c r="M6" s="314">
        <f t="shared" si="26"/>
        <v>0.80787311956753183</v>
      </c>
      <c r="N6" s="308">
        <f t="shared" si="27"/>
        <v>1</v>
      </c>
      <c r="O6" s="301" t="str">
        <f t="shared" si="28"/>
        <v>Crosshouse</v>
      </c>
      <c r="P6" s="301" t="s">
        <v>59</v>
      </c>
      <c r="Q6" s="403">
        <v>0</v>
      </c>
      <c r="R6" s="403">
        <v>304</v>
      </c>
      <c r="S6" s="403">
        <v>457</v>
      </c>
      <c r="T6" s="403">
        <v>604</v>
      </c>
      <c r="U6" s="856">
        <v>3</v>
      </c>
    </row>
    <row r="7" spans="1:23" ht="12">
      <c r="A7" s="301" t="str">
        <f t="shared" si="15"/>
        <v>L&amp;I</v>
      </c>
      <c r="B7" s="302">
        <f t="shared" si="16"/>
        <v>0</v>
      </c>
      <c r="C7" s="302">
        <f t="shared" si="17"/>
        <v>74.468085106382972</v>
      </c>
      <c r="D7" s="303" t="s">
        <v>262</v>
      </c>
      <c r="E7" s="303">
        <f t="shared" si="18"/>
        <v>0</v>
      </c>
      <c r="F7" s="303">
        <f t="shared" si="19"/>
        <v>11</v>
      </c>
      <c r="G7" s="303">
        <f t="shared" si="20"/>
        <v>60</v>
      </c>
      <c r="H7" s="303">
        <f t="shared" si="21"/>
        <v>85</v>
      </c>
      <c r="I7" s="309" t="str">
        <f t="shared" si="22"/>
        <v>0 - 11</v>
      </c>
      <c r="J7" s="305" t="str">
        <f t="shared" si="23"/>
        <v>60 - 85</v>
      </c>
      <c r="K7" s="306">
        <f t="shared" si="24"/>
        <v>74.468085106382972</v>
      </c>
      <c r="L7" s="314">
        <f t="shared" si="25"/>
        <v>0.55799324853776655</v>
      </c>
      <c r="M7" s="314">
        <f t="shared" si="26"/>
        <v>0.93136845358989295</v>
      </c>
      <c r="N7" s="308">
        <f t="shared" si="27"/>
        <v>1</v>
      </c>
      <c r="O7" s="301" t="str">
        <f t="shared" si="28"/>
        <v>L&amp;I</v>
      </c>
      <c r="P7" s="301" t="s">
        <v>94</v>
      </c>
      <c r="Q7" s="403">
        <v>0</v>
      </c>
      <c r="R7" s="403">
        <v>30</v>
      </c>
      <c r="S7" s="403">
        <v>35</v>
      </c>
      <c r="T7" s="403">
        <v>47</v>
      </c>
      <c r="U7" s="856">
        <v>4</v>
      </c>
    </row>
    <row r="8" spans="1:23" ht="12">
      <c r="A8" s="301" t="str">
        <f t="shared" si="15"/>
        <v>VHK</v>
      </c>
      <c r="B8" s="302">
        <f t="shared" si="16"/>
        <v>1.7699115044247788</v>
      </c>
      <c r="C8" s="302">
        <f t="shared" si="17"/>
        <v>73.146292585170329</v>
      </c>
      <c r="D8" s="303" t="s">
        <v>262</v>
      </c>
      <c r="E8" s="303">
        <f t="shared" si="18"/>
        <v>1</v>
      </c>
      <c r="F8" s="303">
        <f t="shared" si="19"/>
        <v>3</v>
      </c>
      <c r="G8" s="303">
        <f t="shared" si="20"/>
        <v>69</v>
      </c>
      <c r="H8" s="303">
        <f t="shared" si="21"/>
        <v>77</v>
      </c>
      <c r="I8" s="309" t="str">
        <f t="shared" si="22"/>
        <v>1 - 3</v>
      </c>
      <c r="J8" s="305" t="str">
        <f t="shared" si="23"/>
        <v>69 - 77</v>
      </c>
      <c r="K8" s="306">
        <f t="shared" si="24"/>
        <v>71.376381080745546</v>
      </c>
      <c r="L8" s="314">
        <f t="shared" si="25"/>
        <v>0.65274967703576514</v>
      </c>
      <c r="M8" s="314">
        <f t="shared" si="26"/>
        <v>0.77477794457914595</v>
      </c>
      <c r="N8" s="308">
        <f t="shared" si="27"/>
        <v>1</v>
      </c>
      <c r="O8" s="301" t="str">
        <f t="shared" si="28"/>
        <v>VHK</v>
      </c>
      <c r="P8" s="301" t="s">
        <v>281</v>
      </c>
      <c r="Q8" s="403">
        <v>8</v>
      </c>
      <c r="R8" s="403">
        <v>452</v>
      </c>
      <c r="S8" s="403">
        <v>365</v>
      </c>
      <c r="T8" s="403">
        <v>499</v>
      </c>
      <c r="U8" s="856">
        <v>5</v>
      </c>
    </row>
    <row r="9" spans="1:23" ht="12">
      <c r="A9" s="301" t="str">
        <f t="shared" si="15"/>
        <v>FVRH</v>
      </c>
      <c r="B9" s="302">
        <f t="shared" si="16"/>
        <v>0.4728132387706856</v>
      </c>
      <c r="C9" s="302">
        <f t="shared" si="17"/>
        <v>66.666666666666657</v>
      </c>
      <c r="D9" s="303" t="s">
        <v>262</v>
      </c>
      <c r="E9" s="303">
        <f t="shared" si="18"/>
        <v>0</v>
      </c>
      <c r="F9" s="303">
        <f t="shared" si="19"/>
        <v>2</v>
      </c>
      <c r="G9" s="303">
        <f t="shared" si="20"/>
        <v>62</v>
      </c>
      <c r="H9" s="303">
        <f t="shared" si="21"/>
        <v>71</v>
      </c>
      <c r="I9" s="309" t="str">
        <f t="shared" si="22"/>
        <v>0 - 2</v>
      </c>
      <c r="J9" s="305" t="str">
        <f t="shared" si="23"/>
        <v>62 - 71</v>
      </c>
      <c r="K9" s="306">
        <f t="shared" si="24"/>
        <v>66.193853427895974</v>
      </c>
      <c r="L9" s="314">
        <f t="shared" si="25"/>
        <v>0.5922365776195988</v>
      </c>
      <c r="M9" s="314">
        <f t="shared" si="26"/>
        <v>0.73164049093832073</v>
      </c>
      <c r="N9" s="308">
        <f t="shared" si="27"/>
        <v>1</v>
      </c>
      <c r="O9" s="301" t="str">
        <f t="shared" si="28"/>
        <v>FVRH</v>
      </c>
      <c r="P9" s="301" t="s">
        <v>72</v>
      </c>
      <c r="Q9" s="403">
        <v>2</v>
      </c>
      <c r="R9" s="403">
        <v>423</v>
      </c>
      <c r="S9" s="403">
        <v>268</v>
      </c>
      <c r="T9" s="403">
        <v>402</v>
      </c>
      <c r="U9" s="856">
        <v>6</v>
      </c>
    </row>
    <row r="10" spans="1:23" ht="12">
      <c r="A10" s="301" t="str">
        <f t="shared" si="15"/>
        <v>Hairmyres</v>
      </c>
      <c r="B10" s="302">
        <f t="shared" si="16"/>
        <v>0</v>
      </c>
      <c r="C10" s="302">
        <f t="shared" si="17"/>
        <v>66.390041493775925</v>
      </c>
      <c r="D10" s="303" t="s">
        <v>262</v>
      </c>
      <c r="E10" s="303">
        <f t="shared" si="18"/>
        <v>0</v>
      </c>
      <c r="F10" s="303">
        <f t="shared" si="19"/>
        <v>2</v>
      </c>
      <c r="G10" s="303">
        <f t="shared" si="20"/>
        <v>60</v>
      </c>
      <c r="H10" s="303">
        <f t="shared" si="21"/>
        <v>72</v>
      </c>
      <c r="I10" s="309" t="str">
        <f t="shared" si="22"/>
        <v>0 - 2</v>
      </c>
      <c r="J10" s="305" t="str">
        <f t="shared" si="23"/>
        <v>60 - 72</v>
      </c>
      <c r="K10" s="306">
        <f t="shared" si="24"/>
        <v>66.390041493775925</v>
      </c>
      <c r="L10" s="314">
        <f t="shared" si="25"/>
        <v>0.57458743969440285</v>
      </c>
      <c r="M10" s="314">
        <f t="shared" si="26"/>
        <v>0.75321339018111577</v>
      </c>
      <c r="N10" s="308">
        <f t="shared" si="27"/>
        <v>1</v>
      </c>
      <c r="O10" s="301" t="str">
        <f t="shared" si="28"/>
        <v>Hairmyres</v>
      </c>
      <c r="P10" s="301" t="s">
        <v>100</v>
      </c>
      <c r="Q10" s="403">
        <v>0</v>
      </c>
      <c r="R10" s="403">
        <v>235</v>
      </c>
      <c r="S10" s="403">
        <v>160</v>
      </c>
      <c r="T10" s="403">
        <v>241</v>
      </c>
      <c r="U10" s="856">
        <v>7</v>
      </c>
    </row>
    <row r="11" spans="1:23" ht="12">
      <c r="A11" s="301" t="str">
        <f t="shared" si="15"/>
        <v>Dr Grays</v>
      </c>
      <c r="B11" s="302">
        <f t="shared" si="16"/>
        <v>0</v>
      </c>
      <c r="C11" s="302">
        <f t="shared" si="17"/>
        <v>65.094339622641513</v>
      </c>
      <c r="D11" s="303" t="s">
        <v>262</v>
      </c>
      <c r="E11" s="303">
        <f t="shared" si="18"/>
        <v>0</v>
      </c>
      <c r="F11" s="303">
        <f t="shared" si="19"/>
        <v>4</v>
      </c>
      <c r="G11" s="303">
        <f t="shared" si="20"/>
        <v>56</v>
      </c>
      <c r="H11" s="303">
        <f t="shared" si="21"/>
        <v>73</v>
      </c>
      <c r="I11" s="309" t="str">
        <f t="shared" si="22"/>
        <v>0 - 4</v>
      </c>
      <c r="J11" s="305" t="str">
        <f t="shared" si="23"/>
        <v>56 - 73</v>
      </c>
      <c r="K11" s="306">
        <f t="shared" si="24"/>
        <v>65.094339622641513</v>
      </c>
      <c r="L11" s="314">
        <f t="shared" si="25"/>
        <v>0.51504816101655604</v>
      </c>
      <c r="M11" s="314">
        <f t="shared" si="26"/>
        <v>0.78683863143627408</v>
      </c>
      <c r="N11" s="308">
        <f t="shared" si="27"/>
        <v>1</v>
      </c>
      <c r="O11" s="301" t="str">
        <f t="shared" si="28"/>
        <v>Dr Grays</v>
      </c>
      <c r="P11" s="301" t="s">
        <v>76</v>
      </c>
      <c r="Q11" s="403">
        <v>0</v>
      </c>
      <c r="R11" s="403">
        <v>94</v>
      </c>
      <c r="S11" s="403">
        <v>69</v>
      </c>
      <c r="T11" s="403">
        <v>106</v>
      </c>
      <c r="U11" s="856">
        <v>8</v>
      </c>
    </row>
    <row r="12" spans="1:23" ht="12">
      <c r="A12" s="301" t="str">
        <f t="shared" si="15"/>
        <v>IRH</v>
      </c>
      <c r="B12" s="302">
        <f t="shared" si="16"/>
        <v>0</v>
      </c>
      <c r="C12" s="302">
        <f t="shared" si="17"/>
        <v>64.827586206896541</v>
      </c>
      <c r="D12" s="303" t="s">
        <v>262</v>
      </c>
      <c r="E12" s="303">
        <f t="shared" si="18"/>
        <v>0</v>
      </c>
      <c r="F12" s="303">
        <f t="shared" si="19"/>
        <v>2</v>
      </c>
      <c r="G12" s="303">
        <f t="shared" si="20"/>
        <v>57</v>
      </c>
      <c r="H12" s="303">
        <f t="shared" si="21"/>
        <v>72</v>
      </c>
      <c r="I12" s="309" t="str">
        <f t="shared" si="22"/>
        <v>0 - 2</v>
      </c>
      <c r="J12" s="305" t="str">
        <f t="shared" si="23"/>
        <v>57 - 72</v>
      </c>
      <c r="K12" s="306">
        <f t="shared" si="24"/>
        <v>64.827586206896541</v>
      </c>
      <c r="L12" s="314">
        <f t="shared" si="25"/>
        <v>0.53188077978860493</v>
      </c>
      <c r="M12" s="314">
        <f t="shared" si="26"/>
        <v>0.76467094434932603</v>
      </c>
      <c r="N12" s="308">
        <f t="shared" si="27"/>
        <v>1</v>
      </c>
      <c r="O12" s="301" t="str">
        <f t="shared" si="28"/>
        <v>IRH</v>
      </c>
      <c r="P12" s="301" t="s">
        <v>81</v>
      </c>
      <c r="Q12" s="403">
        <v>0</v>
      </c>
      <c r="R12" s="403">
        <v>167</v>
      </c>
      <c r="S12" s="403">
        <v>94</v>
      </c>
      <c r="T12" s="403">
        <v>145</v>
      </c>
      <c r="U12" s="856">
        <v>9</v>
      </c>
    </row>
    <row r="13" spans="1:23" ht="12">
      <c r="A13" s="301" t="str">
        <f t="shared" si="15"/>
        <v>ARI</v>
      </c>
      <c r="B13" s="302">
        <f t="shared" si="16"/>
        <v>1.5655577299412915</v>
      </c>
      <c r="C13" s="302">
        <f t="shared" si="17"/>
        <v>61.99186991869918</v>
      </c>
      <c r="D13" s="303" t="s">
        <v>262</v>
      </c>
      <c r="E13" s="303">
        <f t="shared" si="18"/>
        <v>1</v>
      </c>
      <c r="F13" s="303">
        <f t="shared" si="19"/>
        <v>3</v>
      </c>
      <c r="G13" s="303">
        <f t="shared" si="20"/>
        <v>58</v>
      </c>
      <c r="H13" s="303">
        <f t="shared" si="21"/>
        <v>66</v>
      </c>
      <c r="I13" s="309" t="str">
        <f t="shared" si="22"/>
        <v>1 - 3</v>
      </c>
      <c r="J13" s="305" t="str">
        <f t="shared" si="23"/>
        <v>58 - 66</v>
      </c>
      <c r="K13" s="306">
        <f t="shared" si="24"/>
        <v>60.42631218875789</v>
      </c>
      <c r="L13" s="314">
        <f t="shared" si="25"/>
        <v>0.53803817019816469</v>
      </c>
      <c r="M13" s="314">
        <f t="shared" si="26"/>
        <v>0.67048807357699314</v>
      </c>
      <c r="N13" s="308">
        <f t="shared" si="27"/>
        <v>1</v>
      </c>
      <c r="O13" s="301" t="str">
        <f t="shared" si="28"/>
        <v>ARI</v>
      </c>
      <c r="P13" s="301" t="s">
        <v>74</v>
      </c>
      <c r="Q13" s="403">
        <v>8</v>
      </c>
      <c r="R13" s="403">
        <v>511</v>
      </c>
      <c r="S13" s="403">
        <v>305</v>
      </c>
      <c r="T13" s="403">
        <v>492</v>
      </c>
      <c r="U13" s="856">
        <v>10</v>
      </c>
    </row>
    <row r="14" spans="1:23" ht="12">
      <c r="A14" s="301" t="str">
        <f t="shared" si="15"/>
        <v>Belford*</v>
      </c>
      <c r="B14" s="302">
        <f t="shared" si="16"/>
        <v>0</v>
      </c>
      <c r="C14" s="302">
        <f t="shared" si="17"/>
        <v>61.53846153846154</v>
      </c>
      <c r="D14" s="303" t="s">
        <v>262</v>
      </c>
      <c r="E14" s="303">
        <f t="shared" si="18"/>
        <v>0</v>
      </c>
      <c r="F14" s="303">
        <f t="shared" si="19"/>
        <v>15</v>
      </c>
      <c r="G14" s="303">
        <f t="shared" si="20"/>
        <v>43</v>
      </c>
      <c r="H14" s="303">
        <f t="shared" si="21"/>
        <v>78</v>
      </c>
      <c r="I14" s="309" t="str">
        <f t="shared" si="22"/>
        <v>0 - 15</v>
      </c>
      <c r="J14" s="305" t="str">
        <f t="shared" si="23"/>
        <v>43 - 78</v>
      </c>
      <c r="K14" s="306">
        <f t="shared" si="24"/>
        <v>61.53846153846154</v>
      </c>
      <c r="L14" s="314">
        <f t="shared" si="25"/>
        <v>0.33533331762518082</v>
      </c>
      <c r="M14" s="314">
        <f t="shared" si="26"/>
        <v>0.89543591314405002</v>
      </c>
      <c r="N14" s="308">
        <f t="shared" si="27"/>
        <v>1</v>
      </c>
      <c r="O14" s="301" t="str">
        <f t="shared" si="28"/>
        <v>Belford*</v>
      </c>
      <c r="P14" s="301" t="s">
        <v>88</v>
      </c>
      <c r="Q14" s="403">
        <v>0</v>
      </c>
      <c r="R14" s="403">
        <v>22</v>
      </c>
      <c r="S14" s="403">
        <v>16</v>
      </c>
      <c r="T14" s="403">
        <v>26</v>
      </c>
      <c r="U14" s="856">
        <v>11</v>
      </c>
    </row>
    <row r="15" spans="1:23" ht="12">
      <c r="A15" s="301" t="str">
        <f t="shared" si="15"/>
        <v>RAH</v>
      </c>
      <c r="B15" s="302">
        <f t="shared" si="16"/>
        <v>0.37313432835820892</v>
      </c>
      <c r="C15" s="302">
        <f t="shared" si="17"/>
        <v>60.142348754448392</v>
      </c>
      <c r="D15" s="303" t="s">
        <v>262</v>
      </c>
      <c r="E15" s="303">
        <f t="shared" si="18"/>
        <v>0</v>
      </c>
      <c r="F15" s="303">
        <f t="shared" si="19"/>
        <v>2</v>
      </c>
      <c r="G15" s="303">
        <f t="shared" si="20"/>
        <v>54</v>
      </c>
      <c r="H15" s="303">
        <f t="shared" si="21"/>
        <v>66</v>
      </c>
      <c r="I15" s="309" t="str">
        <f t="shared" si="22"/>
        <v>0 - 2</v>
      </c>
      <c r="J15" s="305" t="str">
        <f t="shared" si="23"/>
        <v>54 - 66</v>
      </c>
      <c r="K15" s="306">
        <f t="shared" si="24"/>
        <v>59.76921442609018</v>
      </c>
      <c r="L15" s="314">
        <f t="shared" si="25"/>
        <v>0.51126843052655291</v>
      </c>
      <c r="M15" s="314">
        <f t="shared" si="26"/>
        <v>0.68411585799525088</v>
      </c>
      <c r="N15" s="308">
        <f t="shared" si="27"/>
        <v>1</v>
      </c>
      <c r="O15" s="301" t="str">
        <f t="shared" si="28"/>
        <v>RAH</v>
      </c>
      <c r="P15" s="301" t="s">
        <v>84</v>
      </c>
      <c r="Q15" s="403">
        <v>1</v>
      </c>
      <c r="R15" s="403">
        <v>268</v>
      </c>
      <c r="S15" s="403">
        <v>169</v>
      </c>
      <c r="T15" s="403">
        <v>281</v>
      </c>
      <c r="U15" s="856">
        <v>12</v>
      </c>
    </row>
    <row r="16" spans="1:23" ht="12">
      <c r="A16" s="301" t="str">
        <f t="shared" si="15"/>
        <v>RIE</v>
      </c>
      <c r="B16" s="302">
        <f t="shared" si="16"/>
        <v>0.27777777777777779</v>
      </c>
      <c r="C16" s="302">
        <f t="shared" si="17"/>
        <v>59.583333333333336</v>
      </c>
      <c r="D16" s="303" t="s">
        <v>262</v>
      </c>
      <c r="E16" s="303">
        <f t="shared" si="18"/>
        <v>0</v>
      </c>
      <c r="F16" s="303">
        <f t="shared" si="19"/>
        <v>1</v>
      </c>
      <c r="G16" s="303">
        <f t="shared" si="20"/>
        <v>56</v>
      </c>
      <c r="H16" s="303">
        <f t="shared" si="21"/>
        <v>63</v>
      </c>
      <c r="I16" s="309" t="str">
        <f t="shared" si="22"/>
        <v>0 - 1</v>
      </c>
      <c r="J16" s="305" t="str">
        <f t="shared" si="23"/>
        <v>56 - 63</v>
      </c>
      <c r="K16" s="306">
        <f t="shared" si="24"/>
        <v>59.305555555555557</v>
      </c>
      <c r="L16" s="314">
        <f t="shared" si="25"/>
        <v>0.53906751516744311</v>
      </c>
      <c r="M16" s="314">
        <f t="shared" si="26"/>
        <v>0.647043595943668</v>
      </c>
      <c r="N16" s="308">
        <f t="shared" si="27"/>
        <v>1</v>
      </c>
      <c r="O16" s="301" t="str">
        <f t="shared" si="28"/>
        <v>RIE</v>
      </c>
      <c r="P16" s="301" t="s">
        <v>108</v>
      </c>
      <c r="Q16" s="403">
        <v>2</v>
      </c>
      <c r="R16" s="403">
        <v>720</v>
      </c>
      <c r="S16" s="403">
        <v>429</v>
      </c>
      <c r="T16" s="403">
        <v>720</v>
      </c>
      <c r="U16" s="856">
        <v>13</v>
      </c>
    </row>
    <row r="17" spans="1:21" ht="12">
      <c r="A17" s="301" t="str">
        <f t="shared" si="15"/>
        <v>Ninewells</v>
      </c>
      <c r="B17" s="302">
        <f t="shared" si="16"/>
        <v>0.28901734104046239</v>
      </c>
      <c r="C17" s="302">
        <f t="shared" si="17"/>
        <v>58.55614973262032</v>
      </c>
      <c r="D17" s="303" t="s">
        <v>262</v>
      </c>
      <c r="E17" s="303">
        <f t="shared" si="18"/>
        <v>0</v>
      </c>
      <c r="F17" s="303">
        <f t="shared" si="19"/>
        <v>2</v>
      </c>
      <c r="G17" s="303">
        <f t="shared" si="20"/>
        <v>54</v>
      </c>
      <c r="H17" s="303">
        <f t="shared" si="21"/>
        <v>63</v>
      </c>
      <c r="I17" s="309" t="str">
        <f t="shared" si="22"/>
        <v>0 - 2</v>
      </c>
      <c r="J17" s="305" t="str">
        <f t="shared" si="23"/>
        <v>54 - 63</v>
      </c>
      <c r="K17" s="306">
        <f t="shared" si="24"/>
        <v>58.267132391579857</v>
      </c>
      <c r="L17" s="314">
        <f t="shared" si="25"/>
        <v>0.50742458402669799</v>
      </c>
      <c r="M17" s="314">
        <f t="shared" si="26"/>
        <v>0.65791806380489914</v>
      </c>
      <c r="N17" s="308">
        <f t="shared" si="27"/>
        <v>1</v>
      </c>
      <c r="O17" s="301" t="str">
        <f t="shared" si="28"/>
        <v>Ninewells</v>
      </c>
      <c r="P17" s="301" t="s">
        <v>123</v>
      </c>
      <c r="Q17" s="403">
        <v>1</v>
      </c>
      <c r="R17" s="403">
        <v>346</v>
      </c>
      <c r="S17" s="403">
        <v>219</v>
      </c>
      <c r="T17" s="403">
        <v>374</v>
      </c>
      <c r="U17" s="856">
        <v>14</v>
      </c>
    </row>
    <row r="18" spans="1:21" ht="12">
      <c r="A18" s="301" t="str">
        <f t="shared" si="15"/>
        <v>SJH</v>
      </c>
      <c r="B18" s="302">
        <f t="shared" si="16"/>
        <v>0.52083333333333326</v>
      </c>
      <c r="C18" s="302">
        <f t="shared" si="17"/>
        <v>58.536585365853654</v>
      </c>
      <c r="D18" s="303" t="s">
        <v>262</v>
      </c>
      <c r="E18" s="303">
        <f t="shared" si="18"/>
        <v>0</v>
      </c>
      <c r="F18" s="303">
        <f t="shared" si="19"/>
        <v>3</v>
      </c>
      <c r="G18" s="303">
        <f t="shared" si="20"/>
        <v>52</v>
      </c>
      <c r="H18" s="303">
        <f t="shared" si="21"/>
        <v>65</v>
      </c>
      <c r="I18" s="309" t="str">
        <f t="shared" si="22"/>
        <v>0 - 3</v>
      </c>
      <c r="J18" s="305" t="str">
        <f t="shared" si="23"/>
        <v>52 - 65</v>
      </c>
      <c r="K18" s="306">
        <f t="shared" si="24"/>
        <v>58.015752032520318</v>
      </c>
      <c r="L18" s="314">
        <f t="shared" si="25"/>
        <v>0.47801638705002347</v>
      </c>
      <c r="M18" s="314">
        <f t="shared" si="26"/>
        <v>0.68229865360038289</v>
      </c>
      <c r="N18" s="308">
        <f t="shared" si="27"/>
        <v>1</v>
      </c>
      <c r="O18" s="301" t="str">
        <f t="shared" si="28"/>
        <v>SJH</v>
      </c>
      <c r="P18" s="301" t="s">
        <v>111</v>
      </c>
      <c r="Q18" s="403">
        <v>1</v>
      </c>
      <c r="R18" s="403">
        <v>192</v>
      </c>
      <c r="S18" s="403">
        <v>120</v>
      </c>
      <c r="T18" s="403">
        <v>205</v>
      </c>
      <c r="U18" s="856">
        <v>15</v>
      </c>
    </row>
    <row r="19" spans="1:21" ht="12">
      <c r="A19" s="301" t="str">
        <f t="shared" si="15"/>
        <v>QEUHG</v>
      </c>
      <c r="B19" s="302">
        <f t="shared" si="16"/>
        <v>0.57077625570776247</v>
      </c>
      <c r="C19" s="302">
        <f t="shared" si="17"/>
        <v>54.769921436588099</v>
      </c>
      <c r="D19" s="303" t="s">
        <v>262</v>
      </c>
      <c r="E19" s="303">
        <f t="shared" si="18"/>
        <v>0</v>
      </c>
      <c r="F19" s="303">
        <f t="shared" si="19"/>
        <v>1</v>
      </c>
      <c r="G19" s="303">
        <f t="shared" si="20"/>
        <v>51</v>
      </c>
      <c r="H19" s="303">
        <f t="shared" si="21"/>
        <v>58</v>
      </c>
      <c r="I19" s="309" t="str">
        <f t="shared" si="22"/>
        <v>0 - 1</v>
      </c>
      <c r="J19" s="305" t="str">
        <f t="shared" si="23"/>
        <v>51 - 58</v>
      </c>
      <c r="K19" s="306">
        <f t="shared" si="24"/>
        <v>54.199145180880336</v>
      </c>
      <c r="L19" s="314">
        <f t="shared" si="25"/>
        <v>0.49248232053921442</v>
      </c>
      <c r="M19" s="314">
        <f t="shared" si="26"/>
        <v>0.59150058307839237</v>
      </c>
      <c r="N19" s="308">
        <f t="shared" si="27"/>
        <v>1</v>
      </c>
      <c r="O19" s="301" t="str">
        <f t="shared" si="28"/>
        <v>QEUHG</v>
      </c>
      <c r="P19" s="301" t="s">
        <v>447</v>
      </c>
      <c r="Q19" s="403">
        <v>5</v>
      </c>
      <c r="R19" s="403">
        <v>876</v>
      </c>
      <c r="S19" s="403">
        <v>488</v>
      </c>
      <c r="T19" s="403">
        <v>891</v>
      </c>
      <c r="U19" s="856">
        <v>16</v>
      </c>
    </row>
    <row r="20" spans="1:21" ht="12">
      <c r="A20" s="301" t="str">
        <f t="shared" si="15"/>
        <v>DGRI</v>
      </c>
      <c r="B20" s="302">
        <f t="shared" si="16"/>
        <v>0</v>
      </c>
      <c r="C20" s="302">
        <f t="shared" si="17"/>
        <v>54.487179487179482</v>
      </c>
      <c r="D20" s="303" t="s">
        <v>262</v>
      </c>
      <c r="E20" s="303">
        <f t="shared" si="18"/>
        <v>0</v>
      </c>
      <c r="F20" s="303">
        <f t="shared" si="19"/>
        <v>2</v>
      </c>
      <c r="G20" s="303">
        <f t="shared" si="20"/>
        <v>47</v>
      </c>
      <c r="H20" s="303">
        <f t="shared" si="21"/>
        <v>62</v>
      </c>
      <c r="I20" s="309" t="str">
        <f t="shared" si="22"/>
        <v>0 - 2</v>
      </c>
      <c r="J20" s="305" t="str">
        <f t="shared" si="23"/>
        <v>47 - 62</v>
      </c>
      <c r="K20" s="306">
        <f t="shared" si="24"/>
        <v>54.487179487179482</v>
      </c>
      <c r="L20" s="314">
        <f t="shared" si="25"/>
        <v>0.42784390890686125</v>
      </c>
      <c r="M20" s="314">
        <f t="shared" si="26"/>
        <v>0.66189968083672845</v>
      </c>
      <c r="N20" s="308">
        <f t="shared" si="27"/>
        <v>1</v>
      </c>
      <c r="O20" s="301" t="str">
        <f t="shared" si="28"/>
        <v>DGRI</v>
      </c>
      <c r="P20" s="301" t="s">
        <v>64</v>
      </c>
      <c r="Q20" s="403">
        <v>0</v>
      </c>
      <c r="R20" s="403">
        <v>181</v>
      </c>
      <c r="S20" s="403">
        <v>85</v>
      </c>
      <c r="T20" s="403">
        <v>156</v>
      </c>
      <c r="U20" s="856">
        <v>17</v>
      </c>
    </row>
    <row r="21" spans="1:21" ht="12">
      <c r="A21" s="301" t="str">
        <f t="shared" si="15"/>
        <v>GRI</v>
      </c>
      <c r="B21" s="302">
        <f t="shared" si="16"/>
        <v>1.4851485148514851</v>
      </c>
      <c r="C21" s="302">
        <f t="shared" si="17"/>
        <v>54.297693920335433</v>
      </c>
      <c r="D21" s="303" t="s">
        <v>262</v>
      </c>
      <c r="E21" s="303">
        <f t="shared" si="18"/>
        <v>1</v>
      </c>
      <c r="F21" s="303">
        <f t="shared" si="19"/>
        <v>3</v>
      </c>
      <c r="G21" s="303">
        <f t="shared" si="20"/>
        <v>50</v>
      </c>
      <c r="H21" s="303">
        <f t="shared" si="21"/>
        <v>59</v>
      </c>
      <c r="I21" s="309" t="str">
        <f t="shared" si="22"/>
        <v>1 - 3</v>
      </c>
      <c r="J21" s="305" t="str">
        <f t="shared" si="23"/>
        <v>50 - 59</v>
      </c>
      <c r="K21" s="306">
        <f t="shared" si="24"/>
        <v>52.812545405483945</v>
      </c>
      <c r="L21" s="314">
        <f t="shared" si="25"/>
        <v>0.45888634413575513</v>
      </c>
      <c r="M21" s="314">
        <f t="shared" si="26"/>
        <v>0.59736456397392379</v>
      </c>
      <c r="N21" s="308">
        <f t="shared" si="27"/>
        <v>1</v>
      </c>
      <c r="O21" s="301" t="str">
        <f t="shared" si="28"/>
        <v>GRI</v>
      </c>
      <c r="P21" s="301" t="s">
        <v>79</v>
      </c>
      <c r="Q21" s="403">
        <v>6</v>
      </c>
      <c r="R21" s="403">
        <v>404</v>
      </c>
      <c r="S21" s="403">
        <v>259</v>
      </c>
      <c r="T21" s="403">
        <v>477</v>
      </c>
      <c r="U21" s="856">
        <v>18</v>
      </c>
    </row>
    <row r="22" spans="1:21" ht="12">
      <c r="A22" s="301" t="str">
        <f t="shared" si="15"/>
        <v>Wishaw</v>
      </c>
      <c r="B22" s="302">
        <f t="shared" si="16"/>
        <v>0.39215686274509803</v>
      </c>
      <c r="C22" s="302">
        <f t="shared" si="17"/>
        <v>53.815261044176708</v>
      </c>
      <c r="D22" s="303" t="s">
        <v>262</v>
      </c>
      <c r="E22" s="303">
        <f t="shared" si="18"/>
        <v>0</v>
      </c>
      <c r="F22" s="303">
        <f t="shared" si="19"/>
        <v>2</v>
      </c>
      <c r="G22" s="303">
        <f t="shared" si="20"/>
        <v>48</v>
      </c>
      <c r="H22" s="303">
        <f t="shared" si="21"/>
        <v>60</v>
      </c>
      <c r="I22" s="309" t="str">
        <f t="shared" si="22"/>
        <v>0 - 2</v>
      </c>
      <c r="J22" s="305" t="str">
        <f t="shared" si="23"/>
        <v>48 - 60</v>
      </c>
      <c r="K22" s="306">
        <f t="shared" si="24"/>
        <v>53.423104181431611</v>
      </c>
      <c r="L22" s="314">
        <f t="shared" si="25"/>
        <v>0.44078798198588542</v>
      </c>
      <c r="M22" s="314">
        <f t="shared" si="26"/>
        <v>0.62767410164274684</v>
      </c>
      <c r="N22" s="308">
        <f t="shared" si="27"/>
        <v>1</v>
      </c>
      <c r="O22" s="301" t="str">
        <f t="shared" si="28"/>
        <v>Wishaw</v>
      </c>
      <c r="P22" s="301" t="s">
        <v>106</v>
      </c>
      <c r="Q22" s="403">
        <v>1</v>
      </c>
      <c r="R22" s="403">
        <v>255</v>
      </c>
      <c r="S22" s="403">
        <v>134</v>
      </c>
      <c r="T22" s="403">
        <v>249</v>
      </c>
      <c r="U22" s="856">
        <v>19</v>
      </c>
    </row>
    <row r="23" spans="1:21" ht="12">
      <c r="A23" s="301" t="str">
        <f t="shared" si="15"/>
        <v>Gilbert Bain*</v>
      </c>
      <c r="B23" s="302">
        <f t="shared" si="16"/>
        <v>0</v>
      </c>
      <c r="C23" s="302">
        <f t="shared" si="17"/>
        <v>53.333333333333336</v>
      </c>
      <c r="D23" s="303" t="s">
        <v>262</v>
      </c>
      <c r="E23" s="303">
        <f t="shared" si="18"/>
        <v>0</v>
      </c>
      <c r="F23" s="303">
        <f t="shared" si="19"/>
        <v>11</v>
      </c>
      <c r="G23" s="303">
        <f t="shared" si="20"/>
        <v>36</v>
      </c>
      <c r="H23" s="303">
        <f t="shared" si="21"/>
        <v>70</v>
      </c>
      <c r="I23" s="309" t="str">
        <f t="shared" si="22"/>
        <v>0 - 11</v>
      </c>
      <c r="J23" s="305" t="str">
        <f t="shared" si="23"/>
        <v>36 - 70</v>
      </c>
      <c r="K23" s="306">
        <f t="shared" si="24"/>
        <v>53.333333333333336</v>
      </c>
      <c r="L23" s="314">
        <f t="shared" si="25"/>
        <v>0.26598360492668716</v>
      </c>
      <c r="M23" s="314">
        <f t="shared" si="26"/>
        <v>0.8006830617399795</v>
      </c>
      <c r="N23" s="308">
        <f t="shared" si="27"/>
        <v>1</v>
      </c>
      <c r="O23" s="301" t="str">
        <f t="shared" si="28"/>
        <v>Gilbert Bain*</v>
      </c>
      <c r="P23" s="301" t="s">
        <v>120</v>
      </c>
      <c r="Q23" s="403">
        <v>0</v>
      </c>
      <c r="R23" s="403">
        <v>30</v>
      </c>
      <c r="S23" s="403">
        <v>16</v>
      </c>
      <c r="T23" s="403">
        <v>30</v>
      </c>
      <c r="U23" s="856">
        <v>20</v>
      </c>
    </row>
    <row r="24" spans="1:21" ht="12">
      <c r="A24" s="301" t="str">
        <f t="shared" si="15"/>
        <v>PRI</v>
      </c>
      <c r="B24" s="302">
        <f t="shared" si="16"/>
        <v>0.69444444444444442</v>
      </c>
      <c r="C24" s="302">
        <f t="shared" si="17"/>
        <v>53.142857142857146</v>
      </c>
      <c r="D24" s="303" t="s">
        <v>262</v>
      </c>
      <c r="E24" s="303">
        <f t="shared" si="18"/>
        <v>0</v>
      </c>
      <c r="F24" s="303">
        <f t="shared" si="19"/>
        <v>4</v>
      </c>
      <c r="G24" s="303">
        <f t="shared" si="20"/>
        <v>46</v>
      </c>
      <c r="H24" s="303">
        <f t="shared" si="21"/>
        <v>60</v>
      </c>
      <c r="I24" s="309" t="str">
        <f t="shared" si="22"/>
        <v>0 - 4</v>
      </c>
      <c r="J24" s="305" t="str">
        <f t="shared" si="23"/>
        <v>46 - 60</v>
      </c>
      <c r="K24" s="306">
        <f t="shared" si="24"/>
        <v>52.448412698412703</v>
      </c>
      <c r="L24" s="314">
        <f t="shared" si="25"/>
        <v>0.41191559096496499</v>
      </c>
      <c r="M24" s="314">
        <f t="shared" si="26"/>
        <v>0.63705266300328911</v>
      </c>
      <c r="N24" s="308">
        <f t="shared" si="27"/>
        <v>1</v>
      </c>
      <c r="O24" s="301" t="str">
        <f t="shared" si="28"/>
        <v>PRI</v>
      </c>
      <c r="P24" s="301" t="s">
        <v>126</v>
      </c>
      <c r="Q24" s="403">
        <v>1</v>
      </c>
      <c r="R24" s="403">
        <v>144</v>
      </c>
      <c r="S24" s="403">
        <v>93</v>
      </c>
      <c r="T24" s="403">
        <v>175</v>
      </c>
      <c r="U24" s="856">
        <v>21</v>
      </c>
    </row>
    <row r="25" spans="1:21" ht="12">
      <c r="A25" s="301" t="str">
        <f t="shared" si="15"/>
        <v>Raigmore</v>
      </c>
      <c r="B25" s="302">
        <f t="shared" si="16"/>
        <v>0.35087719298245612</v>
      </c>
      <c r="C25" s="302">
        <f t="shared" si="17"/>
        <v>51.249999999999993</v>
      </c>
      <c r="D25" s="303" t="s">
        <v>262</v>
      </c>
      <c r="E25" s="303">
        <f t="shared" si="18"/>
        <v>0</v>
      </c>
      <c r="F25" s="303">
        <f t="shared" si="19"/>
        <v>2</v>
      </c>
      <c r="G25" s="303">
        <f t="shared" si="20"/>
        <v>45</v>
      </c>
      <c r="H25" s="303">
        <f t="shared" si="21"/>
        <v>58</v>
      </c>
      <c r="I25" s="309" t="str">
        <f t="shared" si="22"/>
        <v>0 - 2</v>
      </c>
      <c r="J25" s="305" t="str">
        <f t="shared" si="23"/>
        <v>45 - 58</v>
      </c>
      <c r="K25" s="306">
        <f t="shared" si="24"/>
        <v>50.899122807017534</v>
      </c>
      <c r="L25" s="314">
        <f t="shared" si="25"/>
        <v>0.41373127909101381</v>
      </c>
      <c r="M25" s="314">
        <f t="shared" si="26"/>
        <v>0.60425117704933695</v>
      </c>
      <c r="N25" s="308">
        <f t="shared" si="27"/>
        <v>1</v>
      </c>
      <c r="O25" s="301" t="str">
        <f t="shared" si="28"/>
        <v>Raigmore</v>
      </c>
      <c r="P25" s="301" t="s">
        <v>97</v>
      </c>
      <c r="Q25" s="403">
        <v>1</v>
      </c>
      <c r="R25" s="403">
        <v>285</v>
      </c>
      <c r="S25" s="403">
        <v>123</v>
      </c>
      <c r="T25" s="403">
        <v>240</v>
      </c>
      <c r="U25" s="856">
        <v>22</v>
      </c>
    </row>
    <row r="26" spans="1:21" ht="12">
      <c r="A26" s="301" t="str">
        <f t="shared" si="15"/>
        <v>Monklands</v>
      </c>
      <c r="B26" s="302">
        <f t="shared" si="16"/>
        <v>0.40650406504065045</v>
      </c>
      <c r="C26" s="302">
        <f t="shared" si="17"/>
        <v>50.446428571428569</v>
      </c>
      <c r="D26" s="303" t="s">
        <v>262</v>
      </c>
      <c r="E26" s="303">
        <f t="shared" si="18"/>
        <v>0</v>
      </c>
      <c r="F26" s="303">
        <f t="shared" si="19"/>
        <v>2</v>
      </c>
      <c r="G26" s="303">
        <f t="shared" si="20"/>
        <v>44</v>
      </c>
      <c r="H26" s="303">
        <f t="shared" si="21"/>
        <v>57</v>
      </c>
      <c r="I26" s="309" t="str">
        <f t="shared" si="22"/>
        <v>0 - 2</v>
      </c>
      <c r="J26" s="305" t="str">
        <f t="shared" si="23"/>
        <v>44 - 57</v>
      </c>
      <c r="K26" s="306">
        <f t="shared" si="24"/>
        <v>50.039924506387919</v>
      </c>
      <c r="L26" s="314">
        <f t="shared" si="25"/>
        <v>0.40162466550563058</v>
      </c>
      <c r="M26" s="314">
        <f t="shared" si="26"/>
        <v>0.59917382462212787</v>
      </c>
      <c r="N26" s="308">
        <f t="shared" si="27"/>
        <v>1</v>
      </c>
      <c r="O26" s="301" t="str">
        <f t="shared" si="28"/>
        <v>Monklands</v>
      </c>
      <c r="P26" s="301" t="s">
        <v>103</v>
      </c>
      <c r="Q26" s="403">
        <v>1</v>
      </c>
      <c r="R26" s="403">
        <v>246</v>
      </c>
      <c r="S26" s="403">
        <v>113</v>
      </c>
      <c r="T26" s="403">
        <v>224</v>
      </c>
      <c r="U26" s="856">
        <v>23</v>
      </c>
    </row>
    <row r="27" spans="1:21" ht="12">
      <c r="A27" s="301" t="str">
        <f t="shared" si="15"/>
        <v>WGH</v>
      </c>
      <c r="B27" s="302">
        <f t="shared" si="16"/>
        <v>2.8089887640449436</v>
      </c>
      <c r="C27" s="302">
        <f t="shared" si="17"/>
        <v>48.663101604278076</v>
      </c>
      <c r="D27" s="303" t="s">
        <v>262</v>
      </c>
      <c r="E27" s="303">
        <f t="shared" si="18"/>
        <v>1</v>
      </c>
      <c r="F27" s="303">
        <f t="shared" si="19"/>
        <v>6</v>
      </c>
      <c r="G27" s="303">
        <f t="shared" si="20"/>
        <v>42</v>
      </c>
      <c r="H27" s="303">
        <f t="shared" si="21"/>
        <v>56</v>
      </c>
      <c r="I27" s="309" t="str">
        <f t="shared" si="22"/>
        <v>1 - 6</v>
      </c>
      <c r="J27" s="305" t="str">
        <f t="shared" si="23"/>
        <v>42 - 56</v>
      </c>
      <c r="K27" s="306">
        <f t="shared" si="24"/>
        <v>45.854112840233135</v>
      </c>
      <c r="L27" s="314">
        <f t="shared" si="25"/>
        <v>0.34526683474108882</v>
      </c>
      <c r="M27" s="314">
        <f t="shared" si="26"/>
        <v>0.57181542206357383</v>
      </c>
      <c r="N27" s="308">
        <f t="shared" si="27"/>
        <v>1</v>
      </c>
      <c r="O27" s="301" t="str">
        <f t="shared" si="28"/>
        <v>WGH</v>
      </c>
      <c r="P27" s="301" t="s">
        <v>114</v>
      </c>
      <c r="Q27" s="403">
        <v>5</v>
      </c>
      <c r="R27" s="403">
        <v>178</v>
      </c>
      <c r="S27" s="403">
        <v>91</v>
      </c>
      <c r="T27" s="403">
        <v>187</v>
      </c>
      <c r="U27" s="856">
        <v>24</v>
      </c>
    </row>
    <row r="28" spans="1:21" ht="12">
      <c r="A28" s="301" t="str">
        <f t="shared" si="15"/>
        <v>GCH*</v>
      </c>
      <c r="B28" s="302">
        <f t="shared" si="16"/>
        <v>0</v>
      </c>
      <c r="C28" s="302">
        <f t="shared" si="17"/>
        <v>46.153846153846153</v>
      </c>
      <c r="D28" s="303" t="s">
        <v>262</v>
      </c>
      <c r="E28" s="303">
        <f t="shared" si="18"/>
        <v>0</v>
      </c>
      <c r="F28" s="303">
        <f t="shared" si="19"/>
        <v>10</v>
      </c>
      <c r="G28" s="303">
        <f t="shared" si="20"/>
        <v>29</v>
      </c>
      <c r="H28" s="303">
        <f t="shared" si="21"/>
        <v>65</v>
      </c>
      <c r="I28" s="309" t="str">
        <f t="shared" si="22"/>
        <v>0 - 10</v>
      </c>
      <c r="J28" s="305" t="str">
        <f t="shared" si="23"/>
        <v>29 - 65</v>
      </c>
      <c r="K28" s="306">
        <f t="shared" si="24"/>
        <v>46.153846153846153</v>
      </c>
      <c r="L28" s="314">
        <f t="shared" si="25"/>
        <v>0.17457127553005974</v>
      </c>
      <c r="M28" s="314">
        <f t="shared" si="26"/>
        <v>0.74850564754686344</v>
      </c>
      <c r="N28" s="308">
        <f t="shared" si="27"/>
        <v>1</v>
      </c>
      <c r="O28" s="301" t="str">
        <f t="shared" si="28"/>
        <v>GCH*</v>
      </c>
      <c r="P28" s="301" t="s">
        <v>67</v>
      </c>
      <c r="Q28" s="403">
        <v>0</v>
      </c>
      <c r="R28" s="403">
        <v>36</v>
      </c>
      <c r="S28" s="403">
        <v>12</v>
      </c>
      <c r="T28" s="403">
        <v>26</v>
      </c>
      <c r="U28" s="856">
        <v>25</v>
      </c>
    </row>
    <row r="29" spans="1:21" ht="12">
      <c r="A29" s="301" t="str">
        <f t="shared" si="15"/>
        <v>Western Isles</v>
      </c>
      <c r="B29" s="302">
        <f t="shared" si="16"/>
        <v>0</v>
      </c>
      <c r="C29" s="302">
        <f t="shared" si="17"/>
        <v>43.478260869565219</v>
      </c>
      <c r="D29" s="303" t="s">
        <v>262</v>
      </c>
      <c r="E29" s="303">
        <f t="shared" si="18"/>
        <v>0</v>
      </c>
      <c r="F29" s="303">
        <f t="shared" si="19"/>
        <v>13</v>
      </c>
      <c r="G29" s="303">
        <f t="shared" si="20"/>
        <v>26</v>
      </c>
      <c r="H29" s="303">
        <f t="shared" si="21"/>
        <v>63</v>
      </c>
      <c r="I29" s="309" t="str">
        <f t="shared" si="22"/>
        <v>0 - 13</v>
      </c>
      <c r="J29" s="305" t="str">
        <f t="shared" si="23"/>
        <v>26 - 63</v>
      </c>
      <c r="K29" s="306">
        <f t="shared" si="24"/>
        <v>43.478260869565219</v>
      </c>
      <c r="L29" s="314">
        <f t="shared" si="25"/>
        <v>0.13138123535011764</v>
      </c>
      <c r="M29" s="314">
        <f t="shared" si="26"/>
        <v>0.73818398204118663</v>
      </c>
      <c r="N29" s="308">
        <f t="shared" si="27"/>
        <v>1</v>
      </c>
      <c r="O29" s="301" t="str">
        <f t="shared" si="28"/>
        <v>Western Isles</v>
      </c>
      <c r="P29" s="301" t="s">
        <v>132</v>
      </c>
      <c r="Q29" s="403">
        <v>0</v>
      </c>
      <c r="R29" s="403">
        <v>25</v>
      </c>
      <c r="S29" s="403">
        <v>10</v>
      </c>
      <c r="T29" s="403">
        <v>23</v>
      </c>
      <c r="U29" s="856">
        <v>26</v>
      </c>
    </row>
    <row r="30" spans="1:21" ht="12">
      <c r="A30" s="301" t="str">
        <f t="shared" si="15"/>
        <v>Balfour</v>
      </c>
      <c r="B30" s="302">
        <f t="shared" si="16"/>
        <v>0</v>
      </c>
      <c r="C30" s="302">
        <f t="shared" si="17"/>
        <v>42.307692307692307</v>
      </c>
      <c r="D30" s="303" t="s">
        <v>262</v>
      </c>
      <c r="E30" s="303">
        <f t="shared" si="18"/>
        <v>0</v>
      </c>
      <c r="F30" s="303">
        <f t="shared" si="19"/>
        <v>12</v>
      </c>
      <c r="G30" s="303">
        <f t="shared" si="20"/>
        <v>26</v>
      </c>
      <c r="H30" s="303">
        <f t="shared" si="21"/>
        <v>61</v>
      </c>
      <c r="I30" s="309" t="str">
        <f t="shared" si="22"/>
        <v>0 - 12</v>
      </c>
      <c r="J30" s="305" t="str">
        <f t="shared" si="23"/>
        <v>26 - 61</v>
      </c>
      <c r="K30" s="306">
        <f t="shared" si="24"/>
        <v>42.307692307692307</v>
      </c>
      <c r="L30" s="314">
        <f t="shared" si="25"/>
        <v>0.13868348579369966</v>
      </c>
      <c r="M30" s="314">
        <f t="shared" si="26"/>
        <v>0.70747036036014643</v>
      </c>
      <c r="N30" s="308">
        <f t="shared" si="27"/>
        <v>1</v>
      </c>
      <c r="O30" s="301" t="str">
        <f t="shared" si="28"/>
        <v>Balfour</v>
      </c>
      <c r="P30" s="301" t="s">
        <v>117</v>
      </c>
      <c r="Q30" s="403">
        <v>0</v>
      </c>
      <c r="R30" s="403">
        <v>27</v>
      </c>
      <c r="S30" s="403">
        <v>11</v>
      </c>
      <c r="T30" s="403">
        <v>26</v>
      </c>
      <c r="U30" s="856">
        <v>27</v>
      </c>
    </row>
    <row r="31" spans="1:21" ht="12">
      <c r="A31" s="301" t="str">
        <f t="shared" si="15"/>
        <v>Ayr</v>
      </c>
      <c r="B31" s="302">
        <f t="shared" si="16"/>
        <v>0</v>
      </c>
      <c r="C31" s="302">
        <f t="shared" si="17"/>
        <v>0</v>
      </c>
      <c r="D31" s="303" t="s">
        <v>262</v>
      </c>
      <c r="E31" s="303">
        <f t="shared" si="18"/>
        <v>0</v>
      </c>
      <c r="F31" s="303">
        <f t="shared" si="19"/>
        <v>2</v>
      </c>
      <c r="G31" s="303">
        <f t="shared" si="20"/>
        <v>0</v>
      </c>
      <c r="H31" s="303">
        <f t="shared" si="21"/>
        <v>12</v>
      </c>
      <c r="I31" s="309" t="str">
        <f t="shared" si="22"/>
        <v>0 - 2</v>
      </c>
      <c r="J31" s="305" t="str">
        <f t="shared" si="23"/>
        <v>0 - 12</v>
      </c>
      <c r="K31" s="306">
        <f t="shared" si="24"/>
        <v>0</v>
      </c>
      <c r="L31" s="314">
        <f t="shared" si="25"/>
        <v>0</v>
      </c>
      <c r="M31" s="314">
        <f t="shared" si="26"/>
        <v>0</v>
      </c>
      <c r="N31" s="308">
        <f t="shared" si="27"/>
        <v>0</v>
      </c>
      <c r="O31" s="301" t="str">
        <f t="shared" si="28"/>
        <v>Ayr</v>
      </c>
      <c r="P31" s="301" t="s">
        <v>57</v>
      </c>
      <c r="Q31" s="403">
        <v>0</v>
      </c>
      <c r="R31" s="403">
        <v>198</v>
      </c>
      <c r="S31" s="403">
        <v>0</v>
      </c>
      <c r="T31" s="403">
        <v>27</v>
      </c>
      <c r="U31" s="856">
        <v>28</v>
      </c>
    </row>
    <row r="32" spans="1:21" ht="12">
      <c r="A32" s="301" t="str">
        <f t="shared" si="15"/>
        <v>Uist &amp; Barra</v>
      </c>
      <c r="B32" s="302">
        <f t="shared" si="16"/>
        <v>0</v>
      </c>
      <c r="C32" s="302" t="e">
        <f t="shared" si="17"/>
        <v>#DIV/0!</v>
      </c>
      <c r="D32" s="303" t="s">
        <v>262</v>
      </c>
      <c r="E32" s="303">
        <f t="shared" si="18"/>
        <v>0</v>
      </c>
      <c r="F32" s="303">
        <f t="shared" si="19"/>
        <v>79</v>
      </c>
      <c r="G32" s="303" t="e">
        <f t="shared" si="20"/>
        <v>#DIV/0!</v>
      </c>
      <c r="H32" s="303" t="e">
        <f t="shared" si="21"/>
        <v>#DIV/0!</v>
      </c>
      <c r="I32" s="309" t="str">
        <f t="shared" si="22"/>
        <v>0 - 79</v>
      </c>
      <c r="J32" s="305" t="e">
        <f t="shared" si="23"/>
        <v>#DIV/0!</v>
      </c>
      <c r="K32" s="306" t="e">
        <f t="shared" si="24"/>
        <v>#DIV/0!</v>
      </c>
      <c r="L32" s="314" t="e">
        <f t="shared" si="25"/>
        <v>#DIV/0!</v>
      </c>
      <c r="M32" s="314" t="e">
        <f t="shared" si="26"/>
        <v>#DIV/0!</v>
      </c>
      <c r="N32" s="308" t="str">
        <f t="shared" si="27"/>
        <v/>
      </c>
      <c r="O32" s="301" t="str">
        <f t="shared" si="28"/>
        <v>Uist &amp; Barra</v>
      </c>
      <c r="P32" s="301" t="s">
        <v>129</v>
      </c>
      <c r="Q32" s="403">
        <v>0</v>
      </c>
      <c r="R32" s="403">
        <v>1</v>
      </c>
      <c r="S32" s="403"/>
      <c r="T32" s="403"/>
      <c r="U32" s="856">
        <v>29</v>
      </c>
    </row>
    <row r="34" spans="3:24">
      <c r="Q34" s="207"/>
      <c r="R34" s="207"/>
      <c r="S34" s="207"/>
      <c r="T34" s="207"/>
    </row>
    <row r="35" spans="3:24">
      <c r="Q35" s="207"/>
      <c r="R35" s="207"/>
      <c r="S35" s="207"/>
      <c r="T35" s="207"/>
    </row>
    <row r="36" spans="3:24" ht="15" customHeight="1">
      <c r="C36" s="310" t="s">
        <v>746</v>
      </c>
      <c r="O36" s="869"/>
      <c r="P36" s="869"/>
      <c r="Q36" s="869"/>
      <c r="R36" s="869"/>
      <c r="S36" s="869"/>
      <c r="T36" s="869"/>
      <c r="U36" s="657"/>
      <c r="V36"/>
      <c r="W36"/>
    </row>
    <row r="37" spans="3:24" ht="12.75">
      <c r="O37" s="870"/>
      <c r="P37" s="871"/>
      <c r="Q37" s="871"/>
      <c r="R37" s="871"/>
      <c r="S37" s="871"/>
      <c r="T37" s="871"/>
      <c r="U37" s="657"/>
      <c r="V37" s="866" t="s">
        <v>280</v>
      </c>
      <c r="W37" s="867" t="s">
        <v>134</v>
      </c>
      <c r="X37" s="867" t="s">
        <v>134</v>
      </c>
    </row>
    <row r="38" spans="3:24" ht="13.5" customHeight="1">
      <c r="O38" s="872"/>
      <c r="P38" s="872"/>
      <c r="Q38" s="872"/>
      <c r="R38" s="873"/>
      <c r="S38" s="873"/>
      <c r="T38" s="873"/>
      <c r="U38" s="657"/>
      <c r="V38" s="866" t="s">
        <v>74</v>
      </c>
      <c r="W38" s="866" t="s">
        <v>175</v>
      </c>
      <c r="X38" s="866" t="s">
        <v>175</v>
      </c>
    </row>
    <row r="39" spans="3:24" ht="12.75">
      <c r="O39" s="872"/>
      <c r="P39" s="872"/>
      <c r="Q39" s="872"/>
      <c r="R39" s="873"/>
      <c r="S39" s="873"/>
      <c r="T39" s="873"/>
      <c r="U39" s="657"/>
      <c r="V39" s="866" t="s">
        <v>57</v>
      </c>
      <c r="W39" s="866" t="s">
        <v>58</v>
      </c>
      <c r="X39" s="866" t="s">
        <v>58</v>
      </c>
    </row>
    <row r="40" spans="3:24" ht="12.75">
      <c r="O40" s="874"/>
      <c r="P40" s="874"/>
      <c r="Q40" s="874"/>
      <c r="R40" s="875"/>
      <c r="S40" s="875"/>
      <c r="T40" s="875"/>
      <c r="U40" s="657"/>
      <c r="V40" s="866" t="s">
        <v>117</v>
      </c>
      <c r="W40" s="866" t="s">
        <v>118</v>
      </c>
      <c r="X40" s="866" t="s">
        <v>118</v>
      </c>
    </row>
    <row r="41" spans="3:24" ht="12.75">
      <c r="O41" s="874"/>
      <c r="P41" s="874"/>
      <c r="Q41" s="874"/>
      <c r="R41" s="875"/>
      <c r="S41" s="875"/>
      <c r="T41" s="875"/>
      <c r="U41" s="657"/>
      <c r="V41" s="866" t="s">
        <v>88</v>
      </c>
      <c r="W41" s="866" t="s">
        <v>249</v>
      </c>
      <c r="X41" s="866" t="s">
        <v>89</v>
      </c>
    </row>
    <row r="42" spans="3:24" ht="12.75">
      <c r="O42" s="874"/>
      <c r="P42" s="874"/>
      <c r="Q42" s="874"/>
      <c r="R42" s="875"/>
      <c r="S42" s="875"/>
      <c r="T42" s="875"/>
      <c r="U42" s="657"/>
      <c r="V42" s="866" t="s">
        <v>62</v>
      </c>
      <c r="W42" s="866" t="s">
        <v>28</v>
      </c>
      <c r="X42" s="866" t="s">
        <v>28</v>
      </c>
    </row>
    <row r="43" spans="3:24" ht="12.75">
      <c r="O43" s="874"/>
      <c r="P43" s="874"/>
      <c r="Q43" s="874"/>
      <c r="R43" s="875"/>
      <c r="S43" s="875"/>
      <c r="T43" s="875"/>
      <c r="U43" s="657"/>
      <c r="V43" s="866" t="s">
        <v>91</v>
      </c>
      <c r="W43" s="866" t="s">
        <v>250</v>
      </c>
      <c r="X43" s="866" t="s">
        <v>92</v>
      </c>
    </row>
    <row r="44" spans="3:24" ht="12.75">
      <c r="O44" s="874"/>
      <c r="P44" s="874"/>
      <c r="Q44" s="874"/>
      <c r="R44" s="875"/>
      <c r="S44" s="875"/>
      <c r="T44" s="875"/>
      <c r="U44" s="657"/>
      <c r="V44" s="866" t="s">
        <v>59</v>
      </c>
      <c r="W44" s="866" t="s">
        <v>60</v>
      </c>
      <c r="X44" s="866" t="s">
        <v>60</v>
      </c>
    </row>
    <row r="45" spans="3:24" ht="12.75">
      <c r="O45" s="874"/>
      <c r="P45" s="874"/>
      <c r="Q45" s="874"/>
      <c r="R45" s="875"/>
      <c r="S45" s="875"/>
      <c r="T45" s="875"/>
      <c r="U45" s="657"/>
      <c r="V45" s="866" t="s">
        <v>76</v>
      </c>
      <c r="W45" s="866" t="s">
        <v>77</v>
      </c>
      <c r="X45" s="866" t="s">
        <v>77</v>
      </c>
    </row>
    <row r="46" spans="3:24" ht="12.75">
      <c r="O46" s="874"/>
      <c r="P46" s="874"/>
      <c r="Q46" s="874"/>
      <c r="R46" s="875"/>
      <c r="S46" s="875"/>
      <c r="T46" s="875"/>
      <c r="U46" s="657"/>
      <c r="V46" s="866" t="s">
        <v>64</v>
      </c>
      <c r="W46" s="866" t="s">
        <v>65</v>
      </c>
      <c r="X46" s="866" t="s">
        <v>65</v>
      </c>
    </row>
    <row r="47" spans="3:24" ht="12.75">
      <c r="O47" s="874"/>
      <c r="P47" s="874"/>
      <c r="Q47" s="874"/>
      <c r="R47" s="875"/>
      <c r="S47" s="875"/>
      <c r="T47" s="875"/>
      <c r="U47" s="657"/>
      <c r="V47" s="866" t="s">
        <v>72</v>
      </c>
      <c r="W47" s="866" t="s">
        <v>183</v>
      </c>
      <c r="X47" s="866" t="s">
        <v>183</v>
      </c>
    </row>
    <row r="48" spans="3:24" ht="12.75">
      <c r="O48" s="874"/>
      <c r="P48" s="874"/>
      <c r="Q48" s="874"/>
      <c r="R48" s="875"/>
      <c r="S48" s="875"/>
      <c r="T48" s="875"/>
      <c r="U48" s="657"/>
      <c r="V48" s="866" t="s">
        <v>67</v>
      </c>
      <c r="W48" s="866" t="s">
        <v>248</v>
      </c>
      <c r="X48" s="866" t="s">
        <v>68</v>
      </c>
    </row>
    <row r="49" spans="15:24" ht="12.75">
      <c r="O49" s="874"/>
      <c r="P49" s="874"/>
      <c r="Q49" s="874"/>
      <c r="R49" s="875"/>
      <c r="S49" s="875"/>
      <c r="T49" s="875"/>
      <c r="U49" s="657"/>
      <c r="V49" s="866" t="s">
        <v>120</v>
      </c>
      <c r="W49" s="866" t="s">
        <v>289</v>
      </c>
      <c r="X49" s="866" t="s">
        <v>121</v>
      </c>
    </row>
    <row r="50" spans="15:24" ht="12.75">
      <c r="O50" s="874"/>
      <c r="P50" s="874"/>
      <c r="Q50" s="874"/>
      <c r="R50" s="875"/>
      <c r="S50" s="875"/>
      <c r="T50" s="875"/>
      <c r="U50" s="657"/>
      <c r="V50" s="866" t="s">
        <v>79</v>
      </c>
      <c r="W50" s="866" t="s">
        <v>184</v>
      </c>
      <c r="X50" s="866" t="s">
        <v>184</v>
      </c>
    </row>
    <row r="51" spans="15:24" ht="12.75">
      <c r="O51" s="874"/>
      <c r="P51" s="874"/>
      <c r="Q51" s="874"/>
      <c r="R51" s="875"/>
      <c r="S51" s="875"/>
      <c r="T51" s="875"/>
      <c r="U51" s="657"/>
      <c r="V51" s="866" t="s">
        <v>100</v>
      </c>
      <c r="W51" s="866" t="s">
        <v>101</v>
      </c>
      <c r="X51" s="866" t="s">
        <v>101</v>
      </c>
    </row>
    <row r="52" spans="15:24" ht="12.75">
      <c r="O52" s="874"/>
      <c r="P52" s="874"/>
      <c r="Q52" s="874"/>
      <c r="R52" s="875"/>
      <c r="S52" s="875"/>
      <c r="T52" s="875"/>
      <c r="U52" s="657"/>
      <c r="V52" s="866" t="s">
        <v>81</v>
      </c>
      <c r="W52" s="866" t="s">
        <v>82</v>
      </c>
      <c r="X52" s="866" t="s">
        <v>82</v>
      </c>
    </row>
    <row r="53" spans="15:24" ht="12.75">
      <c r="O53" s="874"/>
      <c r="P53" s="874"/>
      <c r="Q53" s="874"/>
      <c r="R53" s="875"/>
      <c r="S53" s="875"/>
      <c r="T53" s="875"/>
      <c r="U53" s="657"/>
      <c r="V53" s="866" t="s">
        <v>94</v>
      </c>
      <c r="W53" s="866" t="s">
        <v>95</v>
      </c>
      <c r="X53" s="866" t="s">
        <v>95</v>
      </c>
    </row>
    <row r="54" spans="15:24" ht="12.75">
      <c r="O54" s="874"/>
      <c r="P54" s="874"/>
      <c r="Q54" s="874"/>
      <c r="R54" s="875"/>
      <c r="S54" s="875"/>
      <c r="T54" s="875"/>
      <c r="U54" s="657"/>
      <c r="V54" s="866" t="s">
        <v>103</v>
      </c>
      <c r="W54" s="866" t="s">
        <v>104</v>
      </c>
      <c r="X54" s="866" t="s">
        <v>104</v>
      </c>
    </row>
    <row r="55" spans="15:24" ht="12.75">
      <c r="O55" s="874"/>
      <c r="P55" s="874"/>
      <c r="Q55" s="874"/>
      <c r="R55" s="875"/>
      <c r="S55" s="875"/>
      <c r="T55" s="875"/>
      <c r="U55" s="657"/>
      <c r="V55" s="866" t="s">
        <v>123</v>
      </c>
      <c r="W55" s="866" t="s">
        <v>124</v>
      </c>
      <c r="X55" s="866" t="s">
        <v>124</v>
      </c>
    </row>
    <row r="56" spans="15:24" ht="12.75">
      <c r="O56" s="874"/>
      <c r="P56" s="874"/>
      <c r="Q56" s="874"/>
      <c r="R56" s="875"/>
      <c r="S56" s="875"/>
      <c r="T56" s="875"/>
      <c r="U56" s="657"/>
      <c r="V56" s="866" t="s">
        <v>126</v>
      </c>
      <c r="W56" s="866" t="s">
        <v>127</v>
      </c>
      <c r="X56" s="866" t="s">
        <v>127</v>
      </c>
    </row>
    <row r="57" spans="15:24" ht="12.75">
      <c r="O57" s="874"/>
      <c r="P57" s="874"/>
      <c r="Q57" s="874"/>
      <c r="R57" s="875"/>
      <c r="S57" s="875"/>
      <c r="T57" s="875"/>
      <c r="U57" s="657"/>
      <c r="V57" s="866" t="s">
        <v>447</v>
      </c>
      <c r="W57" s="867" t="s">
        <v>448</v>
      </c>
      <c r="X57" s="867" t="s">
        <v>448</v>
      </c>
    </row>
    <row r="58" spans="15:24" ht="12.75">
      <c r="O58" s="874"/>
      <c r="P58" s="874"/>
      <c r="Q58" s="874"/>
      <c r="R58" s="875"/>
      <c r="S58" s="875"/>
      <c r="T58" s="875"/>
      <c r="U58" s="657"/>
      <c r="V58" s="866" t="s">
        <v>97</v>
      </c>
      <c r="W58" s="866" t="s">
        <v>98</v>
      </c>
      <c r="X58" s="866" t="s">
        <v>98</v>
      </c>
    </row>
    <row r="59" spans="15:24" ht="12.75">
      <c r="O59" s="874"/>
      <c r="P59" s="874"/>
      <c r="Q59" s="874"/>
      <c r="R59" s="875"/>
      <c r="S59" s="875"/>
      <c r="T59" s="875"/>
      <c r="U59" s="657"/>
      <c r="V59" s="866" t="s">
        <v>84</v>
      </c>
      <c r="W59" s="866" t="s">
        <v>185</v>
      </c>
      <c r="X59" s="866" t="s">
        <v>185</v>
      </c>
    </row>
    <row r="60" spans="15:24" ht="12.75">
      <c r="O60" s="874"/>
      <c r="P60" s="874"/>
      <c r="Q60" s="874"/>
      <c r="R60" s="875"/>
      <c r="S60" s="875"/>
      <c r="T60" s="875"/>
      <c r="U60" s="657"/>
      <c r="V60" s="866" t="s">
        <v>108</v>
      </c>
      <c r="W60" s="866" t="s">
        <v>109</v>
      </c>
      <c r="X60" s="866" t="s">
        <v>109</v>
      </c>
    </row>
    <row r="61" spans="15:24" ht="12.75">
      <c r="O61" s="874"/>
      <c r="P61" s="874"/>
      <c r="Q61" s="874"/>
      <c r="R61" s="875"/>
      <c r="S61" s="875"/>
      <c r="T61" s="875"/>
      <c r="U61" s="657"/>
      <c r="V61" s="866" t="s">
        <v>111</v>
      </c>
      <c r="W61" s="866" t="s">
        <v>112</v>
      </c>
      <c r="X61" s="866" t="s">
        <v>112</v>
      </c>
    </row>
    <row r="62" spans="15:24" ht="12.75">
      <c r="O62" s="874"/>
      <c r="P62" s="874"/>
      <c r="Q62" s="874"/>
      <c r="R62" s="875"/>
      <c r="S62" s="875"/>
      <c r="T62" s="875"/>
      <c r="U62" s="657"/>
      <c r="V62" s="866" t="s">
        <v>129</v>
      </c>
      <c r="W62" s="866" t="s">
        <v>130</v>
      </c>
      <c r="X62" s="866" t="s">
        <v>130</v>
      </c>
    </row>
    <row r="63" spans="15:24" ht="12.75">
      <c r="O63" s="874"/>
      <c r="P63" s="874"/>
      <c r="Q63" s="874"/>
      <c r="R63" s="875"/>
      <c r="S63" s="875"/>
      <c r="T63" s="875"/>
      <c r="U63" s="657"/>
      <c r="V63" s="866" t="s">
        <v>281</v>
      </c>
      <c r="W63" s="866" t="s">
        <v>174</v>
      </c>
      <c r="X63" s="866" t="s">
        <v>174</v>
      </c>
    </row>
    <row r="64" spans="15:24" ht="12.75">
      <c r="O64" s="874"/>
      <c r="P64" s="874"/>
      <c r="Q64" s="874"/>
      <c r="R64" s="875"/>
      <c r="S64" s="875"/>
      <c r="T64" s="875"/>
      <c r="U64" s="657"/>
      <c r="V64" s="866" t="s">
        <v>114</v>
      </c>
      <c r="W64" s="866" t="s">
        <v>115</v>
      </c>
      <c r="X64" s="866" t="s">
        <v>115</v>
      </c>
    </row>
    <row r="65" spans="15:24" ht="12.75">
      <c r="O65" s="874"/>
      <c r="P65" s="874"/>
      <c r="Q65" s="874"/>
      <c r="R65" s="875"/>
      <c r="S65" s="875"/>
      <c r="T65" s="875"/>
      <c r="U65" s="657"/>
      <c r="V65" s="866" t="s">
        <v>132</v>
      </c>
      <c r="W65" s="866" t="s">
        <v>37</v>
      </c>
      <c r="X65" s="866" t="s">
        <v>37</v>
      </c>
    </row>
    <row r="66" spans="15:24" ht="12.75">
      <c r="O66" s="874"/>
      <c r="P66" s="874"/>
      <c r="Q66" s="874"/>
      <c r="R66" s="875"/>
      <c r="S66" s="875"/>
      <c r="T66" s="875"/>
      <c r="U66" s="657"/>
      <c r="V66" s="866" t="s">
        <v>106</v>
      </c>
      <c r="W66" s="866" t="s">
        <v>107</v>
      </c>
      <c r="X66" s="866" t="s">
        <v>107</v>
      </c>
    </row>
    <row r="67" spans="15:24" ht="12.75">
      <c r="O67" s="874"/>
      <c r="P67" s="874"/>
      <c r="Q67" s="874"/>
      <c r="R67" s="875"/>
      <c r="S67" s="875"/>
      <c r="T67" s="875"/>
      <c r="U67" s="657"/>
      <c r="V67" s="868" t="s">
        <v>171</v>
      </c>
      <c r="W67" s="868" t="s">
        <v>172</v>
      </c>
      <c r="X67" s="868" t="s">
        <v>172</v>
      </c>
    </row>
    <row r="68" spans="15:24" ht="12.75">
      <c r="O68" s="874"/>
      <c r="P68" s="874"/>
      <c r="Q68" s="874"/>
      <c r="R68" s="875"/>
      <c r="S68" s="875"/>
      <c r="T68" s="875"/>
      <c r="U68" s="657"/>
      <c r="V68" s="868" t="s">
        <v>176</v>
      </c>
      <c r="W68" s="868" t="s">
        <v>177</v>
      </c>
      <c r="X68" s="868" t="s">
        <v>177</v>
      </c>
    </row>
    <row r="69" spans="15:24" ht="12.75">
      <c r="O69" s="874"/>
      <c r="P69" s="874"/>
      <c r="Q69" s="874"/>
      <c r="R69" s="875"/>
      <c r="S69" s="875"/>
      <c r="T69" s="875"/>
      <c r="U69" s="657"/>
      <c r="V69" s="868" t="s">
        <v>86</v>
      </c>
      <c r="W69" s="868" t="s">
        <v>87</v>
      </c>
      <c r="X69" s="868" t="s">
        <v>87</v>
      </c>
    </row>
    <row r="70" spans="15:24" ht="12.75">
      <c r="O70" s="874"/>
      <c r="P70" s="874"/>
      <c r="Q70" s="874"/>
      <c r="R70" s="875"/>
      <c r="S70" s="875"/>
      <c r="T70" s="875"/>
      <c r="U70" s="657"/>
    </row>
    <row r="71" spans="15:24" ht="12.75">
      <c r="O71" s="874"/>
      <c r="P71" s="874"/>
      <c r="Q71" s="874"/>
      <c r="R71" s="875"/>
      <c r="S71" s="875"/>
      <c r="T71" s="875"/>
      <c r="U71" s="657"/>
    </row>
    <row r="72" spans="15:24" ht="12.75">
      <c r="O72" s="874"/>
      <c r="P72" s="874"/>
      <c r="Q72" s="874"/>
      <c r="R72" s="875"/>
      <c r="S72" s="875"/>
      <c r="T72" s="875"/>
      <c r="U72" s="657"/>
    </row>
    <row r="73" spans="15:24" ht="12.75">
      <c r="O73" s="874"/>
      <c r="P73" s="874"/>
      <c r="Q73" s="874"/>
      <c r="R73" s="875"/>
      <c r="S73" s="875"/>
      <c r="T73" s="875"/>
      <c r="U73" s="657"/>
    </row>
    <row r="74" spans="15:24" ht="12.75">
      <c r="O74" s="874"/>
      <c r="P74" s="874"/>
      <c r="Q74" s="874"/>
      <c r="R74" s="875"/>
      <c r="S74" s="875"/>
      <c r="T74" s="875"/>
      <c r="U74" s="657"/>
    </row>
    <row r="75" spans="15:24" ht="12.75">
      <c r="O75" s="874"/>
      <c r="P75" s="874"/>
      <c r="Q75" s="874"/>
      <c r="R75" s="875"/>
      <c r="S75" s="875"/>
      <c r="T75" s="875"/>
      <c r="U75" s="657"/>
    </row>
    <row r="76" spans="15:24" ht="12.75">
      <c r="O76" s="874"/>
      <c r="P76" s="874"/>
      <c r="Q76" s="874"/>
      <c r="R76" s="875"/>
      <c r="S76" s="875"/>
      <c r="T76" s="875"/>
      <c r="U76" s="657"/>
    </row>
    <row r="77" spans="15:24" ht="12.75">
      <c r="O77" s="874"/>
      <c r="P77" s="874"/>
      <c r="Q77" s="874"/>
      <c r="R77" s="875"/>
      <c r="S77" s="875"/>
      <c r="T77" s="875"/>
      <c r="U77" s="657"/>
    </row>
    <row r="78" spans="15:24" ht="12.75">
      <c r="O78" s="874"/>
      <c r="P78" s="874"/>
      <c r="Q78" s="874"/>
      <c r="R78" s="875"/>
      <c r="S78" s="875"/>
      <c r="T78" s="875"/>
      <c r="U78" s="657"/>
    </row>
    <row r="79" spans="15:24" ht="12.75">
      <c r="O79" s="874"/>
      <c r="P79" s="874"/>
      <c r="Q79" s="874"/>
      <c r="R79" s="875"/>
      <c r="S79" s="875"/>
      <c r="T79" s="875"/>
      <c r="U79" s="657"/>
    </row>
    <row r="80" spans="15:24" ht="12.75">
      <c r="O80" s="874"/>
      <c r="P80" s="874"/>
      <c r="Q80" s="874"/>
      <c r="R80" s="875"/>
      <c r="S80" s="875"/>
      <c r="T80" s="875"/>
      <c r="U80" s="657"/>
    </row>
    <row r="81" spans="15:21" ht="12.75">
      <c r="O81" s="874"/>
      <c r="P81" s="874"/>
      <c r="Q81" s="874"/>
      <c r="R81" s="875"/>
      <c r="S81" s="875"/>
      <c r="T81" s="875"/>
      <c r="U81" s="657"/>
    </row>
    <row r="82" spans="15:21" ht="12.75">
      <c r="O82" s="874"/>
      <c r="P82" s="874"/>
      <c r="Q82" s="874"/>
      <c r="R82" s="875"/>
      <c r="S82" s="875"/>
      <c r="T82" s="875"/>
      <c r="U82" s="657"/>
    </row>
    <row r="83" spans="15:21" ht="12.75">
      <c r="O83" s="874"/>
      <c r="P83" s="874"/>
      <c r="Q83" s="874"/>
      <c r="R83" s="875"/>
      <c r="S83" s="875"/>
      <c r="T83" s="875"/>
      <c r="U83" s="657"/>
    </row>
    <row r="84" spans="15:21" ht="12.75">
      <c r="O84" s="874"/>
      <c r="P84" s="874"/>
      <c r="Q84" s="874"/>
      <c r="R84" s="875"/>
      <c r="S84" s="875"/>
      <c r="T84" s="875"/>
      <c r="U84" s="657"/>
    </row>
    <row r="85" spans="15:21" ht="12.75">
      <c r="O85" s="874"/>
      <c r="P85" s="874"/>
      <c r="Q85" s="874"/>
      <c r="R85" s="875"/>
      <c r="S85" s="875"/>
      <c r="T85" s="875"/>
      <c r="U85" s="657"/>
    </row>
    <row r="86" spans="15:21" ht="12.75">
      <c r="O86" s="874"/>
      <c r="P86" s="874"/>
      <c r="Q86" s="874"/>
      <c r="R86" s="875"/>
      <c r="S86" s="875"/>
      <c r="T86" s="875"/>
      <c r="U86" s="657"/>
    </row>
    <row r="87" spans="15:21" ht="12.75">
      <c r="O87" s="874"/>
      <c r="P87" s="874"/>
      <c r="Q87" s="874"/>
      <c r="R87" s="875"/>
      <c r="S87" s="875"/>
      <c r="T87" s="875"/>
      <c r="U87" s="657"/>
    </row>
    <row r="88" spans="15:21" ht="12.75">
      <c r="O88" s="874"/>
      <c r="P88" s="874"/>
      <c r="Q88" s="874"/>
      <c r="R88" s="875"/>
      <c r="S88" s="875"/>
      <c r="T88" s="875"/>
      <c r="U88" s="657"/>
    </row>
    <row r="89" spans="15:21" ht="12.75">
      <c r="O89" s="874"/>
      <c r="P89" s="874"/>
      <c r="Q89" s="874"/>
      <c r="R89" s="875"/>
      <c r="S89" s="875"/>
      <c r="T89" s="875"/>
      <c r="U89" s="657"/>
    </row>
    <row r="90" spans="15:21" ht="12.75">
      <c r="O90" s="874"/>
      <c r="P90" s="874"/>
      <c r="Q90" s="874"/>
      <c r="R90" s="875"/>
      <c r="S90" s="875"/>
      <c r="T90" s="875"/>
      <c r="U90" s="657"/>
    </row>
    <row r="91" spans="15:21" ht="12.75">
      <c r="O91" s="874"/>
      <c r="P91" s="874"/>
      <c r="Q91" s="874"/>
      <c r="R91" s="875"/>
      <c r="S91" s="875"/>
      <c r="T91" s="875"/>
      <c r="U91" s="657"/>
    </row>
    <row r="92" spans="15:21" ht="12.75">
      <c r="O92" s="874"/>
      <c r="P92" s="874"/>
      <c r="Q92" s="874"/>
      <c r="R92" s="875"/>
      <c r="S92" s="875"/>
      <c r="T92" s="875"/>
      <c r="U92" s="657"/>
    </row>
    <row r="93" spans="15:21" ht="12.75">
      <c r="O93" s="874"/>
      <c r="P93" s="874"/>
      <c r="Q93" s="874"/>
      <c r="R93" s="875"/>
      <c r="S93" s="875"/>
      <c r="T93" s="875"/>
      <c r="U93" s="657"/>
    </row>
    <row r="94" spans="15:21" ht="12.75">
      <c r="O94" s="874"/>
      <c r="P94" s="874"/>
      <c r="Q94" s="874"/>
      <c r="R94" s="875"/>
      <c r="S94" s="875"/>
      <c r="T94" s="875"/>
      <c r="U94" s="657"/>
    </row>
    <row r="95" spans="15:21" ht="12.75">
      <c r="O95" s="874"/>
      <c r="P95" s="874"/>
      <c r="Q95" s="874"/>
      <c r="R95" s="875"/>
      <c r="S95" s="875"/>
      <c r="T95" s="875"/>
      <c r="U95" s="657"/>
    </row>
    <row r="96" spans="15:21" ht="12.75">
      <c r="O96" s="874"/>
      <c r="P96" s="874"/>
      <c r="Q96" s="874"/>
      <c r="R96" s="875"/>
      <c r="S96" s="875"/>
      <c r="T96" s="875"/>
      <c r="U96" s="657"/>
    </row>
    <row r="97" spans="15:21" ht="12.75">
      <c r="O97" s="874"/>
      <c r="P97" s="874"/>
      <c r="Q97" s="874"/>
      <c r="R97" s="875"/>
      <c r="S97" s="875"/>
      <c r="T97" s="875"/>
      <c r="U97" s="657"/>
    </row>
    <row r="98" spans="15:21" ht="12.75">
      <c r="O98" s="874"/>
      <c r="P98" s="874"/>
      <c r="Q98" s="874"/>
      <c r="R98" s="875"/>
      <c r="S98" s="875"/>
      <c r="T98" s="875"/>
      <c r="U98" s="657"/>
    </row>
    <row r="99" spans="15:21" ht="12.75">
      <c r="O99" s="874"/>
      <c r="P99" s="874"/>
      <c r="Q99" s="874"/>
      <c r="R99" s="875"/>
      <c r="S99" s="875"/>
      <c r="T99" s="875"/>
      <c r="U99" s="657"/>
    </row>
    <row r="100" spans="15:21" ht="12.75">
      <c r="O100" s="874"/>
      <c r="P100" s="874"/>
      <c r="Q100" s="874"/>
      <c r="R100" s="875"/>
      <c r="S100" s="875"/>
      <c r="T100" s="875"/>
      <c r="U100" s="657"/>
    </row>
    <row r="101" spans="15:21" ht="12.75">
      <c r="O101" s="874"/>
      <c r="P101" s="874"/>
      <c r="Q101" s="874"/>
      <c r="R101" s="875"/>
      <c r="S101" s="875"/>
      <c r="T101" s="875"/>
      <c r="U101" s="657"/>
    </row>
    <row r="102" spans="15:21" ht="12.75">
      <c r="O102" s="874"/>
      <c r="P102" s="874"/>
      <c r="Q102" s="874"/>
      <c r="R102" s="875"/>
      <c r="S102" s="875"/>
      <c r="T102" s="875"/>
      <c r="U102" s="657"/>
    </row>
    <row r="103" spans="15:21" ht="12.75">
      <c r="O103" s="874"/>
      <c r="P103" s="874"/>
      <c r="Q103" s="874"/>
      <c r="R103" s="875"/>
      <c r="S103" s="875"/>
      <c r="T103" s="875"/>
      <c r="U103" s="657"/>
    </row>
    <row r="104" spans="15:21" ht="12.75">
      <c r="O104" s="874"/>
      <c r="P104" s="874"/>
      <c r="Q104" s="874"/>
      <c r="R104" s="875"/>
      <c r="S104" s="875"/>
      <c r="T104" s="875"/>
      <c r="U104" s="657"/>
    </row>
    <row r="105" spans="15:21" ht="12.75">
      <c r="O105" s="874"/>
      <c r="P105" s="874"/>
      <c r="Q105" s="874"/>
      <c r="R105" s="875"/>
      <c r="S105" s="875"/>
      <c r="T105" s="875"/>
      <c r="U105" s="657"/>
    </row>
    <row r="106" spans="15:21" ht="12.75">
      <c r="O106" s="874"/>
      <c r="P106" s="874"/>
      <c r="Q106" s="874"/>
      <c r="R106" s="875"/>
      <c r="S106" s="875"/>
      <c r="T106" s="875"/>
      <c r="U106" s="657"/>
    </row>
    <row r="107" spans="15:21" ht="12.75">
      <c r="O107" s="874"/>
      <c r="P107" s="874"/>
      <c r="Q107" s="874"/>
      <c r="R107" s="875"/>
      <c r="S107" s="875"/>
      <c r="T107" s="875"/>
      <c r="U107" s="657"/>
    </row>
    <row r="108" spans="15:21" ht="12.75">
      <c r="O108" s="874"/>
      <c r="P108" s="874"/>
      <c r="Q108" s="874"/>
      <c r="R108" s="875"/>
      <c r="S108" s="875"/>
      <c r="T108" s="875"/>
      <c r="U108" s="657"/>
    </row>
    <row r="109" spans="15:21" ht="12.75">
      <c r="O109" s="874"/>
      <c r="P109" s="874"/>
      <c r="Q109" s="874"/>
      <c r="R109" s="875"/>
      <c r="S109" s="875"/>
      <c r="T109" s="875"/>
      <c r="U109" s="657"/>
    </row>
    <row r="110" spans="15:21" ht="12.75">
      <c r="O110" s="874"/>
      <c r="P110" s="874"/>
      <c r="Q110" s="874"/>
      <c r="R110" s="875"/>
      <c r="S110" s="875"/>
      <c r="T110" s="875"/>
      <c r="U110" s="657"/>
    </row>
    <row r="111" spans="15:21" ht="12.75">
      <c r="O111" s="874"/>
      <c r="P111" s="874"/>
      <c r="Q111" s="874"/>
      <c r="R111" s="875"/>
      <c r="S111" s="875"/>
      <c r="T111" s="875"/>
      <c r="U111" s="657"/>
    </row>
    <row r="112" spans="15:21" ht="12.75">
      <c r="O112" s="874"/>
      <c r="P112" s="874"/>
      <c r="Q112" s="874"/>
      <c r="R112" s="875"/>
      <c r="S112" s="875"/>
      <c r="T112" s="875"/>
      <c r="U112" s="657"/>
    </row>
    <row r="113" spans="15:21" ht="12.75">
      <c r="O113" s="874"/>
      <c r="P113" s="874"/>
      <c r="Q113" s="874"/>
      <c r="R113" s="875"/>
      <c r="S113" s="875"/>
      <c r="T113" s="875"/>
      <c r="U113" s="657"/>
    </row>
    <row r="114" spans="15:21" ht="12.75">
      <c r="O114" s="874"/>
      <c r="P114" s="874"/>
      <c r="Q114" s="874"/>
      <c r="R114" s="875"/>
      <c r="S114" s="875"/>
      <c r="T114" s="875"/>
      <c r="U114" s="657"/>
    </row>
    <row r="115" spans="15:21" ht="12.75">
      <c r="O115" s="874"/>
      <c r="P115" s="874"/>
      <c r="Q115" s="874"/>
      <c r="R115" s="875"/>
      <c r="S115" s="875"/>
      <c r="T115" s="875"/>
      <c r="U115" s="657"/>
    </row>
    <row r="116" spans="15:21" ht="12.75">
      <c r="O116" s="874"/>
      <c r="P116" s="874"/>
      <c r="Q116" s="874"/>
      <c r="R116" s="875"/>
      <c r="S116" s="875"/>
      <c r="T116" s="875"/>
      <c r="U116" s="657"/>
    </row>
    <row r="117" spans="15:21" ht="12.75">
      <c r="O117" s="874"/>
      <c r="P117" s="874"/>
      <c r="Q117" s="874"/>
      <c r="R117" s="875"/>
      <c r="S117" s="875"/>
      <c r="T117" s="875"/>
      <c r="U117" s="657"/>
    </row>
    <row r="118" spans="15:21" ht="12.75">
      <c r="O118" s="874"/>
      <c r="P118" s="874"/>
      <c r="Q118" s="874"/>
      <c r="R118" s="875"/>
      <c r="S118" s="875"/>
      <c r="T118" s="875"/>
      <c r="U118" s="657"/>
    </row>
    <row r="119" spans="15:21" ht="12.75">
      <c r="O119" s="874"/>
      <c r="P119" s="874"/>
      <c r="Q119" s="874"/>
      <c r="R119" s="875"/>
      <c r="S119" s="875"/>
      <c r="T119" s="875"/>
      <c r="U119" s="657"/>
    </row>
    <row r="120" spans="15:21" ht="12.75">
      <c r="O120" s="874"/>
      <c r="P120" s="874"/>
      <c r="Q120" s="874"/>
      <c r="R120" s="875"/>
      <c r="S120" s="875"/>
      <c r="T120" s="875"/>
      <c r="U120" s="657"/>
    </row>
    <row r="121" spans="15:21" ht="12.75">
      <c r="O121" s="874"/>
      <c r="P121" s="874"/>
      <c r="Q121" s="874"/>
      <c r="R121" s="875"/>
      <c r="S121" s="875"/>
      <c r="T121" s="875"/>
      <c r="U121" s="657"/>
    </row>
    <row r="122" spans="15:21" ht="12.75">
      <c r="O122" s="874"/>
      <c r="P122" s="874"/>
      <c r="Q122" s="874"/>
      <c r="R122" s="875"/>
      <c r="S122" s="875"/>
      <c r="T122" s="875"/>
      <c r="U122" s="657"/>
    </row>
    <row r="123" spans="15:21" ht="12.75">
      <c r="O123" s="874"/>
      <c r="P123" s="874"/>
      <c r="Q123" s="874"/>
      <c r="R123" s="875"/>
      <c r="S123" s="875"/>
      <c r="T123" s="875"/>
      <c r="U123" s="657"/>
    </row>
    <row r="124" spans="15:21" ht="12.75">
      <c r="O124" s="874"/>
      <c r="P124" s="874"/>
      <c r="Q124" s="874"/>
      <c r="R124" s="875"/>
      <c r="S124" s="875"/>
      <c r="T124" s="875"/>
      <c r="U124" s="657"/>
    </row>
    <row r="125" spans="15:21" ht="12.75">
      <c r="O125" s="874"/>
      <c r="P125" s="874"/>
      <c r="Q125" s="874"/>
      <c r="R125" s="875"/>
      <c r="S125" s="875"/>
      <c r="T125" s="875"/>
      <c r="U125" s="657"/>
    </row>
    <row r="126" spans="15:21" ht="12.75">
      <c r="O126" s="874"/>
      <c r="P126" s="874"/>
      <c r="Q126" s="874"/>
      <c r="R126" s="875"/>
      <c r="S126" s="875"/>
      <c r="T126" s="875"/>
      <c r="U126" s="657"/>
    </row>
    <row r="127" spans="15:21" ht="12.75">
      <c r="O127" s="874"/>
      <c r="P127" s="874"/>
      <c r="Q127" s="874"/>
      <c r="R127" s="875"/>
      <c r="S127" s="875"/>
      <c r="T127" s="875"/>
      <c r="U127" s="657"/>
    </row>
    <row r="128" spans="15:21" ht="12.75">
      <c r="O128" s="874"/>
      <c r="P128" s="874"/>
      <c r="Q128" s="874"/>
      <c r="R128" s="875"/>
      <c r="S128" s="875"/>
      <c r="T128" s="875"/>
      <c r="U128" s="657"/>
    </row>
    <row r="129" spans="15:21" ht="12.75">
      <c r="O129" s="874"/>
      <c r="P129" s="874"/>
      <c r="Q129" s="874"/>
      <c r="R129" s="875"/>
      <c r="S129" s="875"/>
      <c r="T129" s="875"/>
      <c r="U129" s="657"/>
    </row>
    <row r="130" spans="15:21" ht="12.75">
      <c r="O130" s="874"/>
      <c r="P130" s="874"/>
      <c r="Q130" s="874"/>
      <c r="R130" s="875"/>
      <c r="S130" s="875"/>
      <c r="T130" s="875"/>
      <c r="U130" s="657"/>
    </row>
    <row r="131" spans="15:21" ht="12.75">
      <c r="O131" s="874"/>
      <c r="P131" s="874"/>
      <c r="Q131" s="874"/>
      <c r="R131" s="875"/>
      <c r="S131" s="875"/>
      <c r="T131" s="875"/>
      <c r="U131" s="657"/>
    </row>
    <row r="132" spans="15:21" ht="12.75">
      <c r="O132" s="874"/>
      <c r="P132" s="874"/>
      <c r="Q132" s="874"/>
      <c r="R132" s="875"/>
      <c r="S132" s="875"/>
      <c r="T132" s="875"/>
      <c r="U132" s="657"/>
    </row>
    <row r="133" spans="15:21" ht="15">
      <c r="O133" s="865"/>
      <c r="P133" s="865"/>
      <c r="Q133" s="865"/>
      <c r="R133" s="865"/>
      <c r="S133" s="865"/>
      <c r="T133" s="865"/>
      <c r="U133" s="657"/>
    </row>
  </sheetData>
  <sheetProtection password="B8D9" sheet="1" objects="1" scenarios="1"/>
  <sortState ref="A4:W32">
    <sortCondition ref="U4:U32"/>
  </sortState>
  <mergeCells count="7">
    <mergeCell ref="A1:A2"/>
    <mergeCell ref="B1:H1"/>
    <mergeCell ref="O1:P1"/>
    <mergeCell ref="Q1:R1"/>
    <mergeCell ref="S1:T1"/>
    <mergeCell ref="E2:F2"/>
    <mergeCell ref="G2:H2"/>
  </mergeCells>
  <conditionalFormatting sqref="A3:A32">
    <cfRule type="expression" dxfId="32" priority="1" stopIfTrue="1">
      <formula>N3=-1</formula>
    </cfRule>
    <cfRule type="expression" dxfId="31" priority="2" stopIfTrue="1">
      <formula>N3=0</formula>
    </cfRule>
    <cfRule type="expression" dxfId="30" priority="3" stopIfTrue="1">
      <formula>N3=1</formula>
    </cfRule>
  </conditionalFormatting>
  <pageMargins left="0.70866141732283472" right="0.70866141732283472" top="0.74803149606299213" bottom="0.74803149606299213" header="0.31496062992125984" footer="0.31496062992125984"/>
  <pageSetup paperSize="9" scale="1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23.xml><?xml version="1.0" encoding="utf-8"?>
<worksheet xmlns="http://schemas.openxmlformats.org/spreadsheetml/2006/main" xmlns:r="http://schemas.openxmlformats.org/officeDocument/2006/relationships">
  <sheetPr codeName="Sheet6">
    <pageSetUpPr fitToPage="1"/>
  </sheetPr>
  <dimension ref="A1:T39"/>
  <sheetViews>
    <sheetView workbookViewId="0"/>
  </sheetViews>
  <sheetFormatPr defaultRowHeight="12.75"/>
  <cols>
    <col min="1" max="1" width="1.7109375" style="2" customWidth="1"/>
    <col min="2" max="16384" width="9.140625" style="2"/>
  </cols>
  <sheetData>
    <row r="1" spans="1:20">
      <c r="A1" s="1"/>
      <c r="B1" s="969" t="s">
        <v>590</v>
      </c>
      <c r="C1" s="969"/>
      <c r="D1" s="969"/>
      <c r="E1" s="969"/>
      <c r="F1" s="969"/>
      <c r="G1" s="969"/>
      <c r="H1" s="969"/>
      <c r="I1" s="969"/>
      <c r="J1" s="969"/>
      <c r="K1" s="969"/>
      <c r="L1" s="969"/>
      <c r="M1" s="969"/>
      <c r="N1" s="969"/>
      <c r="O1" s="985" t="s">
        <v>45</v>
      </c>
    </row>
    <row r="2" spans="1:20">
      <c r="B2" s="969"/>
      <c r="C2" s="969"/>
      <c r="D2" s="969"/>
      <c r="E2" s="969"/>
      <c r="F2" s="969"/>
      <c r="G2" s="969"/>
      <c r="H2" s="969"/>
      <c r="I2" s="969"/>
      <c r="J2" s="969"/>
      <c r="K2" s="969"/>
      <c r="L2" s="969"/>
      <c r="M2" s="969"/>
      <c r="N2" s="969"/>
      <c r="O2" s="985"/>
    </row>
    <row r="3" spans="1:20">
      <c r="B3" s="208" t="s">
        <v>393</v>
      </c>
      <c r="O3" s="985"/>
    </row>
    <row r="4" spans="1:20">
      <c r="O4" s="985"/>
    </row>
    <row r="6" spans="1:20">
      <c r="O6" s="1005" t="s">
        <v>412</v>
      </c>
      <c r="P6" s="1005"/>
    </row>
    <row r="13" spans="1:20" ht="15">
      <c r="O13" s="196"/>
      <c r="P13" s="271" t="s">
        <v>438</v>
      </c>
      <c r="Q13"/>
      <c r="R13"/>
      <c r="S13"/>
      <c r="T13"/>
    </row>
    <row r="14" spans="1:20" ht="15">
      <c r="O14" s="197"/>
      <c r="P14" s="271" t="s">
        <v>592</v>
      </c>
      <c r="Q14"/>
      <c r="R14"/>
      <c r="S14"/>
      <c r="T14"/>
    </row>
    <row r="15" spans="1:20" ht="15">
      <c r="O15" s="198"/>
      <c r="P15" s="271" t="s">
        <v>591</v>
      </c>
      <c r="Q15"/>
      <c r="R15"/>
      <c r="S15"/>
      <c r="T15"/>
    </row>
    <row r="16" spans="1:20" ht="15">
      <c r="O16" s="278"/>
      <c r="P16" s="271" t="s">
        <v>593</v>
      </c>
      <c r="Q16"/>
      <c r="R16"/>
      <c r="S16"/>
      <c r="T16"/>
    </row>
    <row r="17" spans="2:20" ht="15">
      <c r="O17"/>
      <c r="P17" s="271" t="s">
        <v>274</v>
      </c>
      <c r="Q17"/>
      <c r="R17"/>
      <c r="S17"/>
      <c r="T17"/>
    </row>
    <row r="31" spans="2:20" ht="15">
      <c r="B31" s="202" t="s">
        <v>398</v>
      </c>
      <c r="C31" s="203"/>
      <c r="D31" s="204"/>
      <c r="E31" s="204"/>
      <c r="F31" s="204"/>
      <c r="G31" s="204"/>
      <c r="H31" s="204"/>
      <c r="I31" s="204"/>
      <c r="J31" s="203"/>
    </row>
    <row r="32" spans="2:20" ht="15">
      <c r="B32" s="205" t="s">
        <v>12</v>
      </c>
      <c r="C32" s="203"/>
      <c r="D32" s="204"/>
      <c r="E32" s="204"/>
      <c r="F32" s="204"/>
      <c r="G32" s="204"/>
      <c r="H32" s="204"/>
      <c r="I32" s="204"/>
      <c r="J32" s="203"/>
    </row>
    <row r="33" spans="2:14" ht="33" customHeight="1">
      <c r="B33" s="1002" t="s">
        <v>290</v>
      </c>
      <c r="C33" s="971"/>
      <c r="D33" s="971"/>
      <c r="E33" s="971"/>
      <c r="F33" s="971"/>
      <c r="G33" s="971"/>
      <c r="H33" s="971"/>
      <c r="I33" s="971"/>
      <c r="J33" s="971"/>
      <c r="K33" s="1003"/>
      <c r="L33" s="1003"/>
      <c r="M33" s="1003"/>
      <c r="N33" s="1003"/>
    </row>
    <row r="34" spans="2:14" s="414" customFormat="1" ht="15">
      <c r="B34" s="205" t="s">
        <v>594</v>
      </c>
      <c r="C34" s="203"/>
      <c r="D34" s="204"/>
      <c r="E34" s="204"/>
      <c r="F34" s="204"/>
      <c r="G34" s="204"/>
      <c r="H34" s="204"/>
      <c r="I34" s="204"/>
      <c r="J34" s="203"/>
    </row>
    <row r="35" spans="2:14" s="414" customFormat="1" ht="15">
      <c r="B35" s="205" t="s">
        <v>595</v>
      </c>
      <c r="C35" s="203"/>
      <c r="D35" s="204"/>
      <c r="E35" s="204"/>
      <c r="F35" s="204"/>
      <c r="G35" s="204"/>
      <c r="H35" s="204"/>
      <c r="I35" s="204"/>
      <c r="J35" s="203"/>
    </row>
    <row r="36" spans="2:14" s="414" customFormat="1">
      <c r="B36" s="1004" t="s">
        <v>394</v>
      </c>
      <c r="C36" s="1004"/>
      <c r="D36" s="1004"/>
      <c r="E36" s="1004"/>
      <c r="F36" s="1004"/>
      <c r="G36" s="1004"/>
      <c r="H36" s="1004"/>
      <c r="I36" s="1004"/>
      <c r="J36" s="1004"/>
      <c r="K36" s="1004"/>
      <c r="L36" s="1004"/>
      <c r="M36" s="1004"/>
      <c r="N36" s="1004"/>
    </row>
    <row r="37" spans="2:14" s="414" customFormat="1">
      <c r="B37" s="1004"/>
      <c r="C37" s="1004"/>
      <c r="D37" s="1004"/>
      <c r="E37" s="1004"/>
      <c r="F37" s="1004"/>
      <c r="G37" s="1004"/>
      <c r="H37" s="1004"/>
      <c r="I37" s="1004"/>
      <c r="J37" s="1004"/>
      <c r="K37" s="1004"/>
      <c r="L37" s="1004"/>
      <c r="M37" s="1004"/>
      <c r="N37" s="1004"/>
    </row>
    <row r="38" spans="2:14" s="784" customFormat="1" ht="15">
      <c r="B38" s="205" t="s">
        <v>755</v>
      </c>
      <c r="C38" s="203"/>
      <c r="D38" s="204"/>
      <c r="E38" s="204"/>
      <c r="F38" s="204"/>
      <c r="G38" s="204"/>
      <c r="H38" s="204"/>
      <c r="I38" s="204"/>
      <c r="J38" s="203"/>
    </row>
    <row r="39" spans="2:14">
      <c r="B39" s="653"/>
    </row>
  </sheetData>
  <sheetProtection password="B8D9" sheet="1" objects="1" scenarios="1"/>
  <mergeCells count="5">
    <mergeCell ref="B1:N2"/>
    <mergeCell ref="O1:O4"/>
    <mergeCell ref="B33:N33"/>
    <mergeCell ref="B36:N37"/>
    <mergeCell ref="O6:P6"/>
  </mergeCells>
  <hyperlinks>
    <hyperlink ref="O1" location="'List of Tables &amp; Charts'!A1" display="return to List of Tables &amp; Charts"/>
    <hyperlink ref="O6:P6" location="'Chart 2a DATA'!A1" display="view Chart 2a data"/>
  </hyperlinks>
  <pageMargins left="0.70866141732283472" right="0.70866141732283472" top="0.74803149606299213" bottom="0.74803149606299213" header="0.31496062992125984" footer="0.31496062992125984"/>
  <pageSetup paperSize="9" scale="78"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24.xml><?xml version="1.0" encoding="utf-8"?>
<worksheet xmlns="http://schemas.openxmlformats.org/spreadsheetml/2006/main" xmlns:r="http://schemas.openxmlformats.org/officeDocument/2006/relationships">
  <sheetPr codeName="Sheet7">
    <pageSetUpPr fitToPage="1"/>
  </sheetPr>
  <dimension ref="A1:W131"/>
  <sheetViews>
    <sheetView zoomScaleNormal="100" workbookViewId="0">
      <selection sqref="A1:A2"/>
    </sheetView>
  </sheetViews>
  <sheetFormatPr defaultRowHeight="11.25"/>
  <cols>
    <col min="1" max="1" width="15.7109375" style="207" customWidth="1"/>
    <col min="2" max="8" width="9.140625" style="207"/>
    <col min="9" max="14" width="9.7109375" style="207" customWidth="1"/>
    <col min="15" max="15" width="10.42578125" style="207" bestFit="1" customWidth="1"/>
    <col min="16" max="16" width="45.7109375" style="207" customWidth="1"/>
    <col min="17" max="20" width="11.7109375" style="310" customWidth="1"/>
    <col min="21" max="16384" width="9.140625" style="207"/>
  </cols>
  <sheetData>
    <row r="1" spans="1:21" ht="15" customHeight="1">
      <c r="A1" s="988" t="s">
        <v>25</v>
      </c>
      <c r="B1" s="1001" t="s">
        <v>42</v>
      </c>
      <c r="C1" s="991"/>
      <c r="D1" s="991"/>
      <c r="E1" s="991"/>
      <c r="F1" s="991"/>
      <c r="G1" s="991"/>
      <c r="H1" s="991"/>
      <c r="I1" s="290"/>
      <c r="J1" s="291"/>
      <c r="K1" s="291"/>
      <c r="L1" s="291"/>
      <c r="M1" s="291"/>
      <c r="N1" s="291"/>
      <c r="O1" s="992" t="s">
        <v>20</v>
      </c>
      <c r="P1" s="993"/>
      <c r="Q1" s="992">
        <v>2015</v>
      </c>
      <c r="R1" s="992"/>
      <c r="S1" s="992">
        <v>2016</v>
      </c>
      <c r="T1" s="992"/>
    </row>
    <row r="2" spans="1:21" ht="23.25" customHeight="1">
      <c r="A2" s="989"/>
      <c r="B2" s="292" t="s">
        <v>438</v>
      </c>
      <c r="C2" s="292" t="s">
        <v>586</v>
      </c>
      <c r="D2" s="293" t="s">
        <v>21</v>
      </c>
      <c r="E2" s="994" t="s">
        <v>588</v>
      </c>
      <c r="F2" s="994"/>
      <c r="G2" s="994" t="s">
        <v>587</v>
      </c>
      <c r="H2" s="995"/>
      <c r="I2" s="294" t="s">
        <v>446</v>
      </c>
      <c r="J2" s="295" t="s">
        <v>589</v>
      </c>
      <c r="K2" s="296" t="s">
        <v>22</v>
      </c>
      <c r="L2" s="297" t="s">
        <v>16</v>
      </c>
      <c r="M2" s="297" t="s">
        <v>15</v>
      </c>
      <c r="N2" s="298" t="s">
        <v>23</v>
      </c>
      <c r="O2" s="299" t="s">
        <v>24</v>
      </c>
      <c r="P2" s="300" t="s">
        <v>25</v>
      </c>
      <c r="Q2" s="300" t="s">
        <v>26</v>
      </c>
      <c r="R2" s="300" t="s">
        <v>27</v>
      </c>
      <c r="S2" s="300" t="s">
        <v>26</v>
      </c>
      <c r="T2" s="300" t="s">
        <v>27</v>
      </c>
      <c r="U2" s="856" t="s">
        <v>792</v>
      </c>
    </row>
    <row r="3" spans="1:21" ht="12">
      <c r="A3" s="301" t="str">
        <f t="shared" ref="A3:A32" si="0">O3</f>
        <v>Scotland</v>
      </c>
      <c r="B3" s="302">
        <f t="shared" ref="B3" si="1">Q3/R3*100</f>
        <v>78.224867382585074</v>
      </c>
      <c r="C3" s="302">
        <f t="shared" ref="C3" si="2">S3/T3*100</f>
        <v>81.742946708463947</v>
      </c>
      <c r="D3" s="302">
        <f>90</f>
        <v>90</v>
      </c>
      <c r="E3" s="16">
        <f t="shared" ref="E3" si="3">SUM(1*MID(I3,1,FIND(" - ",I3)-1))</f>
        <v>77</v>
      </c>
      <c r="F3" s="303">
        <f t="shared" ref="F3" si="4">SUM(1*MID(I3,FIND(" - ",I3)+2,LEN(I3)))</f>
        <v>79</v>
      </c>
      <c r="G3" s="303">
        <f t="shared" ref="G3" si="5">SUM(1*MID(J3,1,FIND(" - ",J3)-1))</f>
        <v>81</v>
      </c>
      <c r="H3" s="303">
        <f t="shared" ref="H3" si="6">SUM(1*MID(J3,FIND(" - ",J3)+2,LEN(J3)))</f>
        <v>83</v>
      </c>
      <c r="I3" s="304"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77 - 79</v>
      </c>
      <c r="J3" s="305"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81 - 83</v>
      </c>
      <c r="K3" s="306">
        <f t="shared" ref="K3" si="9">C3-B3</f>
        <v>3.5180793258788725</v>
      </c>
      <c r="L3" s="314">
        <f t="shared" ref="L3" si="10">((S3/T3)-(Q3/R3))-(NORMSINV(1-(0.05/COUNTA($O$3:$O$32)))*(SQRT((((Q3/R3)*(1-(Q3/R3)))/R3)+(((S3/T3)*(1-(S3/T3)))/T3))))</f>
        <v>1.6443317759983225E-2</v>
      </c>
      <c r="M3" s="314">
        <f t="shared" ref="M3" si="11">((S3/T3)-(Q3/R3))+(NORMSINV(1-(0.05/COUNTA($O$3:$O$32)))*(SQRT((((Q3/R3)*(1-(Q3/R3)))/R3)+(((S3/T3)*(1-(S3/T3)))/T3))))</f>
        <v>5.3918268757594284E-2</v>
      </c>
      <c r="N3" s="308">
        <f t="shared" ref="N3" si="12">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1</v>
      </c>
      <c r="O3" s="301" t="str">
        <f t="shared" ref="O3" si="13">VLOOKUP(P3,Hospitals,2,FALSE)</f>
        <v>Scotland</v>
      </c>
      <c r="P3" s="301" t="s">
        <v>280</v>
      </c>
      <c r="Q3" s="403">
        <f>SUM(Q4:Q32)</f>
        <v>6046</v>
      </c>
      <c r="R3" s="403">
        <f t="shared" ref="R3:T3" si="14">SUM(R4:R32)</f>
        <v>7729</v>
      </c>
      <c r="S3" s="403">
        <f t="shared" si="14"/>
        <v>6519</v>
      </c>
      <c r="T3" s="403">
        <f t="shared" si="14"/>
        <v>7975</v>
      </c>
      <c r="U3" s="856">
        <v>0</v>
      </c>
    </row>
    <row r="4" spans="1:21" ht="12">
      <c r="A4" s="301" t="str">
        <f t="shared" si="0"/>
        <v>Belford*</v>
      </c>
      <c r="B4" s="302">
        <f t="shared" ref="B4:B32" si="15">Q4/R4*100</f>
        <v>95.833333333333343</v>
      </c>
      <c r="C4" s="302">
        <f t="shared" ref="C4:C32" si="16">S4/T4*100</f>
        <v>100</v>
      </c>
      <c r="D4" s="303">
        <f>90</f>
        <v>90</v>
      </c>
      <c r="E4" s="303">
        <f t="shared" ref="E4:E32" si="17">SUM(1*MID(I4,1,FIND(" - ",I4)-1))</f>
        <v>80</v>
      </c>
      <c r="F4" s="303">
        <f t="shared" ref="F4:F32" si="18">SUM(1*MID(I4,FIND(" - ",I4)+2,LEN(I4)))</f>
        <v>99</v>
      </c>
      <c r="G4" s="303">
        <f t="shared" ref="G4:G32" si="19">SUM(1*MID(J4,1,FIND(" - ",J4)-1))</f>
        <v>84</v>
      </c>
      <c r="H4" s="303">
        <f t="shared" ref="H4:H32" si="20">SUM(1*MID(J4,FIND(" - ",J4)+2,LEN(J4)))</f>
        <v>100</v>
      </c>
      <c r="I4" s="309" t="str">
        <f t="shared" ref="I4:I32" si="21">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80 - 99</v>
      </c>
      <c r="J4" s="305" t="str">
        <f t="shared" ref="J4:J32" si="22">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84 - 100</v>
      </c>
      <c r="K4" s="306">
        <f t="shared" ref="K4:K32" si="23">C4-B4</f>
        <v>4.1666666666666572</v>
      </c>
      <c r="L4" s="314">
        <f t="shared" ref="L4:L32" si="24">((S4/T4)-(Q4/R4))-(NORMSINV(1-(0.05/COUNTA($O$3:$O$32)))*(SQRT((((Q4/R4)*(1-(Q4/R4)))/R4)+(((S4/T4)*(1-(S4/T4)))/T4))))</f>
        <v>-7.8058286437301366E-2</v>
      </c>
      <c r="M4" s="314">
        <f t="shared" ref="M4:M32" si="25">((S4/T4)-(Q4/R4))+(NORMSINV(1-(0.05/COUNTA($O$3:$O$32)))*(SQRT((((Q4/R4)*(1-(Q4/R4)))/R4)+(((S4/T4)*(1-(S4/T4)))/T4))))</f>
        <v>0.16139161977063463</v>
      </c>
      <c r="N4" s="308">
        <f t="shared" ref="N4:N32" si="26">IF(ISERR(IF(AND(((S4/T4)-(Q4/R4))-(NORMSINV(1-(0.05/COUNTA($P$3:$P$32)))*(SQRT((((Q4/R4)*(1-(Q4/R4)))/R4)+(((S4/T4)*(1-(S4/T4)))/T4))))&gt;0,((S4/T4)-(Q4/R4))+(NORMSINV(1-(0.05/COUNTA($P$3:$P$32)))*(SQRT((((Q4/R4)*(1-(Q4/R4)))/R4)+(((S4/T4)*(1-(S4/T4)))/T4))))&gt;0),1,IF(AND(((S4/T4)-(Q4/R4))-(NORMSINV(1-(0.05/COUNTA($P$3:$P$32)))*(SQRT((((Q4/R4)*(1-(Q4/R4)))/R4)+(((S4/T4)*(1-(S4/T4)))/T4))))&lt;0,((S4/T4)-(Q4/R4))+(NORMSINV(1-(0.05/COUNTA($P$3:$P$32)))*(SQRT((((Q4/R4)*(1-(Q4/R4)))/R4)+(((S4/T4)*(1-(S4/T4)))/T4))))&lt;0),-1,0))),"",IF(AND(((S4/T4)-(Q4/R4))-(NORMSINV(1-(0.05/COUNTA($P$3:$P$32)))*(SQRT((((Q4/R4)*(1-(Q4/R4)))/R4)+(((S4/T4)*(1-(S4/T4)))/T4))))&gt;0,((S4/T4)-(Q4/R4))+(NORMSINV(1-(0.05/COUNTA($P$3:$P$32)))*(SQRT((((Q4/R4)*(1-(Q4/R4)))/R4)+(((S4/T4)*(1-(S4/T4)))/T4))))&gt;0),1,IF(AND(((S4/T4)-(Q4/R4))-(NORMSINV(1-(0.05/COUNTA($P$3:$P$32)))*(SQRT((((Q4/R4)*(1-(Q4/R4)))/R4)+(((S4/T4)*(1-(S4/T4)))/T4))))&lt;0,((S4/T4)-(Q4/R4))+(NORMSINV(1-(0.05/COUNTA($P$3:$P$32)))*(SQRT((((Q4/R4)*(1-(Q4/R4)))/R4)+(((S4/T4)*(1-(S4/T4)))/T4))))&lt;0),-1,0)))</f>
        <v>0</v>
      </c>
      <c r="O4" s="301" t="str">
        <f t="shared" ref="O4:O32" si="27">VLOOKUP(P4,Hospitals,2,FALSE)</f>
        <v>Belford*</v>
      </c>
      <c r="P4" s="301" t="s">
        <v>88</v>
      </c>
      <c r="Q4" s="403">
        <v>23</v>
      </c>
      <c r="R4" s="403">
        <v>24</v>
      </c>
      <c r="S4" s="403">
        <v>20</v>
      </c>
      <c r="T4" s="403">
        <v>20</v>
      </c>
      <c r="U4" s="856">
        <v>1</v>
      </c>
    </row>
    <row r="5" spans="1:21" ht="12">
      <c r="A5" s="301" t="str">
        <f t="shared" si="0"/>
        <v>Caithness*</v>
      </c>
      <c r="B5" s="302">
        <f t="shared" si="15"/>
        <v>100</v>
      </c>
      <c r="C5" s="302">
        <f t="shared" si="16"/>
        <v>100</v>
      </c>
      <c r="D5" s="303">
        <f>90</f>
        <v>90</v>
      </c>
      <c r="E5" s="303">
        <f t="shared" si="17"/>
        <v>93</v>
      </c>
      <c r="F5" s="303">
        <f t="shared" si="18"/>
        <v>100</v>
      </c>
      <c r="G5" s="303">
        <f t="shared" si="19"/>
        <v>92</v>
      </c>
      <c r="H5" s="303">
        <f t="shared" si="20"/>
        <v>100</v>
      </c>
      <c r="I5" s="309" t="str">
        <f t="shared" si="21"/>
        <v>93 - 100</v>
      </c>
      <c r="J5" s="305" t="str">
        <f t="shared" si="22"/>
        <v>92 - 100</v>
      </c>
      <c r="K5" s="306">
        <f t="shared" si="23"/>
        <v>0</v>
      </c>
      <c r="L5" s="314">
        <f t="shared" si="24"/>
        <v>0</v>
      </c>
      <c r="M5" s="314">
        <f t="shared" si="25"/>
        <v>0</v>
      </c>
      <c r="N5" s="308">
        <f t="shared" si="26"/>
        <v>0</v>
      </c>
      <c r="O5" s="301" t="str">
        <f t="shared" si="27"/>
        <v>Caithness*</v>
      </c>
      <c r="P5" s="301" t="s">
        <v>91</v>
      </c>
      <c r="Q5" s="403">
        <v>52</v>
      </c>
      <c r="R5" s="403">
        <v>52</v>
      </c>
      <c r="S5" s="403">
        <v>44</v>
      </c>
      <c r="T5" s="403">
        <v>44</v>
      </c>
      <c r="U5" s="856">
        <v>2</v>
      </c>
    </row>
    <row r="6" spans="1:21" ht="12">
      <c r="A6" s="301" t="str">
        <f t="shared" si="0"/>
        <v>GCH*</v>
      </c>
      <c r="B6" s="302">
        <f t="shared" si="15"/>
        <v>100</v>
      </c>
      <c r="C6" s="302">
        <f t="shared" si="16"/>
        <v>100</v>
      </c>
      <c r="D6" s="303">
        <f>90</f>
        <v>90</v>
      </c>
      <c r="E6" s="303">
        <f t="shared" si="17"/>
        <v>90</v>
      </c>
      <c r="F6" s="303">
        <f t="shared" si="18"/>
        <v>100</v>
      </c>
      <c r="G6" s="303">
        <f t="shared" si="19"/>
        <v>90</v>
      </c>
      <c r="H6" s="303">
        <f t="shared" si="20"/>
        <v>100</v>
      </c>
      <c r="I6" s="309" t="str">
        <f t="shared" si="21"/>
        <v>90 - 100</v>
      </c>
      <c r="J6" s="305" t="str">
        <f t="shared" si="22"/>
        <v>90 - 100</v>
      </c>
      <c r="K6" s="306">
        <f t="shared" si="23"/>
        <v>0</v>
      </c>
      <c r="L6" s="314">
        <f t="shared" si="24"/>
        <v>0</v>
      </c>
      <c r="M6" s="314">
        <f t="shared" si="25"/>
        <v>0</v>
      </c>
      <c r="N6" s="308">
        <f t="shared" si="26"/>
        <v>0</v>
      </c>
      <c r="O6" s="301" t="str">
        <f t="shared" si="27"/>
        <v>GCH*</v>
      </c>
      <c r="P6" s="301" t="s">
        <v>67</v>
      </c>
      <c r="Q6" s="403">
        <v>36</v>
      </c>
      <c r="R6" s="403">
        <v>36</v>
      </c>
      <c r="S6" s="403">
        <v>33</v>
      </c>
      <c r="T6" s="403">
        <v>33</v>
      </c>
      <c r="U6" s="856">
        <v>3</v>
      </c>
    </row>
    <row r="7" spans="1:21" ht="12">
      <c r="A7" s="301" t="str">
        <f t="shared" si="0"/>
        <v>Western Isles</v>
      </c>
      <c r="B7" s="302">
        <f t="shared" si="15"/>
        <v>93.548387096774192</v>
      </c>
      <c r="C7" s="302">
        <f t="shared" si="16"/>
        <v>100</v>
      </c>
      <c r="D7" s="303">
        <f>90</f>
        <v>90</v>
      </c>
      <c r="E7" s="303">
        <f t="shared" si="17"/>
        <v>79</v>
      </c>
      <c r="F7" s="303">
        <f t="shared" si="18"/>
        <v>98</v>
      </c>
      <c r="G7" s="303">
        <f t="shared" si="19"/>
        <v>86</v>
      </c>
      <c r="H7" s="303">
        <f t="shared" si="20"/>
        <v>100</v>
      </c>
      <c r="I7" s="309" t="str">
        <f t="shared" si="21"/>
        <v>79 - 98</v>
      </c>
      <c r="J7" s="305" t="str">
        <f t="shared" si="22"/>
        <v>86 - 100</v>
      </c>
      <c r="K7" s="306">
        <f t="shared" si="23"/>
        <v>6.4516129032258078</v>
      </c>
      <c r="L7" s="314">
        <f t="shared" si="24"/>
        <v>-6.4995592477651881E-2</v>
      </c>
      <c r="M7" s="314">
        <f t="shared" si="25"/>
        <v>0.19402785054216812</v>
      </c>
      <c r="N7" s="308">
        <f t="shared" si="26"/>
        <v>0</v>
      </c>
      <c r="O7" s="301" t="str">
        <f t="shared" si="27"/>
        <v>Western Isles</v>
      </c>
      <c r="P7" s="301" t="s">
        <v>132</v>
      </c>
      <c r="Q7" s="403">
        <v>29</v>
      </c>
      <c r="R7" s="403">
        <v>31</v>
      </c>
      <c r="S7" s="403">
        <v>23</v>
      </c>
      <c r="T7" s="403">
        <v>23</v>
      </c>
      <c r="U7" s="856">
        <v>4</v>
      </c>
    </row>
    <row r="8" spans="1:21" ht="12">
      <c r="A8" s="301" t="str">
        <f t="shared" si="0"/>
        <v>Gilbert Bain*</v>
      </c>
      <c r="B8" s="302">
        <f t="shared" si="15"/>
        <v>100</v>
      </c>
      <c r="C8" s="302">
        <f t="shared" si="16"/>
        <v>97.222222222222214</v>
      </c>
      <c r="D8" s="303">
        <f>90</f>
        <v>90</v>
      </c>
      <c r="E8" s="303">
        <f t="shared" si="17"/>
        <v>89</v>
      </c>
      <c r="F8" s="303">
        <f t="shared" si="18"/>
        <v>100</v>
      </c>
      <c r="G8" s="303">
        <f t="shared" si="19"/>
        <v>86</v>
      </c>
      <c r="H8" s="303">
        <f t="shared" si="20"/>
        <v>100</v>
      </c>
      <c r="I8" s="309" t="str">
        <f t="shared" si="21"/>
        <v>89 - 100</v>
      </c>
      <c r="J8" s="305" t="str">
        <f t="shared" si="22"/>
        <v>86 - 100</v>
      </c>
      <c r="K8" s="306">
        <f t="shared" si="23"/>
        <v>-2.7777777777777857</v>
      </c>
      <c r="L8" s="314">
        <f t="shared" si="24"/>
        <v>-0.10817071406077286</v>
      </c>
      <c r="M8" s="314">
        <f t="shared" si="25"/>
        <v>5.261515850521728E-2</v>
      </c>
      <c r="N8" s="308">
        <f t="shared" si="26"/>
        <v>0</v>
      </c>
      <c r="O8" s="301" t="str">
        <f t="shared" si="27"/>
        <v>Gilbert Bain*</v>
      </c>
      <c r="P8" s="301" t="s">
        <v>120</v>
      </c>
      <c r="Q8" s="403">
        <v>30</v>
      </c>
      <c r="R8" s="403">
        <v>30</v>
      </c>
      <c r="S8" s="403">
        <v>35</v>
      </c>
      <c r="T8" s="403">
        <v>36</v>
      </c>
      <c r="U8" s="856">
        <v>5</v>
      </c>
    </row>
    <row r="9" spans="1:21" ht="12">
      <c r="A9" s="301" t="str">
        <f t="shared" si="0"/>
        <v>Crosshouse</v>
      </c>
      <c r="B9" s="302">
        <f t="shared" si="15"/>
        <v>92.660550458715591</v>
      </c>
      <c r="C9" s="302">
        <f t="shared" si="16"/>
        <v>96.806966618287376</v>
      </c>
      <c r="D9" s="303">
        <f>90</f>
        <v>90</v>
      </c>
      <c r="E9" s="303">
        <f t="shared" si="17"/>
        <v>89</v>
      </c>
      <c r="F9" s="303">
        <f t="shared" si="18"/>
        <v>95</v>
      </c>
      <c r="G9" s="303">
        <f t="shared" si="19"/>
        <v>95</v>
      </c>
      <c r="H9" s="303">
        <f t="shared" si="20"/>
        <v>98</v>
      </c>
      <c r="I9" s="309" t="str">
        <f t="shared" si="21"/>
        <v>89 - 95</v>
      </c>
      <c r="J9" s="305" t="str">
        <f t="shared" si="22"/>
        <v>95 - 98</v>
      </c>
      <c r="K9" s="306">
        <f t="shared" si="23"/>
        <v>4.1464161595717854</v>
      </c>
      <c r="L9" s="314">
        <f t="shared" si="24"/>
        <v>-5.2080955166677254E-3</v>
      </c>
      <c r="M9" s="314">
        <f t="shared" si="25"/>
        <v>8.8136418708103237E-2</v>
      </c>
      <c r="N9" s="308">
        <f t="shared" si="26"/>
        <v>0</v>
      </c>
      <c r="O9" s="301" t="str">
        <f t="shared" si="27"/>
        <v>Crosshouse</v>
      </c>
      <c r="P9" s="301" t="s">
        <v>59</v>
      </c>
      <c r="Q9" s="403">
        <v>303</v>
      </c>
      <c r="R9" s="403">
        <v>327</v>
      </c>
      <c r="S9" s="403">
        <v>667</v>
      </c>
      <c r="T9" s="403">
        <v>689</v>
      </c>
      <c r="U9" s="856">
        <v>6</v>
      </c>
    </row>
    <row r="10" spans="1:21" ht="12">
      <c r="A10" s="301" t="str">
        <f t="shared" si="0"/>
        <v>L&amp;I</v>
      </c>
      <c r="B10" s="302">
        <f t="shared" si="15"/>
        <v>100</v>
      </c>
      <c r="C10" s="302">
        <f t="shared" si="16"/>
        <v>95.744680851063833</v>
      </c>
      <c r="D10" s="303">
        <f>90</f>
        <v>90</v>
      </c>
      <c r="E10" s="303">
        <f t="shared" si="17"/>
        <v>91</v>
      </c>
      <c r="F10" s="303">
        <f t="shared" si="18"/>
        <v>100</v>
      </c>
      <c r="G10" s="303">
        <f t="shared" si="19"/>
        <v>86</v>
      </c>
      <c r="H10" s="303">
        <f t="shared" si="20"/>
        <v>99</v>
      </c>
      <c r="I10" s="309" t="str">
        <f t="shared" si="21"/>
        <v>91 - 100</v>
      </c>
      <c r="J10" s="305" t="str">
        <f t="shared" si="22"/>
        <v>86 - 99</v>
      </c>
      <c r="K10" s="306">
        <f t="shared" si="23"/>
        <v>-4.2553191489361666</v>
      </c>
      <c r="L10" s="314">
        <f t="shared" si="24"/>
        <v>-0.1289727588878507</v>
      </c>
      <c r="M10" s="314">
        <f t="shared" si="25"/>
        <v>4.3866375909127411E-2</v>
      </c>
      <c r="N10" s="308">
        <f t="shared" si="26"/>
        <v>0</v>
      </c>
      <c r="O10" s="301" t="str">
        <f t="shared" si="27"/>
        <v>L&amp;I</v>
      </c>
      <c r="P10" s="301" t="s">
        <v>94</v>
      </c>
      <c r="Q10" s="403">
        <v>39</v>
      </c>
      <c r="R10" s="403">
        <v>39</v>
      </c>
      <c r="S10" s="403">
        <v>45</v>
      </c>
      <c r="T10" s="403">
        <v>47</v>
      </c>
      <c r="U10" s="856">
        <v>7</v>
      </c>
    </row>
    <row r="11" spans="1:21" ht="12">
      <c r="A11" s="301" t="str">
        <f t="shared" si="0"/>
        <v>IRH</v>
      </c>
      <c r="B11" s="302">
        <f t="shared" si="15"/>
        <v>88.082901554404145</v>
      </c>
      <c r="C11" s="302">
        <f t="shared" si="16"/>
        <v>91.620111731843579</v>
      </c>
      <c r="D11" s="303">
        <f>90</f>
        <v>90</v>
      </c>
      <c r="E11" s="303">
        <f t="shared" si="17"/>
        <v>83</v>
      </c>
      <c r="F11" s="303">
        <f t="shared" si="18"/>
        <v>92</v>
      </c>
      <c r="G11" s="303">
        <f t="shared" si="19"/>
        <v>87</v>
      </c>
      <c r="H11" s="303">
        <f t="shared" si="20"/>
        <v>95</v>
      </c>
      <c r="I11" s="309" t="str">
        <f t="shared" si="21"/>
        <v>83 - 92</v>
      </c>
      <c r="J11" s="305" t="str">
        <f t="shared" si="22"/>
        <v>87 - 95</v>
      </c>
      <c r="K11" s="306">
        <f t="shared" si="23"/>
        <v>3.5372101774394338</v>
      </c>
      <c r="L11" s="314">
        <f t="shared" si="24"/>
        <v>-5.6176101557288277E-2</v>
      </c>
      <c r="M11" s="314">
        <f t="shared" si="25"/>
        <v>0.12692030510607691</v>
      </c>
      <c r="N11" s="308">
        <f t="shared" si="26"/>
        <v>0</v>
      </c>
      <c r="O11" s="301" t="str">
        <f t="shared" si="27"/>
        <v>IRH</v>
      </c>
      <c r="P11" s="301" t="s">
        <v>81</v>
      </c>
      <c r="Q11" s="403">
        <v>170</v>
      </c>
      <c r="R11" s="403">
        <v>193</v>
      </c>
      <c r="S11" s="403">
        <v>164</v>
      </c>
      <c r="T11" s="403">
        <v>179</v>
      </c>
      <c r="U11" s="856">
        <v>8</v>
      </c>
    </row>
    <row r="12" spans="1:21" ht="12">
      <c r="A12" s="301" t="str">
        <f t="shared" si="0"/>
        <v>Hairmyres</v>
      </c>
      <c r="B12" s="302">
        <f t="shared" si="15"/>
        <v>80.6949806949807</v>
      </c>
      <c r="C12" s="302">
        <f t="shared" si="16"/>
        <v>87.924528301886795</v>
      </c>
      <c r="D12" s="303">
        <f>90</f>
        <v>90</v>
      </c>
      <c r="E12" s="303">
        <f t="shared" si="17"/>
        <v>75</v>
      </c>
      <c r="F12" s="303">
        <f t="shared" si="18"/>
        <v>85</v>
      </c>
      <c r="G12" s="303">
        <f t="shared" si="19"/>
        <v>83</v>
      </c>
      <c r="H12" s="303">
        <f t="shared" si="20"/>
        <v>91</v>
      </c>
      <c r="I12" s="309" t="str">
        <f t="shared" si="21"/>
        <v>75 - 85</v>
      </c>
      <c r="J12" s="305" t="str">
        <f t="shared" si="22"/>
        <v>83 - 91</v>
      </c>
      <c r="K12" s="306">
        <f t="shared" si="23"/>
        <v>7.2295476069060953</v>
      </c>
      <c r="L12" s="314">
        <f t="shared" si="24"/>
        <v>-2.0622345512684589E-2</v>
      </c>
      <c r="M12" s="314">
        <f t="shared" si="25"/>
        <v>0.1652132976508065</v>
      </c>
      <c r="N12" s="308">
        <f t="shared" si="26"/>
        <v>0</v>
      </c>
      <c r="O12" s="301" t="str">
        <f t="shared" si="27"/>
        <v>Hairmyres</v>
      </c>
      <c r="P12" s="301" t="s">
        <v>100</v>
      </c>
      <c r="Q12" s="403">
        <v>209</v>
      </c>
      <c r="R12" s="403">
        <v>259</v>
      </c>
      <c r="S12" s="403">
        <v>233</v>
      </c>
      <c r="T12" s="403">
        <v>265</v>
      </c>
      <c r="U12" s="856">
        <v>9</v>
      </c>
    </row>
    <row r="13" spans="1:21" ht="12">
      <c r="A13" s="301" t="str">
        <f t="shared" si="0"/>
        <v>VHK</v>
      </c>
      <c r="B13" s="302">
        <f t="shared" si="15"/>
        <v>84.63073852295409</v>
      </c>
      <c r="C13" s="302">
        <f t="shared" si="16"/>
        <v>87.571701720841304</v>
      </c>
      <c r="D13" s="303">
        <f>90</f>
        <v>90</v>
      </c>
      <c r="E13" s="303">
        <f t="shared" si="17"/>
        <v>81</v>
      </c>
      <c r="F13" s="303">
        <f t="shared" si="18"/>
        <v>88</v>
      </c>
      <c r="G13" s="303">
        <f t="shared" si="19"/>
        <v>84</v>
      </c>
      <c r="H13" s="303">
        <f t="shared" si="20"/>
        <v>90</v>
      </c>
      <c r="I13" s="309" t="str">
        <f t="shared" si="21"/>
        <v>81 - 88</v>
      </c>
      <c r="J13" s="305" t="str">
        <f t="shared" si="22"/>
        <v>84 - 90</v>
      </c>
      <c r="K13" s="306">
        <f t="shared" si="23"/>
        <v>2.9409631978872142</v>
      </c>
      <c r="L13" s="314">
        <f t="shared" si="24"/>
        <v>-3.4069711367107347E-2</v>
      </c>
      <c r="M13" s="314">
        <f t="shared" si="25"/>
        <v>9.2888975324851408E-2</v>
      </c>
      <c r="N13" s="308">
        <f t="shared" si="26"/>
        <v>0</v>
      </c>
      <c r="O13" s="301" t="str">
        <f t="shared" si="27"/>
        <v>VHK</v>
      </c>
      <c r="P13" s="301" t="s">
        <v>281</v>
      </c>
      <c r="Q13" s="403">
        <v>424</v>
      </c>
      <c r="R13" s="403">
        <v>501</v>
      </c>
      <c r="S13" s="403">
        <v>458</v>
      </c>
      <c r="T13" s="403">
        <v>523</v>
      </c>
      <c r="U13" s="856">
        <v>10</v>
      </c>
    </row>
    <row r="14" spans="1:21" ht="12">
      <c r="A14" s="301" t="str">
        <f t="shared" si="0"/>
        <v>Monklands</v>
      </c>
      <c r="B14" s="302">
        <f t="shared" si="15"/>
        <v>86.219081272084807</v>
      </c>
      <c r="C14" s="302">
        <f t="shared" si="16"/>
        <v>87.050359712230218</v>
      </c>
      <c r="D14" s="303">
        <f>90</f>
        <v>90</v>
      </c>
      <c r="E14" s="303">
        <f t="shared" si="17"/>
        <v>82</v>
      </c>
      <c r="F14" s="303">
        <f t="shared" si="18"/>
        <v>90</v>
      </c>
      <c r="G14" s="303">
        <f t="shared" si="19"/>
        <v>83</v>
      </c>
      <c r="H14" s="303">
        <f t="shared" si="20"/>
        <v>90</v>
      </c>
      <c r="I14" s="309" t="str">
        <f t="shared" si="21"/>
        <v>82 - 90</v>
      </c>
      <c r="J14" s="305" t="str">
        <f t="shared" si="22"/>
        <v>83 - 90</v>
      </c>
      <c r="K14" s="306">
        <f t="shared" si="23"/>
        <v>0.83127844014541097</v>
      </c>
      <c r="L14" s="314">
        <f t="shared" si="24"/>
        <v>-7.6011979074143851E-2</v>
      </c>
      <c r="M14" s="314">
        <f t="shared" si="25"/>
        <v>9.263754787705207E-2</v>
      </c>
      <c r="N14" s="308">
        <f t="shared" si="26"/>
        <v>0</v>
      </c>
      <c r="O14" s="301" t="str">
        <f t="shared" si="27"/>
        <v>Monklands</v>
      </c>
      <c r="P14" s="301" t="s">
        <v>103</v>
      </c>
      <c r="Q14" s="403">
        <v>244</v>
      </c>
      <c r="R14" s="403">
        <v>283</v>
      </c>
      <c r="S14" s="403">
        <v>242</v>
      </c>
      <c r="T14" s="403">
        <v>278</v>
      </c>
      <c r="U14" s="856">
        <v>11</v>
      </c>
    </row>
    <row r="15" spans="1:21" ht="12">
      <c r="A15" s="301" t="str">
        <f t="shared" si="0"/>
        <v>GRI</v>
      </c>
      <c r="B15" s="302">
        <f t="shared" si="15"/>
        <v>84.51882845188284</v>
      </c>
      <c r="C15" s="302">
        <f t="shared" si="16"/>
        <v>86.865148861646233</v>
      </c>
      <c r="D15" s="303">
        <f>90</f>
        <v>90</v>
      </c>
      <c r="E15" s="303">
        <f t="shared" si="17"/>
        <v>81</v>
      </c>
      <c r="F15" s="303">
        <f t="shared" si="18"/>
        <v>87</v>
      </c>
      <c r="G15" s="303">
        <f t="shared" si="19"/>
        <v>84</v>
      </c>
      <c r="H15" s="303">
        <f t="shared" si="20"/>
        <v>89</v>
      </c>
      <c r="I15" s="309" t="str">
        <f t="shared" si="21"/>
        <v>81 - 87</v>
      </c>
      <c r="J15" s="305" t="str">
        <f t="shared" si="22"/>
        <v>84 - 89</v>
      </c>
      <c r="K15" s="306">
        <f t="shared" si="23"/>
        <v>2.3463204097633934</v>
      </c>
      <c r="L15" s="314">
        <f t="shared" si="24"/>
        <v>-4.0410433154297515E-2</v>
      </c>
      <c r="M15" s="314">
        <f t="shared" si="25"/>
        <v>8.7336841349565347E-2</v>
      </c>
      <c r="N15" s="308">
        <f t="shared" si="26"/>
        <v>0</v>
      </c>
      <c r="O15" s="301" t="str">
        <f t="shared" si="27"/>
        <v>GRI</v>
      </c>
      <c r="P15" s="301" t="s">
        <v>79</v>
      </c>
      <c r="Q15" s="403">
        <v>404</v>
      </c>
      <c r="R15" s="403">
        <v>478</v>
      </c>
      <c r="S15" s="403">
        <v>496</v>
      </c>
      <c r="T15" s="403">
        <v>571</v>
      </c>
      <c r="U15" s="856">
        <v>12</v>
      </c>
    </row>
    <row r="16" spans="1:21" ht="12">
      <c r="A16" s="301" t="str">
        <f t="shared" si="0"/>
        <v>FVRH</v>
      </c>
      <c r="B16" s="302">
        <f t="shared" si="15"/>
        <v>76.374745417515271</v>
      </c>
      <c r="C16" s="302">
        <f t="shared" si="16"/>
        <v>85.477178423236509</v>
      </c>
      <c r="D16" s="303">
        <f>90</f>
        <v>90</v>
      </c>
      <c r="E16" s="303">
        <f t="shared" si="17"/>
        <v>72</v>
      </c>
      <c r="F16" s="303">
        <f t="shared" si="18"/>
        <v>80</v>
      </c>
      <c r="G16" s="303">
        <f t="shared" si="19"/>
        <v>82</v>
      </c>
      <c r="H16" s="303">
        <f t="shared" si="20"/>
        <v>88</v>
      </c>
      <c r="I16" s="309" t="str">
        <f t="shared" si="21"/>
        <v>72 - 80</v>
      </c>
      <c r="J16" s="305" t="str">
        <f t="shared" si="22"/>
        <v>82 - 88</v>
      </c>
      <c r="K16" s="306">
        <f t="shared" si="23"/>
        <v>9.1024330057212381</v>
      </c>
      <c r="L16" s="314">
        <f t="shared" si="24"/>
        <v>1.7642290283171991E-2</v>
      </c>
      <c r="M16" s="314">
        <f t="shared" si="25"/>
        <v>0.16440636983125267</v>
      </c>
      <c r="N16" s="308">
        <f t="shared" si="26"/>
        <v>1</v>
      </c>
      <c r="O16" s="301" t="str">
        <f t="shared" si="27"/>
        <v>FVRH</v>
      </c>
      <c r="P16" s="301" t="s">
        <v>72</v>
      </c>
      <c r="Q16" s="403">
        <v>375</v>
      </c>
      <c r="R16" s="403">
        <v>491</v>
      </c>
      <c r="S16" s="403">
        <v>412</v>
      </c>
      <c r="T16" s="403">
        <v>482</v>
      </c>
      <c r="U16" s="856">
        <v>13</v>
      </c>
    </row>
    <row r="17" spans="1:21" ht="12">
      <c r="A17" s="301" t="str">
        <f t="shared" si="0"/>
        <v>QEUH</v>
      </c>
      <c r="B17" s="302">
        <f t="shared" si="15"/>
        <v>87.75313404050145</v>
      </c>
      <c r="C17" s="302">
        <f t="shared" si="16"/>
        <v>85.402843601895739</v>
      </c>
      <c r="D17" s="303">
        <f>90</f>
        <v>90</v>
      </c>
      <c r="E17" s="303">
        <f t="shared" si="17"/>
        <v>86</v>
      </c>
      <c r="F17" s="303">
        <f t="shared" si="18"/>
        <v>90</v>
      </c>
      <c r="G17" s="303">
        <f t="shared" si="19"/>
        <v>83</v>
      </c>
      <c r="H17" s="303">
        <f t="shared" si="20"/>
        <v>87</v>
      </c>
      <c r="I17" s="309" t="str">
        <f t="shared" si="21"/>
        <v>86 - 90</v>
      </c>
      <c r="J17" s="305" t="str">
        <f t="shared" si="22"/>
        <v>83 - 87</v>
      </c>
      <c r="K17" s="306">
        <f t="shared" si="23"/>
        <v>-2.3502904386057111</v>
      </c>
      <c r="L17" s="314">
        <f t="shared" si="24"/>
        <v>-6.7216724068138889E-2</v>
      </c>
      <c r="M17" s="314">
        <f t="shared" si="25"/>
        <v>2.0210915296024756E-2</v>
      </c>
      <c r="N17" s="308">
        <f t="shared" si="26"/>
        <v>0</v>
      </c>
      <c r="O17" s="301" t="str">
        <f t="shared" si="27"/>
        <v>QEUH</v>
      </c>
      <c r="P17" s="301" t="s">
        <v>447</v>
      </c>
      <c r="Q17" s="403">
        <v>910</v>
      </c>
      <c r="R17" s="403">
        <v>1037</v>
      </c>
      <c r="S17" s="403">
        <v>901</v>
      </c>
      <c r="T17" s="403">
        <v>1055</v>
      </c>
      <c r="U17" s="856">
        <v>14</v>
      </c>
    </row>
    <row r="18" spans="1:21" ht="12">
      <c r="A18" s="301" t="str">
        <f t="shared" si="0"/>
        <v>Borders</v>
      </c>
      <c r="B18" s="302">
        <f t="shared" si="15"/>
        <v>81.725888324873097</v>
      </c>
      <c r="C18" s="302">
        <f t="shared" si="16"/>
        <v>85.380116959064324</v>
      </c>
      <c r="D18" s="303">
        <f>90</f>
        <v>90</v>
      </c>
      <c r="E18" s="303">
        <f t="shared" si="17"/>
        <v>76</v>
      </c>
      <c r="F18" s="303">
        <f t="shared" si="18"/>
        <v>86</v>
      </c>
      <c r="G18" s="303">
        <f t="shared" si="19"/>
        <v>79</v>
      </c>
      <c r="H18" s="303">
        <f t="shared" si="20"/>
        <v>90</v>
      </c>
      <c r="I18" s="309" t="str">
        <f t="shared" si="21"/>
        <v>76 - 86</v>
      </c>
      <c r="J18" s="305" t="str">
        <f t="shared" si="22"/>
        <v>79 - 90</v>
      </c>
      <c r="K18" s="306">
        <f t="shared" si="23"/>
        <v>3.6542286341912273</v>
      </c>
      <c r="L18" s="314">
        <f t="shared" si="24"/>
        <v>-7.6684713207170796E-2</v>
      </c>
      <c r="M18" s="314">
        <f t="shared" si="25"/>
        <v>0.14976928589099531</v>
      </c>
      <c r="N18" s="308">
        <f t="shared" si="26"/>
        <v>0</v>
      </c>
      <c r="O18" s="301" t="str">
        <f t="shared" si="27"/>
        <v>Borders</v>
      </c>
      <c r="P18" s="301" t="s">
        <v>62</v>
      </c>
      <c r="Q18" s="403">
        <v>161</v>
      </c>
      <c r="R18" s="403">
        <v>197</v>
      </c>
      <c r="S18" s="403">
        <v>146</v>
      </c>
      <c r="T18" s="403">
        <v>171</v>
      </c>
      <c r="U18" s="856">
        <v>15</v>
      </c>
    </row>
    <row r="19" spans="1:21" ht="12">
      <c r="A19" s="301" t="str">
        <f t="shared" si="0"/>
        <v>Wishaw</v>
      </c>
      <c r="B19" s="302">
        <f t="shared" si="15"/>
        <v>76.588628762541816</v>
      </c>
      <c r="C19" s="302">
        <f t="shared" si="16"/>
        <v>85.245901639344254</v>
      </c>
      <c r="D19" s="303">
        <f>90</f>
        <v>90</v>
      </c>
      <c r="E19" s="303">
        <f t="shared" si="17"/>
        <v>71</v>
      </c>
      <c r="F19" s="303">
        <f t="shared" si="18"/>
        <v>81</v>
      </c>
      <c r="G19" s="303">
        <f t="shared" si="19"/>
        <v>81</v>
      </c>
      <c r="H19" s="303">
        <f t="shared" si="20"/>
        <v>89</v>
      </c>
      <c r="I19" s="309" t="str">
        <f t="shared" si="21"/>
        <v>71 - 81</v>
      </c>
      <c r="J19" s="305" t="str">
        <f t="shared" si="22"/>
        <v>81 - 89</v>
      </c>
      <c r="K19" s="306">
        <f t="shared" si="23"/>
        <v>8.6572728768024376</v>
      </c>
      <c r="L19" s="314">
        <f t="shared" si="24"/>
        <v>-6.8039826228610267E-3</v>
      </c>
      <c r="M19" s="314">
        <f t="shared" si="25"/>
        <v>0.17994944015890996</v>
      </c>
      <c r="N19" s="308">
        <f t="shared" si="26"/>
        <v>0</v>
      </c>
      <c r="O19" s="301" t="str">
        <f t="shared" si="27"/>
        <v>Wishaw</v>
      </c>
      <c r="P19" s="301" t="s">
        <v>106</v>
      </c>
      <c r="Q19" s="403">
        <v>229</v>
      </c>
      <c r="R19" s="403">
        <v>299</v>
      </c>
      <c r="S19" s="403">
        <v>260</v>
      </c>
      <c r="T19" s="403">
        <v>305</v>
      </c>
      <c r="U19" s="856">
        <v>16</v>
      </c>
    </row>
    <row r="20" spans="1:21" ht="12">
      <c r="A20" s="301" t="str">
        <f t="shared" si="0"/>
        <v>Ninewells</v>
      </c>
      <c r="B20" s="302">
        <f t="shared" si="15"/>
        <v>82.481751824817522</v>
      </c>
      <c r="C20" s="302">
        <f t="shared" si="16"/>
        <v>84.198645598194133</v>
      </c>
      <c r="D20" s="303">
        <f>90</f>
        <v>90</v>
      </c>
      <c r="E20" s="303">
        <f t="shared" si="17"/>
        <v>79</v>
      </c>
      <c r="F20" s="303">
        <f t="shared" si="18"/>
        <v>86</v>
      </c>
      <c r="G20" s="303">
        <f t="shared" si="19"/>
        <v>81</v>
      </c>
      <c r="H20" s="303">
        <f t="shared" si="20"/>
        <v>87</v>
      </c>
      <c r="I20" s="309" t="str">
        <f t="shared" si="21"/>
        <v>79 - 86</v>
      </c>
      <c r="J20" s="305" t="str">
        <f t="shared" si="22"/>
        <v>81 - 87</v>
      </c>
      <c r="K20" s="306">
        <f t="shared" si="23"/>
        <v>1.7168937733766114</v>
      </c>
      <c r="L20" s="314">
        <f t="shared" si="24"/>
        <v>-5.7773194356258342E-2</v>
      </c>
      <c r="M20" s="314">
        <f t="shared" si="25"/>
        <v>9.2111069823790651E-2</v>
      </c>
      <c r="N20" s="308">
        <f t="shared" si="26"/>
        <v>0</v>
      </c>
      <c r="O20" s="301" t="str">
        <f t="shared" si="27"/>
        <v>Ninewells</v>
      </c>
      <c r="P20" s="301" t="s">
        <v>123</v>
      </c>
      <c r="Q20" s="403">
        <v>339</v>
      </c>
      <c r="R20" s="403">
        <v>411</v>
      </c>
      <c r="S20" s="403">
        <v>373</v>
      </c>
      <c r="T20" s="403">
        <v>443</v>
      </c>
      <c r="U20" s="856">
        <v>17</v>
      </c>
    </row>
    <row r="21" spans="1:21" ht="12">
      <c r="A21" s="301" t="str">
        <f t="shared" si="0"/>
        <v>RAH</v>
      </c>
      <c r="B21" s="302">
        <f t="shared" si="15"/>
        <v>81.707317073170728</v>
      </c>
      <c r="C21" s="302">
        <f t="shared" si="16"/>
        <v>80.626780626780629</v>
      </c>
      <c r="D21" s="303">
        <f>90</f>
        <v>90</v>
      </c>
      <c r="E21" s="303">
        <f t="shared" si="17"/>
        <v>77</v>
      </c>
      <c r="F21" s="303">
        <f t="shared" si="18"/>
        <v>86</v>
      </c>
      <c r="G21" s="303">
        <f t="shared" si="19"/>
        <v>76</v>
      </c>
      <c r="H21" s="303">
        <f t="shared" si="20"/>
        <v>84</v>
      </c>
      <c r="I21" s="309" t="str">
        <f t="shared" si="21"/>
        <v>77 - 86</v>
      </c>
      <c r="J21" s="305" t="str">
        <f t="shared" si="22"/>
        <v>76 - 84</v>
      </c>
      <c r="K21" s="306">
        <f t="shared" si="23"/>
        <v>-1.0805364463900986</v>
      </c>
      <c r="L21" s="314">
        <f t="shared" si="24"/>
        <v>-9.8895541974569387E-2</v>
      </c>
      <c r="M21" s="314">
        <f t="shared" si="25"/>
        <v>7.7284813046767362E-2</v>
      </c>
      <c r="N21" s="308">
        <f t="shared" si="26"/>
        <v>0</v>
      </c>
      <c r="O21" s="301" t="str">
        <f t="shared" si="27"/>
        <v>RAH</v>
      </c>
      <c r="P21" s="301" t="s">
        <v>84</v>
      </c>
      <c r="Q21" s="403">
        <v>268</v>
      </c>
      <c r="R21" s="403">
        <v>328</v>
      </c>
      <c r="S21" s="403">
        <v>283</v>
      </c>
      <c r="T21" s="403">
        <v>351</v>
      </c>
      <c r="U21" s="856">
        <v>18</v>
      </c>
    </row>
    <row r="22" spans="1:21" ht="12">
      <c r="A22" s="301" t="str">
        <f t="shared" si="0"/>
        <v>Dr Grays</v>
      </c>
      <c r="B22" s="302">
        <f t="shared" si="15"/>
        <v>82.727272727272734</v>
      </c>
      <c r="C22" s="302">
        <f t="shared" si="16"/>
        <v>77.981651376146786</v>
      </c>
      <c r="D22" s="303">
        <f>90</f>
        <v>90</v>
      </c>
      <c r="E22" s="303">
        <f t="shared" si="17"/>
        <v>75</v>
      </c>
      <c r="F22" s="303">
        <f t="shared" si="18"/>
        <v>89</v>
      </c>
      <c r="G22" s="303">
        <f t="shared" si="19"/>
        <v>69</v>
      </c>
      <c r="H22" s="303">
        <f t="shared" si="20"/>
        <v>85</v>
      </c>
      <c r="I22" s="309" t="str">
        <f t="shared" si="21"/>
        <v>75 - 89</v>
      </c>
      <c r="J22" s="305" t="str">
        <f t="shared" si="22"/>
        <v>69 - 85</v>
      </c>
      <c r="K22" s="306">
        <f t="shared" si="23"/>
        <v>-4.7456213511259477</v>
      </c>
      <c r="L22" s="314">
        <f t="shared" si="24"/>
        <v>-0.20481897730372045</v>
      </c>
      <c r="M22" s="314">
        <f t="shared" si="25"/>
        <v>0.10990655028120166</v>
      </c>
      <c r="N22" s="308">
        <f t="shared" si="26"/>
        <v>0</v>
      </c>
      <c r="O22" s="301" t="str">
        <f t="shared" si="27"/>
        <v>Dr Grays</v>
      </c>
      <c r="P22" s="301" t="s">
        <v>76</v>
      </c>
      <c r="Q22" s="403">
        <v>91</v>
      </c>
      <c r="R22" s="403">
        <v>110</v>
      </c>
      <c r="S22" s="403">
        <v>85</v>
      </c>
      <c r="T22" s="403">
        <v>109</v>
      </c>
      <c r="U22" s="856">
        <v>19</v>
      </c>
    </row>
    <row r="23" spans="1:21" ht="12">
      <c r="A23" s="301" t="str">
        <f t="shared" si="0"/>
        <v>ARI</v>
      </c>
      <c r="B23" s="302">
        <f t="shared" si="15"/>
        <v>69.148936170212778</v>
      </c>
      <c r="C23" s="302">
        <f t="shared" si="16"/>
        <v>74.460431654676256</v>
      </c>
      <c r="D23" s="303">
        <f>90</f>
        <v>90</v>
      </c>
      <c r="E23" s="303">
        <f t="shared" si="17"/>
        <v>65</v>
      </c>
      <c r="F23" s="303">
        <f t="shared" si="18"/>
        <v>73</v>
      </c>
      <c r="G23" s="303">
        <f t="shared" si="19"/>
        <v>71</v>
      </c>
      <c r="H23" s="303">
        <f t="shared" si="20"/>
        <v>78</v>
      </c>
      <c r="I23" s="309" t="str">
        <f t="shared" si="21"/>
        <v>65 - 73</v>
      </c>
      <c r="J23" s="305" t="str">
        <f t="shared" si="22"/>
        <v>71 - 78</v>
      </c>
      <c r="K23" s="306">
        <f t="shared" si="23"/>
        <v>5.3114954844634781</v>
      </c>
      <c r="L23" s="314">
        <f t="shared" si="24"/>
        <v>-2.5659915291502869E-2</v>
      </c>
      <c r="M23" s="314">
        <f t="shared" si="25"/>
        <v>0.13188982498077267</v>
      </c>
      <c r="N23" s="308">
        <f t="shared" si="26"/>
        <v>0</v>
      </c>
      <c r="O23" s="301" t="str">
        <f t="shared" si="27"/>
        <v>ARI</v>
      </c>
      <c r="P23" s="301" t="s">
        <v>74</v>
      </c>
      <c r="Q23" s="403">
        <v>390</v>
      </c>
      <c r="R23" s="403">
        <v>564</v>
      </c>
      <c r="S23" s="403">
        <v>414</v>
      </c>
      <c r="T23" s="403">
        <v>556</v>
      </c>
      <c r="U23" s="856">
        <v>20</v>
      </c>
    </row>
    <row r="24" spans="1:21" ht="12">
      <c r="A24" s="301" t="str">
        <f t="shared" si="0"/>
        <v>DGRI</v>
      </c>
      <c r="B24" s="302">
        <f t="shared" si="15"/>
        <v>78.536585365853668</v>
      </c>
      <c r="C24" s="302">
        <f t="shared" si="16"/>
        <v>73.91304347826086</v>
      </c>
      <c r="D24" s="303">
        <f>90</f>
        <v>90</v>
      </c>
      <c r="E24" s="303">
        <f t="shared" si="17"/>
        <v>72</v>
      </c>
      <c r="F24" s="303">
        <f t="shared" si="18"/>
        <v>84</v>
      </c>
      <c r="G24" s="303">
        <f t="shared" si="19"/>
        <v>67</v>
      </c>
      <c r="H24" s="303">
        <f t="shared" si="20"/>
        <v>80</v>
      </c>
      <c r="I24" s="309" t="str">
        <f t="shared" si="21"/>
        <v>72 - 84</v>
      </c>
      <c r="J24" s="305" t="str">
        <f t="shared" si="22"/>
        <v>67 - 80</v>
      </c>
      <c r="K24" s="306">
        <f t="shared" si="23"/>
        <v>-4.6235418875928076</v>
      </c>
      <c r="L24" s="314">
        <f t="shared" si="24"/>
        <v>-0.17815275414853024</v>
      </c>
      <c r="M24" s="314">
        <f t="shared" si="25"/>
        <v>8.5681916396674301E-2</v>
      </c>
      <c r="N24" s="308">
        <f t="shared" si="26"/>
        <v>0</v>
      </c>
      <c r="O24" s="301" t="str">
        <f t="shared" si="27"/>
        <v>DGRI</v>
      </c>
      <c r="P24" s="301" t="s">
        <v>64</v>
      </c>
      <c r="Q24" s="403">
        <v>161</v>
      </c>
      <c r="R24" s="403">
        <v>205</v>
      </c>
      <c r="S24" s="403">
        <v>119</v>
      </c>
      <c r="T24" s="403">
        <v>161</v>
      </c>
      <c r="U24" s="856">
        <v>21</v>
      </c>
    </row>
    <row r="25" spans="1:21" ht="12">
      <c r="A25" s="301" t="str">
        <f t="shared" si="0"/>
        <v>RIE</v>
      </c>
      <c r="B25" s="302">
        <f t="shared" si="15"/>
        <v>63.852242744063325</v>
      </c>
      <c r="C25" s="302">
        <f t="shared" si="16"/>
        <v>71.349095966620297</v>
      </c>
      <c r="D25" s="303">
        <f>90</f>
        <v>90</v>
      </c>
      <c r="E25" s="303">
        <f t="shared" si="17"/>
        <v>60</v>
      </c>
      <c r="F25" s="303">
        <f t="shared" si="18"/>
        <v>67</v>
      </c>
      <c r="G25" s="303">
        <f t="shared" si="19"/>
        <v>68</v>
      </c>
      <c r="H25" s="303">
        <f t="shared" si="20"/>
        <v>75</v>
      </c>
      <c r="I25" s="309" t="str">
        <f t="shared" si="21"/>
        <v>60 - 67</v>
      </c>
      <c r="J25" s="305" t="str">
        <f t="shared" si="22"/>
        <v>68 - 75</v>
      </c>
      <c r="K25" s="306">
        <f t="shared" si="23"/>
        <v>7.4968532225569717</v>
      </c>
      <c r="L25" s="314">
        <f t="shared" si="24"/>
        <v>3.7444494201799433E-3</v>
      </c>
      <c r="M25" s="314">
        <f t="shared" si="25"/>
        <v>0.14619261503095959</v>
      </c>
      <c r="N25" s="308">
        <f t="shared" si="26"/>
        <v>1</v>
      </c>
      <c r="O25" s="301" t="str">
        <f t="shared" si="27"/>
        <v>RIE</v>
      </c>
      <c r="P25" s="301" t="s">
        <v>108</v>
      </c>
      <c r="Q25" s="403">
        <v>484</v>
      </c>
      <c r="R25" s="403">
        <v>758</v>
      </c>
      <c r="S25" s="403">
        <v>513</v>
      </c>
      <c r="T25" s="403">
        <v>719</v>
      </c>
      <c r="U25" s="856">
        <v>22</v>
      </c>
    </row>
    <row r="26" spans="1:21" ht="12">
      <c r="A26" s="301" t="str">
        <f t="shared" si="0"/>
        <v>SJH</v>
      </c>
      <c r="B26" s="302">
        <f t="shared" si="15"/>
        <v>68.544600938967136</v>
      </c>
      <c r="C26" s="302">
        <f t="shared" si="16"/>
        <v>70.995670995671006</v>
      </c>
      <c r="D26" s="303">
        <f>90</f>
        <v>90</v>
      </c>
      <c r="E26" s="303">
        <f t="shared" si="17"/>
        <v>62</v>
      </c>
      <c r="F26" s="303">
        <f t="shared" si="18"/>
        <v>74</v>
      </c>
      <c r="G26" s="303">
        <f t="shared" si="19"/>
        <v>65</v>
      </c>
      <c r="H26" s="303">
        <f t="shared" si="20"/>
        <v>76</v>
      </c>
      <c r="I26" s="309" t="str">
        <f t="shared" si="21"/>
        <v>62 - 74</v>
      </c>
      <c r="J26" s="305" t="str">
        <f t="shared" si="22"/>
        <v>65 - 76</v>
      </c>
      <c r="K26" s="306">
        <f t="shared" si="23"/>
        <v>2.4510700567038697</v>
      </c>
      <c r="L26" s="314">
        <f t="shared" si="24"/>
        <v>-0.10355529047096329</v>
      </c>
      <c r="M26" s="314">
        <f t="shared" si="25"/>
        <v>0.15257669160504056</v>
      </c>
      <c r="N26" s="308">
        <f t="shared" si="26"/>
        <v>0</v>
      </c>
      <c r="O26" s="301" t="str">
        <f t="shared" si="27"/>
        <v>SJH</v>
      </c>
      <c r="P26" s="301" t="s">
        <v>111</v>
      </c>
      <c r="Q26" s="403">
        <v>146</v>
      </c>
      <c r="R26" s="403">
        <v>213</v>
      </c>
      <c r="S26" s="403">
        <v>164</v>
      </c>
      <c r="T26" s="403">
        <v>231</v>
      </c>
      <c r="U26" s="856">
        <v>23</v>
      </c>
    </row>
    <row r="27" spans="1:21" ht="12">
      <c r="A27" s="301" t="str">
        <f t="shared" si="0"/>
        <v>PRI</v>
      </c>
      <c r="B27" s="302">
        <f t="shared" si="15"/>
        <v>63.905325443786985</v>
      </c>
      <c r="C27" s="302">
        <f t="shared" si="16"/>
        <v>68.544600938967136</v>
      </c>
      <c r="D27" s="303">
        <f>90</f>
        <v>90</v>
      </c>
      <c r="E27" s="303">
        <f t="shared" si="17"/>
        <v>56</v>
      </c>
      <c r="F27" s="303">
        <f t="shared" si="18"/>
        <v>71</v>
      </c>
      <c r="G27" s="303">
        <f t="shared" si="19"/>
        <v>62</v>
      </c>
      <c r="H27" s="303">
        <f t="shared" si="20"/>
        <v>74</v>
      </c>
      <c r="I27" s="309" t="str">
        <f t="shared" si="21"/>
        <v>56 - 71</v>
      </c>
      <c r="J27" s="305" t="str">
        <f t="shared" si="22"/>
        <v>62 - 74</v>
      </c>
      <c r="K27" s="306">
        <f t="shared" si="23"/>
        <v>4.6392754951801507</v>
      </c>
      <c r="L27" s="314">
        <f t="shared" si="24"/>
        <v>-9.6715283095313243E-2</v>
      </c>
      <c r="M27" s="314">
        <f t="shared" si="25"/>
        <v>0.18950079299891626</v>
      </c>
      <c r="N27" s="308">
        <f t="shared" si="26"/>
        <v>0</v>
      </c>
      <c r="O27" s="301" t="str">
        <f t="shared" si="27"/>
        <v>PRI</v>
      </c>
      <c r="P27" s="301" t="s">
        <v>126</v>
      </c>
      <c r="Q27" s="403">
        <v>108</v>
      </c>
      <c r="R27" s="403">
        <v>169</v>
      </c>
      <c r="S27" s="403">
        <v>146</v>
      </c>
      <c r="T27" s="403">
        <v>213</v>
      </c>
      <c r="U27" s="856">
        <v>24</v>
      </c>
    </row>
    <row r="28" spans="1:21" ht="12">
      <c r="A28" s="301" t="str">
        <f t="shared" si="0"/>
        <v>Balfour</v>
      </c>
      <c r="B28" s="302">
        <f t="shared" si="15"/>
        <v>73.076923076923066</v>
      </c>
      <c r="C28" s="302">
        <f t="shared" si="16"/>
        <v>61.53846153846154</v>
      </c>
      <c r="D28" s="303">
        <f>90</f>
        <v>90</v>
      </c>
      <c r="E28" s="303">
        <f t="shared" si="17"/>
        <v>54</v>
      </c>
      <c r="F28" s="303">
        <f t="shared" si="18"/>
        <v>86</v>
      </c>
      <c r="G28" s="303">
        <f t="shared" si="19"/>
        <v>43</v>
      </c>
      <c r="H28" s="303">
        <f t="shared" si="20"/>
        <v>78</v>
      </c>
      <c r="I28" s="309" t="str">
        <f t="shared" si="21"/>
        <v>54 - 86</v>
      </c>
      <c r="J28" s="305" t="str">
        <f t="shared" si="22"/>
        <v>43 - 78</v>
      </c>
      <c r="K28" s="306">
        <f t="shared" si="23"/>
        <v>-11.538461538461526</v>
      </c>
      <c r="L28" s="314">
        <f t="shared" si="24"/>
        <v>-0.49436035427981362</v>
      </c>
      <c r="M28" s="314">
        <f t="shared" si="25"/>
        <v>0.263591123510583</v>
      </c>
      <c r="N28" s="308">
        <f t="shared" si="26"/>
        <v>0</v>
      </c>
      <c r="O28" s="301" t="str">
        <f t="shared" si="27"/>
        <v>Balfour</v>
      </c>
      <c r="P28" s="301" t="s">
        <v>117</v>
      </c>
      <c r="Q28" s="403">
        <v>19</v>
      </c>
      <c r="R28" s="403">
        <v>26</v>
      </c>
      <c r="S28" s="403">
        <v>16</v>
      </c>
      <c r="T28" s="403">
        <v>26</v>
      </c>
      <c r="U28" s="856">
        <v>25</v>
      </c>
    </row>
    <row r="29" spans="1:21" ht="12">
      <c r="A29" s="301" t="str">
        <f t="shared" si="0"/>
        <v>WGH</v>
      </c>
      <c r="B29" s="302">
        <f t="shared" si="15"/>
        <v>53.977272727272727</v>
      </c>
      <c r="C29" s="302">
        <f t="shared" si="16"/>
        <v>53.125</v>
      </c>
      <c r="D29" s="303">
        <f>90</f>
        <v>90</v>
      </c>
      <c r="E29" s="303">
        <f t="shared" si="17"/>
        <v>47</v>
      </c>
      <c r="F29" s="303">
        <f t="shared" si="18"/>
        <v>61</v>
      </c>
      <c r="G29" s="303">
        <f t="shared" si="19"/>
        <v>45</v>
      </c>
      <c r="H29" s="303">
        <f t="shared" si="20"/>
        <v>61</v>
      </c>
      <c r="I29" s="309" t="str">
        <f t="shared" si="21"/>
        <v>47 - 61</v>
      </c>
      <c r="J29" s="305" t="str">
        <f t="shared" si="22"/>
        <v>45 - 61</v>
      </c>
      <c r="K29" s="306">
        <f t="shared" si="23"/>
        <v>-0.85227272727272663</v>
      </c>
      <c r="L29" s="314">
        <f t="shared" si="24"/>
        <v>-0.16842681081521801</v>
      </c>
      <c r="M29" s="314">
        <f t="shared" si="25"/>
        <v>0.15138135626976343</v>
      </c>
      <c r="N29" s="308">
        <f t="shared" si="26"/>
        <v>0</v>
      </c>
      <c r="O29" s="301" t="str">
        <f t="shared" si="27"/>
        <v>WGH</v>
      </c>
      <c r="P29" s="301" t="s">
        <v>114</v>
      </c>
      <c r="Q29" s="403">
        <v>95</v>
      </c>
      <c r="R29" s="403">
        <v>176</v>
      </c>
      <c r="S29" s="403">
        <v>85</v>
      </c>
      <c r="T29" s="403">
        <v>160</v>
      </c>
      <c r="U29" s="856">
        <v>26</v>
      </c>
    </row>
    <row r="30" spans="1:21" ht="12">
      <c r="A30" s="301" t="str">
        <f t="shared" si="0"/>
        <v>Raigmore</v>
      </c>
      <c r="B30" s="302">
        <f t="shared" si="15"/>
        <v>43.893129770992367</v>
      </c>
      <c r="C30" s="302">
        <f t="shared" si="16"/>
        <v>52.226720647773284</v>
      </c>
      <c r="D30" s="303">
        <f>90</f>
        <v>90</v>
      </c>
      <c r="E30" s="303">
        <f t="shared" si="17"/>
        <v>38</v>
      </c>
      <c r="F30" s="303">
        <f t="shared" si="18"/>
        <v>50</v>
      </c>
      <c r="G30" s="303">
        <f t="shared" si="19"/>
        <v>46</v>
      </c>
      <c r="H30" s="303">
        <f t="shared" si="20"/>
        <v>58</v>
      </c>
      <c r="I30" s="309" t="str">
        <f t="shared" si="21"/>
        <v>38 - 50</v>
      </c>
      <c r="J30" s="305" t="str">
        <f t="shared" si="22"/>
        <v>46 - 58</v>
      </c>
      <c r="K30" s="306">
        <f t="shared" si="23"/>
        <v>8.3335908767809173</v>
      </c>
      <c r="L30" s="314">
        <f t="shared" si="24"/>
        <v>-4.6282397426360561E-2</v>
      </c>
      <c r="M30" s="314">
        <f t="shared" si="25"/>
        <v>0.21295421496197889</v>
      </c>
      <c r="N30" s="308">
        <f t="shared" si="26"/>
        <v>0</v>
      </c>
      <c r="O30" s="301" t="str">
        <f t="shared" si="27"/>
        <v>Raigmore</v>
      </c>
      <c r="P30" s="301" t="s">
        <v>97</v>
      </c>
      <c r="Q30" s="403">
        <v>115</v>
      </c>
      <c r="R30" s="403">
        <v>262</v>
      </c>
      <c r="S30" s="403">
        <v>129</v>
      </c>
      <c r="T30" s="403">
        <v>247</v>
      </c>
      <c r="U30" s="856">
        <v>27</v>
      </c>
    </row>
    <row r="31" spans="1:21" ht="12">
      <c r="A31" s="301" t="str">
        <f t="shared" si="0"/>
        <v>Ayr</v>
      </c>
      <c r="B31" s="302">
        <f t="shared" si="15"/>
        <v>83.842794759825324</v>
      </c>
      <c r="C31" s="302">
        <f t="shared" si="16"/>
        <v>34.210526315789473</v>
      </c>
      <c r="D31" s="303">
        <f>90</f>
        <v>90</v>
      </c>
      <c r="E31" s="303">
        <f t="shared" si="17"/>
        <v>79</v>
      </c>
      <c r="F31" s="303">
        <f t="shared" si="18"/>
        <v>88</v>
      </c>
      <c r="G31" s="303">
        <f t="shared" si="19"/>
        <v>21</v>
      </c>
      <c r="H31" s="303">
        <f t="shared" si="20"/>
        <v>50</v>
      </c>
      <c r="I31" s="309" t="str">
        <f t="shared" si="21"/>
        <v>79 - 88</v>
      </c>
      <c r="J31" s="305" t="str">
        <f t="shared" si="22"/>
        <v>21 - 50</v>
      </c>
      <c r="K31" s="306">
        <f t="shared" si="23"/>
        <v>-49.632268444035851</v>
      </c>
      <c r="L31" s="314">
        <f t="shared" si="24"/>
        <v>-0.73322859461963463</v>
      </c>
      <c r="M31" s="314">
        <f t="shared" si="25"/>
        <v>-0.25941677426108234</v>
      </c>
      <c r="N31" s="308">
        <f t="shared" si="26"/>
        <v>-1</v>
      </c>
      <c r="O31" s="301" t="str">
        <f t="shared" si="27"/>
        <v>Ayr</v>
      </c>
      <c r="P31" s="301" t="s">
        <v>57</v>
      </c>
      <c r="Q31" s="403">
        <v>192</v>
      </c>
      <c r="R31" s="403">
        <v>229</v>
      </c>
      <c r="S31" s="403">
        <v>13</v>
      </c>
      <c r="T31" s="403">
        <v>38</v>
      </c>
      <c r="U31" s="856">
        <v>28</v>
      </c>
    </row>
    <row r="32" spans="1:21" ht="12">
      <c r="A32" s="301" t="str">
        <f t="shared" si="0"/>
        <v>Uist &amp; Barra</v>
      </c>
      <c r="B32" s="302">
        <f t="shared" si="15"/>
        <v>0</v>
      </c>
      <c r="C32" s="302" t="e">
        <f t="shared" si="16"/>
        <v>#DIV/0!</v>
      </c>
      <c r="D32" s="303">
        <f>90</f>
        <v>90</v>
      </c>
      <c r="E32" s="303">
        <f t="shared" si="17"/>
        <v>0</v>
      </c>
      <c r="F32" s="303">
        <f t="shared" si="18"/>
        <v>79</v>
      </c>
      <c r="G32" s="303" t="e">
        <f t="shared" si="19"/>
        <v>#DIV/0!</v>
      </c>
      <c r="H32" s="303" t="e">
        <f t="shared" si="20"/>
        <v>#DIV/0!</v>
      </c>
      <c r="I32" s="309" t="str">
        <f t="shared" si="21"/>
        <v>0 - 79</v>
      </c>
      <c r="J32" s="305" t="e">
        <f t="shared" si="22"/>
        <v>#DIV/0!</v>
      </c>
      <c r="K32" s="306" t="e">
        <f t="shared" si="23"/>
        <v>#DIV/0!</v>
      </c>
      <c r="L32" s="314" t="e">
        <f t="shared" si="24"/>
        <v>#DIV/0!</v>
      </c>
      <c r="M32" s="314" t="e">
        <f t="shared" si="25"/>
        <v>#DIV/0!</v>
      </c>
      <c r="N32" s="308" t="str">
        <f t="shared" si="26"/>
        <v/>
      </c>
      <c r="O32" s="301" t="str">
        <f t="shared" si="27"/>
        <v>Uist &amp; Barra</v>
      </c>
      <c r="P32" s="301" t="s">
        <v>129</v>
      </c>
      <c r="Q32" s="403">
        <v>0</v>
      </c>
      <c r="R32" s="403">
        <v>1</v>
      </c>
      <c r="S32" s="403"/>
      <c r="T32" s="403"/>
      <c r="U32" s="856">
        <v>29</v>
      </c>
    </row>
    <row r="34" spans="15:23" ht="15">
      <c r="O34"/>
      <c r="P34"/>
      <c r="Q34"/>
      <c r="R34"/>
      <c r="S34"/>
      <c r="T34"/>
      <c r="U34"/>
      <c r="V34"/>
      <c r="W34"/>
    </row>
    <row r="35" spans="15:23" ht="15">
      <c r="O35"/>
      <c r="P35"/>
      <c r="Q35"/>
      <c r="R35"/>
      <c r="S35"/>
      <c r="T35"/>
      <c r="U35"/>
      <c r="V35"/>
      <c r="W35"/>
    </row>
    <row r="36" spans="15:23" ht="15">
      <c r="O36" s="876"/>
      <c r="P36" s="876"/>
      <c r="Q36" s="876"/>
      <c r="R36" s="876"/>
      <c r="S36" s="876"/>
      <c r="T36" s="876"/>
      <c r="U36" s="652"/>
      <c r="V36"/>
      <c r="W36"/>
    </row>
    <row r="37" spans="15:23" ht="15">
      <c r="O37" s="877"/>
      <c r="P37" s="878"/>
      <c r="Q37" s="878"/>
      <c r="R37" s="878"/>
      <c r="S37" s="878"/>
      <c r="T37" s="878"/>
      <c r="U37" s="652"/>
      <c r="V37"/>
      <c r="W37"/>
    </row>
    <row r="38" spans="15:23" ht="15">
      <c r="O38" s="879"/>
      <c r="P38" s="879"/>
      <c r="Q38" s="879"/>
      <c r="R38" s="880"/>
      <c r="S38" s="880"/>
      <c r="T38" s="880"/>
      <c r="U38" s="652"/>
      <c r="V38"/>
      <c r="W38"/>
    </row>
    <row r="39" spans="15:23" ht="15">
      <c r="O39" s="879"/>
      <c r="P39" s="879"/>
      <c r="Q39" s="879"/>
      <c r="R39" s="880"/>
      <c r="S39" s="880"/>
      <c r="T39" s="880"/>
      <c r="U39" s="652"/>
      <c r="V39"/>
      <c r="W39"/>
    </row>
    <row r="40" spans="15:23" ht="15">
      <c r="O40" s="881"/>
      <c r="P40" s="881"/>
      <c r="Q40" s="881"/>
      <c r="R40" s="882"/>
      <c r="S40" s="882"/>
      <c r="T40" s="882"/>
      <c r="U40" s="652"/>
      <c r="V40"/>
      <c r="W40"/>
    </row>
    <row r="41" spans="15:23" ht="15">
      <c r="O41" s="881"/>
      <c r="P41" s="881"/>
      <c r="Q41" s="881"/>
      <c r="R41" s="882"/>
      <c r="S41" s="882"/>
      <c r="T41" s="882"/>
      <c r="U41" s="652"/>
      <c r="V41"/>
      <c r="W41"/>
    </row>
    <row r="42" spans="15:23" ht="15">
      <c r="O42" s="881"/>
      <c r="P42" s="881"/>
      <c r="Q42" s="881"/>
      <c r="R42" s="882"/>
      <c r="S42" s="882"/>
      <c r="T42" s="882"/>
      <c r="U42" s="652"/>
      <c r="V42"/>
      <c r="W42"/>
    </row>
    <row r="43" spans="15:23" ht="15">
      <c r="O43" s="881"/>
      <c r="P43" s="881"/>
      <c r="Q43" s="881"/>
      <c r="R43" s="882"/>
      <c r="S43" s="882"/>
      <c r="T43" s="882"/>
      <c r="U43" s="652"/>
      <c r="V43"/>
      <c r="W43"/>
    </row>
    <row r="44" spans="15:23" ht="15">
      <c r="O44" s="881"/>
      <c r="P44" s="881"/>
      <c r="Q44" s="881"/>
      <c r="R44" s="882"/>
      <c r="S44" s="882"/>
      <c r="T44" s="882"/>
      <c r="U44" s="652"/>
      <c r="V44"/>
      <c r="W44"/>
    </row>
    <row r="45" spans="15:23" ht="15">
      <c r="O45" s="881"/>
      <c r="P45" s="881"/>
      <c r="Q45" s="881"/>
      <c r="R45" s="882"/>
      <c r="S45" s="882"/>
      <c r="T45" s="882"/>
      <c r="U45" s="652"/>
      <c r="V45"/>
      <c r="W45"/>
    </row>
    <row r="46" spans="15:23" ht="15">
      <c r="O46" s="881"/>
      <c r="P46" s="881"/>
      <c r="Q46" s="881"/>
      <c r="R46" s="882"/>
      <c r="S46" s="882"/>
      <c r="T46" s="882"/>
      <c r="U46" s="652"/>
      <c r="V46"/>
      <c r="W46"/>
    </row>
    <row r="47" spans="15:23" ht="15">
      <c r="O47" s="881"/>
      <c r="P47" s="881"/>
      <c r="Q47" s="881"/>
      <c r="R47" s="882"/>
      <c r="S47" s="882"/>
      <c r="T47" s="882"/>
      <c r="U47" s="652"/>
      <c r="V47"/>
      <c r="W47"/>
    </row>
    <row r="48" spans="15:23" ht="15">
      <c r="O48" s="881"/>
      <c r="P48" s="881"/>
      <c r="Q48" s="881"/>
      <c r="R48" s="882"/>
      <c r="S48" s="882"/>
      <c r="T48" s="882"/>
      <c r="U48" s="652"/>
      <c r="V48"/>
      <c r="W48"/>
    </row>
    <row r="49" spans="15:23" ht="15">
      <c r="O49" s="881"/>
      <c r="P49" s="881"/>
      <c r="Q49" s="881"/>
      <c r="R49" s="882"/>
      <c r="S49" s="882"/>
      <c r="T49" s="882"/>
      <c r="U49" s="652"/>
      <c r="V49"/>
      <c r="W49"/>
    </row>
    <row r="50" spans="15:23" ht="15">
      <c r="O50" s="881"/>
      <c r="P50" s="881"/>
      <c r="Q50" s="881"/>
      <c r="R50" s="882"/>
      <c r="S50" s="882"/>
      <c r="T50" s="882"/>
      <c r="U50" s="652"/>
      <c r="V50"/>
      <c r="W50"/>
    </row>
    <row r="51" spans="15:23" ht="15">
      <c r="O51" s="881"/>
      <c r="P51" s="881"/>
      <c r="Q51" s="881"/>
      <c r="R51" s="882"/>
      <c r="S51" s="882"/>
      <c r="T51" s="882"/>
      <c r="U51" s="652"/>
      <c r="V51"/>
      <c r="W51"/>
    </row>
    <row r="52" spans="15:23" ht="15">
      <c r="O52" s="881"/>
      <c r="P52" s="881"/>
      <c r="Q52" s="881"/>
      <c r="R52" s="882"/>
      <c r="S52" s="882"/>
      <c r="T52" s="882"/>
      <c r="U52" s="652"/>
      <c r="V52"/>
      <c r="W52"/>
    </row>
    <row r="53" spans="15:23" ht="15">
      <c r="O53" s="881"/>
      <c r="P53" s="881"/>
      <c r="Q53" s="881"/>
      <c r="R53" s="882"/>
      <c r="S53" s="882"/>
      <c r="T53" s="882"/>
      <c r="U53" s="652"/>
      <c r="V53"/>
      <c r="W53"/>
    </row>
    <row r="54" spans="15:23" ht="15">
      <c r="O54" s="881"/>
      <c r="P54" s="881"/>
      <c r="Q54" s="881"/>
      <c r="R54" s="882"/>
      <c r="S54" s="882"/>
      <c r="T54" s="882"/>
      <c r="U54" s="652"/>
      <c r="V54"/>
      <c r="W54"/>
    </row>
    <row r="55" spans="15:23" ht="15">
      <c r="O55" s="881"/>
      <c r="P55" s="881"/>
      <c r="Q55" s="881"/>
      <c r="R55" s="882"/>
      <c r="S55" s="882"/>
      <c r="T55" s="882"/>
      <c r="U55" s="652"/>
      <c r="V55"/>
      <c r="W55"/>
    </row>
    <row r="56" spans="15:23" ht="15">
      <c r="O56" s="881"/>
      <c r="P56" s="881"/>
      <c r="Q56" s="881"/>
      <c r="R56" s="882"/>
      <c r="S56" s="882"/>
      <c r="T56" s="882"/>
      <c r="U56" s="652"/>
      <c r="V56"/>
      <c r="W56"/>
    </row>
    <row r="57" spans="15:23" ht="15">
      <c r="O57" s="881"/>
      <c r="P57" s="881"/>
      <c r="Q57" s="881"/>
      <c r="R57" s="882"/>
      <c r="S57" s="882"/>
      <c r="T57" s="882"/>
      <c r="U57" s="652"/>
      <c r="V57"/>
      <c r="W57"/>
    </row>
    <row r="58" spans="15:23" ht="15">
      <c r="O58" s="881"/>
      <c r="P58" s="881"/>
      <c r="Q58" s="881"/>
      <c r="R58" s="882"/>
      <c r="S58" s="882"/>
      <c r="T58" s="882"/>
      <c r="U58" s="652"/>
      <c r="V58"/>
      <c r="W58"/>
    </row>
    <row r="59" spans="15:23" ht="15">
      <c r="O59" s="881"/>
      <c r="P59" s="881"/>
      <c r="Q59" s="881"/>
      <c r="R59" s="882"/>
      <c r="S59" s="882"/>
      <c r="T59" s="882"/>
      <c r="U59" s="652"/>
      <c r="V59"/>
      <c r="W59"/>
    </row>
    <row r="60" spans="15:23" ht="15">
      <c r="O60" s="881"/>
      <c r="P60" s="881"/>
      <c r="Q60" s="881"/>
      <c r="R60" s="882"/>
      <c r="S60" s="882"/>
      <c r="T60" s="882"/>
      <c r="U60" s="652"/>
      <c r="V60"/>
      <c r="W60"/>
    </row>
    <row r="61" spans="15:23" ht="15">
      <c r="O61" s="881"/>
      <c r="P61" s="881"/>
      <c r="Q61" s="881"/>
      <c r="R61" s="882"/>
      <c r="S61" s="882"/>
      <c r="T61" s="882"/>
      <c r="U61" s="652"/>
      <c r="V61"/>
      <c r="W61"/>
    </row>
    <row r="62" spans="15:23" ht="15">
      <c r="O62" s="881"/>
      <c r="P62" s="881"/>
      <c r="Q62" s="881"/>
      <c r="R62" s="882"/>
      <c r="S62" s="882"/>
      <c r="T62" s="882"/>
      <c r="U62" s="652"/>
      <c r="V62"/>
      <c r="W62"/>
    </row>
    <row r="63" spans="15:23" ht="15">
      <c r="O63" s="881"/>
      <c r="P63" s="881"/>
      <c r="Q63" s="881"/>
      <c r="R63" s="882"/>
      <c r="S63" s="882"/>
      <c r="T63" s="882"/>
      <c r="U63" s="652"/>
      <c r="V63"/>
      <c r="W63"/>
    </row>
    <row r="64" spans="15:23" ht="15">
      <c r="O64" s="881"/>
      <c r="P64" s="881"/>
      <c r="Q64" s="881"/>
      <c r="R64" s="882"/>
      <c r="S64" s="882"/>
      <c r="T64" s="882"/>
      <c r="U64" s="652"/>
      <c r="V64"/>
      <c r="W64"/>
    </row>
    <row r="65" spans="15:23" ht="15">
      <c r="O65" s="881"/>
      <c r="P65" s="881"/>
      <c r="Q65" s="881"/>
      <c r="R65" s="882"/>
      <c r="S65" s="882"/>
      <c r="T65" s="882"/>
      <c r="U65" s="652"/>
      <c r="V65"/>
      <c r="W65"/>
    </row>
    <row r="66" spans="15:23" ht="12.75">
      <c r="O66" s="881"/>
      <c r="P66" s="881"/>
      <c r="Q66" s="881"/>
      <c r="R66" s="882"/>
      <c r="S66" s="882"/>
      <c r="T66" s="882"/>
      <c r="U66" s="652"/>
    </row>
    <row r="67" spans="15:23" ht="12.75">
      <c r="O67" s="881"/>
      <c r="P67" s="881"/>
      <c r="Q67" s="881"/>
      <c r="R67" s="882"/>
      <c r="S67" s="882"/>
      <c r="T67" s="882"/>
      <c r="U67" s="652"/>
    </row>
    <row r="68" spans="15:23" ht="12.75">
      <c r="O68" s="881"/>
      <c r="P68" s="881"/>
      <c r="Q68" s="881"/>
      <c r="R68" s="882"/>
      <c r="S68" s="882"/>
      <c r="T68" s="882"/>
      <c r="U68" s="652"/>
    </row>
    <row r="69" spans="15:23" ht="12.75">
      <c r="O69" s="881"/>
      <c r="P69" s="881"/>
      <c r="Q69" s="881"/>
      <c r="R69" s="882"/>
      <c r="S69" s="882"/>
      <c r="T69" s="882"/>
      <c r="U69" s="652"/>
    </row>
    <row r="70" spans="15:23" ht="12.75">
      <c r="O70" s="881"/>
      <c r="P70" s="881"/>
      <c r="Q70" s="881"/>
      <c r="R70" s="882"/>
      <c r="S70" s="882"/>
      <c r="T70" s="882"/>
      <c r="U70" s="652"/>
    </row>
    <row r="71" spans="15:23" ht="12.75">
      <c r="O71" s="881"/>
      <c r="P71" s="881"/>
      <c r="Q71" s="881"/>
      <c r="R71" s="882"/>
      <c r="S71" s="882"/>
      <c r="T71" s="882"/>
      <c r="U71" s="652"/>
    </row>
    <row r="72" spans="15:23" ht="12.75">
      <c r="O72" s="881"/>
      <c r="P72" s="881"/>
      <c r="Q72" s="881"/>
      <c r="R72" s="882"/>
      <c r="S72" s="882"/>
      <c r="T72" s="882"/>
      <c r="U72" s="652"/>
    </row>
    <row r="73" spans="15:23" ht="12.75">
      <c r="O73" s="881"/>
      <c r="P73" s="881"/>
      <c r="Q73" s="881"/>
      <c r="R73" s="882"/>
      <c r="S73" s="882"/>
      <c r="T73" s="882"/>
      <c r="U73" s="652"/>
    </row>
    <row r="74" spans="15:23" ht="12.75">
      <c r="O74" s="881"/>
      <c r="P74" s="881"/>
      <c r="Q74" s="881"/>
      <c r="R74" s="882"/>
      <c r="S74" s="882"/>
      <c r="T74" s="882"/>
      <c r="U74" s="652"/>
    </row>
    <row r="75" spans="15:23" ht="12.75">
      <c r="O75" s="881"/>
      <c r="P75" s="881"/>
      <c r="Q75" s="881"/>
      <c r="R75" s="882"/>
      <c r="S75" s="882"/>
      <c r="T75" s="882"/>
      <c r="U75" s="652"/>
    </row>
    <row r="76" spans="15:23" ht="12.75">
      <c r="O76" s="881"/>
      <c r="P76" s="881"/>
      <c r="Q76" s="881"/>
      <c r="R76" s="882"/>
      <c r="S76" s="882"/>
      <c r="T76" s="882"/>
      <c r="U76" s="652"/>
    </row>
    <row r="77" spans="15:23" ht="12.75">
      <c r="O77" s="881"/>
      <c r="P77" s="881"/>
      <c r="Q77" s="881"/>
      <c r="R77" s="882"/>
      <c r="S77" s="882"/>
      <c r="T77" s="882"/>
      <c r="U77" s="652"/>
    </row>
    <row r="78" spans="15:23" ht="12.75">
      <c r="O78" s="881"/>
      <c r="P78" s="881"/>
      <c r="Q78" s="881"/>
      <c r="R78" s="882"/>
      <c r="S78" s="882"/>
      <c r="T78" s="882"/>
      <c r="U78" s="652"/>
    </row>
    <row r="79" spans="15:23" ht="12.75">
      <c r="O79" s="881"/>
      <c r="P79" s="881"/>
      <c r="Q79" s="881"/>
      <c r="R79" s="882"/>
      <c r="S79" s="882"/>
      <c r="T79" s="882"/>
      <c r="U79" s="652"/>
    </row>
    <row r="80" spans="15:23" ht="12.75">
      <c r="O80" s="881"/>
      <c r="P80" s="881"/>
      <c r="Q80" s="881"/>
      <c r="R80" s="882"/>
      <c r="S80" s="882"/>
      <c r="T80" s="882"/>
      <c r="U80" s="652"/>
    </row>
    <row r="81" spans="15:21" ht="12.75">
      <c r="O81" s="881"/>
      <c r="P81" s="881"/>
      <c r="Q81" s="881"/>
      <c r="R81" s="882"/>
      <c r="S81" s="882"/>
      <c r="T81" s="882"/>
      <c r="U81" s="652"/>
    </row>
    <row r="82" spans="15:21" ht="12.75">
      <c r="O82" s="881"/>
      <c r="P82" s="881"/>
      <c r="Q82" s="881"/>
      <c r="R82" s="882"/>
      <c r="S82" s="882"/>
      <c r="T82" s="882"/>
      <c r="U82" s="652"/>
    </row>
    <row r="83" spans="15:21" ht="12.75">
      <c r="O83" s="881"/>
      <c r="P83" s="881"/>
      <c r="Q83" s="881"/>
      <c r="R83" s="882"/>
      <c r="S83" s="882"/>
      <c r="T83" s="882"/>
      <c r="U83" s="652"/>
    </row>
    <row r="84" spans="15:21" ht="12.75">
      <c r="O84" s="881"/>
      <c r="P84" s="881"/>
      <c r="Q84" s="881"/>
      <c r="R84" s="882"/>
      <c r="S84" s="882"/>
      <c r="T84" s="882"/>
      <c r="U84" s="652"/>
    </row>
    <row r="85" spans="15:21" ht="12.75">
      <c r="O85" s="881"/>
      <c r="P85" s="881"/>
      <c r="Q85" s="881"/>
      <c r="R85" s="882"/>
      <c r="S85" s="882"/>
      <c r="T85" s="882"/>
      <c r="U85" s="652"/>
    </row>
    <row r="86" spans="15:21" ht="12.75">
      <c r="O86" s="881"/>
      <c r="P86" s="881"/>
      <c r="Q86" s="881"/>
      <c r="R86" s="882"/>
      <c r="S86" s="882"/>
      <c r="T86" s="882"/>
      <c r="U86" s="652"/>
    </row>
    <row r="87" spans="15:21" ht="12.75">
      <c r="O87" s="881"/>
      <c r="P87" s="881"/>
      <c r="Q87" s="881"/>
      <c r="R87" s="882"/>
      <c r="S87" s="882"/>
      <c r="T87" s="882"/>
      <c r="U87" s="652"/>
    </row>
    <row r="88" spans="15:21" ht="12.75">
      <c r="O88" s="881"/>
      <c r="P88" s="881"/>
      <c r="Q88" s="881"/>
      <c r="R88" s="882"/>
      <c r="S88" s="882"/>
      <c r="T88" s="882"/>
      <c r="U88" s="652"/>
    </row>
    <row r="89" spans="15:21" ht="12.75">
      <c r="O89" s="881"/>
      <c r="P89" s="881"/>
      <c r="Q89" s="881"/>
      <c r="R89" s="882"/>
      <c r="S89" s="882"/>
      <c r="T89" s="882"/>
      <c r="U89" s="652"/>
    </row>
    <row r="90" spans="15:21" ht="12.75">
      <c r="O90" s="881"/>
      <c r="P90" s="881"/>
      <c r="Q90" s="881"/>
      <c r="R90" s="882"/>
      <c r="S90" s="882"/>
      <c r="T90" s="882"/>
      <c r="U90" s="652"/>
    </row>
    <row r="91" spans="15:21" ht="12.75">
      <c r="O91" s="881"/>
      <c r="P91" s="881"/>
      <c r="Q91" s="881"/>
      <c r="R91" s="882"/>
      <c r="S91" s="882"/>
      <c r="T91" s="882"/>
      <c r="U91" s="652"/>
    </row>
    <row r="92" spans="15:21" ht="12.75">
      <c r="O92" s="881"/>
      <c r="P92" s="881"/>
      <c r="Q92" s="881"/>
      <c r="R92" s="882"/>
      <c r="S92" s="882"/>
      <c r="T92" s="882"/>
      <c r="U92" s="652"/>
    </row>
    <row r="93" spans="15:21" ht="12.75">
      <c r="O93" s="881"/>
      <c r="P93" s="881"/>
      <c r="Q93" s="881"/>
      <c r="R93" s="882"/>
      <c r="S93" s="882"/>
      <c r="T93" s="882"/>
      <c r="U93" s="652"/>
    </row>
    <row r="94" spans="15:21" ht="12.75">
      <c r="O94" s="881"/>
      <c r="P94" s="881"/>
      <c r="Q94" s="881"/>
      <c r="R94" s="882"/>
      <c r="S94" s="882"/>
      <c r="T94" s="882"/>
      <c r="U94" s="652"/>
    </row>
    <row r="95" spans="15:21" ht="12.75">
      <c r="O95" s="881"/>
      <c r="P95" s="881"/>
      <c r="Q95" s="881"/>
      <c r="R95" s="882"/>
      <c r="S95" s="882"/>
      <c r="T95" s="882"/>
      <c r="U95" s="652"/>
    </row>
    <row r="96" spans="15:21" ht="12.75">
      <c r="O96" s="881"/>
      <c r="P96" s="881"/>
      <c r="Q96" s="881"/>
      <c r="R96" s="882"/>
      <c r="S96" s="882"/>
      <c r="T96" s="882"/>
      <c r="U96" s="652"/>
    </row>
    <row r="97" spans="15:21" ht="12.75">
      <c r="O97" s="881"/>
      <c r="P97" s="881"/>
      <c r="Q97" s="881"/>
      <c r="R97" s="882"/>
      <c r="S97" s="882"/>
      <c r="T97" s="882"/>
      <c r="U97" s="652"/>
    </row>
    <row r="98" spans="15:21" ht="12.75">
      <c r="O98" s="881"/>
      <c r="P98" s="881"/>
      <c r="Q98" s="881"/>
      <c r="R98" s="882"/>
      <c r="S98" s="882"/>
      <c r="T98" s="882"/>
      <c r="U98" s="652"/>
    </row>
    <row r="99" spans="15:21" ht="12.75">
      <c r="O99" s="881"/>
      <c r="P99" s="881"/>
      <c r="Q99" s="881"/>
      <c r="R99" s="882"/>
      <c r="S99" s="882"/>
      <c r="T99" s="882"/>
      <c r="U99" s="652"/>
    </row>
    <row r="100" spans="15:21" ht="12.75">
      <c r="O100" s="881"/>
      <c r="P100" s="881"/>
      <c r="Q100" s="881"/>
      <c r="R100" s="882"/>
      <c r="S100" s="882"/>
      <c r="T100" s="882"/>
      <c r="U100" s="652"/>
    </row>
    <row r="101" spans="15:21" ht="12.75">
      <c r="O101" s="881"/>
      <c r="P101" s="881"/>
      <c r="Q101" s="881"/>
      <c r="R101" s="882"/>
      <c r="S101" s="882"/>
      <c r="T101" s="882"/>
      <c r="U101" s="652"/>
    </row>
    <row r="102" spans="15:21" ht="12.75">
      <c r="O102" s="881"/>
      <c r="P102" s="881"/>
      <c r="Q102" s="881"/>
      <c r="R102" s="882"/>
      <c r="S102" s="882"/>
      <c r="T102" s="882"/>
      <c r="U102" s="652"/>
    </row>
    <row r="103" spans="15:21" ht="12.75">
      <c r="O103" s="881"/>
      <c r="P103" s="881"/>
      <c r="Q103" s="881"/>
      <c r="R103" s="882"/>
      <c r="S103" s="882"/>
      <c r="T103" s="882"/>
      <c r="U103" s="652"/>
    </row>
    <row r="104" spans="15:21" ht="12.75">
      <c r="O104" s="881"/>
      <c r="P104" s="881"/>
      <c r="Q104" s="881"/>
      <c r="R104" s="882"/>
      <c r="S104" s="882"/>
      <c r="T104" s="882"/>
      <c r="U104" s="652"/>
    </row>
    <row r="105" spans="15:21" ht="12.75">
      <c r="O105" s="881"/>
      <c r="P105" s="881"/>
      <c r="Q105" s="881"/>
      <c r="R105" s="882"/>
      <c r="S105" s="882"/>
      <c r="T105" s="882"/>
      <c r="U105" s="652"/>
    </row>
    <row r="106" spans="15:21" ht="12.75">
      <c r="O106" s="881"/>
      <c r="P106" s="881"/>
      <c r="Q106" s="881"/>
      <c r="R106" s="882"/>
      <c r="S106" s="882"/>
      <c r="T106" s="882"/>
      <c r="U106" s="652"/>
    </row>
    <row r="107" spans="15:21" ht="12.75">
      <c r="O107" s="881"/>
      <c r="P107" s="881"/>
      <c r="Q107" s="881"/>
      <c r="R107" s="882"/>
      <c r="S107" s="882"/>
      <c r="T107" s="882"/>
      <c r="U107" s="652"/>
    </row>
    <row r="108" spans="15:21" ht="12.75">
      <c r="O108" s="881"/>
      <c r="P108" s="881"/>
      <c r="Q108" s="881"/>
      <c r="R108" s="882"/>
      <c r="S108" s="882"/>
      <c r="T108" s="882"/>
      <c r="U108" s="652"/>
    </row>
    <row r="109" spans="15:21" ht="12.75">
      <c r="O109" s="881"/>
      <c r="P109" s="881"/>
      <c r="Q109" s="881"/>
      <c r="R109" s="882"/>
      <c r="S109" s="882"/>
      <c r="T109" s="882"/>
      <c r="U109" s="652"/>
    </row>
    <row r="110" spans="15:21" ht="12.75">
      <c r="O110" s="881"/>
      <c r="P110" s="881"/>
      <c r="Q110" s="881"/>
      <c r="R110" s="882"/>
      <c r="S110" s="882"/>
      <c r="T110" s="882"/>
      <c r="U110" s="652"/>
    </row>
    <row r="111" spans="15:21" ht="12.75">
      <c r="O111" s="881"/>
      <c r="P111" s="881"/>
      <c r="Q111" s="881"/>
      <c r="R111" s="882"/>
      <c r="S111" s="882"/>
      <c r="T111" s="882"/>
      <c r="U111" s="652"/>
    </row>
    <row r="112" spans="15:21" ht="12.75">
      <c r="O112" s="881"/>
      <c r="P112" s="881"/>
      <c r="Q112" s="881"/>
      <c r="R112" s="882"/>
      <c r="S112" s="882"/>
      <c r="T112" s="882"/>
      <c r="U112" s="652"/>
    </row>
    <row r="113" spans="15:21" ht="12.75">
      <c r="O113" s="881"/>
      <c r="P113" s="881"/>
      <c r="Q113" s="881"/>
      <c r="R113" s="882"/>
      <c r="S113" s="882"/>
      <c r="T113" s="882"/>
      <c r="U113" s="652"/>
    </row>
    <row r="114" spans="15:21" ht="12.75">
      <c r="O114" s="881"/>
      <c r="P114" s="881"/>
      <c r="Q114" s="881"/>
      <c r="R114" s="882"/>
      <c r="S114" s="882"/>
      <c r="T114" s="882"/>
      <c r="U114" s="652"/>
    </row>
    <row r="115" spans="15:21" ht="12.75">
      <c r="O115" s="881"/>
      <c r="P115" s="881"/>
      <c r="Q115" s="881"/>
      <c r="R115" s="882"/>
      <c r="S115" s="882"/>
      <c r="T115" s="882"/>
      <c r="U115" s="652"/>
    </row>
    <row r="116" spans="15:21" ht="12.75">
      <c r="O116" s="881"/>
      <c r="P116" s="881"/>
      <c r="Q116" s="881"/>
      <c r="R116" s="882"/>
      <c r="S116" s="882"/>
      <c r="T116" s="882"/>
      <c r="U116" s="652"/>
    </row>
    <row r="117" spans="15:21" ht="12.75">
      <c r="O117" s="881"/>
      <c r="P117" s="881"/>
      <c r="Q117" s="881"/>
      <c r="R117" s="882"/>
      <c r="S117" s="882"/>
      <c r="T117" s="882"/>
      <c r="U117" s="652"/>
    </row>
    <row r="118" spans="15:21" ht="12.75">
      <c r="O118" s="881"/>
      <c r="P118" s="881"/>
      <c r="Q118" s="881"/>
      <c r="R118" s="882"/>
      <c r="S118" s="882"/>
      <c r="T118" s="882"/>
      <c r="U118" s="652"/>
    </row>
    <row r="119" spans="15:21" ht="12.75">
      <c r="O119" s="881"/>
      <c r="P119" s="881"/>
      <c r="Q119" s="881"/>
      <c r="R119" s="882"/>
      <c r="S119" s="882"/>
      <c r="T119" s="882"/>
      <c r="U119" s="652"/>
    </row>
    <row r="120" spans="15:21" ht="12.75">
      <c r="O120" s="881"/>
      <c r="P120" s="881"/>
      <c r="Q120" s="881"/>
      <c r="R120" s="882"/>
      <c r="S120" s="882"/>
      <c r="T120" s="882"/>
      <c r="U120" s="652"/>
    </row>
    <row r="121" spans="15:21" ht="12.75">
      <c r="O121" s="881"/>
      <c r="P121" s="881"/>
      <c r="Q121" s="881"/>
      <c r="R121" s="882"/>
      <c r="S121" s="882"/>
      <c r="T121" s="882"/>
      <c r="U121" s="652"/>
    </row>
    <row r="122" spans="15:21" ht="12.75">
      <c r="O122" s="881"/>
      <c r="P122" s="881"/>
      <c r="Q122" s="881"/>
      <c r="R122" s="882"/>
      <c r="S122" s="882"/>
      <c r="T122" s="882"/>
      <c r="U122" s="652"/>
    </row>
    <row r="123" spans="15:21" ht="12.75">
      <c r="O123" s="881"/>
      <c r="P123" s="881"/>
      <c r="Q123" s="881"/>
      <c r="R123" s="882"/>
      <c r="S123" s="882"/>
      <c r="T123" s="882"/>
      <c r="U123" s="652"/>
    </row>
    <row r="124" spans="15:21" ht="12.75">
      <c r="O124" s="881"/>
      <c r="P124" s="881"/>
      <c r="Q124" s="881"/>
      <c r="R124" s="882"/>
      <c r="S124" s="882"/>
      <c r="T124" s="882"/>
      <c r="U124" s="652"/>
    </row>
    <row r="125" spans="15:21" ht="12.75">
      <c r="O125" s="881"/>
      <c r="P125" s="881"/>
      <c r="Q125" s="881"/>
      <c r="R125" s="882"/>
      <c r="S125" s="882"/>
      <c r="T125" s="882"/>
      <c r="U125" s="652"/>
    </row>
    <row r="126" spans="15:21" ht="12.75">
      <c r="O126" s="881"/>
      <c r="P126" s="881"/>
      <c r="Q126" s="881"/>
      <c r="R126" s="882"/>
      <c r="S126" s="882"/>
      <c r="T126" s="882"/>
      <c r="U126" s="652"/>
    </row>
    <row r="127" spans="15:21" ht="12.75">
      <c r="O127" s="881"/>
      <c r="P127" s="881"/>
      <c r="Q127" s="881"/>
      <c r="R127" s="882"/>
      <c r="S127" s="882"/>
      <c r="T127" s="882"/>
      <c r="U127" s="652"/>
    </row>
    <row r="128" spans="15:21" ht="12.75">
      <c r="O128" s="881"/>
      <c r="P128" s="881"/>
      <c r="Q128" s="881"/>
      <c r="R128" s="882"/>
      <c r="S128" s="882"/>
      <c r="T128" s="882"/>
      <c r="U128" s="652"/>
    </row>
    <row r="129" spans="15:21" ht="12.75">
      <c r="O129" s="881"/>
      <c r="P129" s="881"/>
      <c r="Q129" s="881"/>
      <c r="R129" s="882"/>
      <c r="S129" s="882"/>
      <c r="T129" s="882"/>
      <c r="U129" s="652"/>
    </row>
    <row r="130" spans="15:21" ht="12.75">
      <c r="O130" s="881"/>
      <c r="P130" s="881"/>
      <c r="Q130" s="881"/>
      <c r="R130" s="882"/>
      <c r="S130" s="882"/>
      <c r="T130" s="882"/>
      <c r="U130" s="652"/>
    </row>
    <row r="131" spans="15:21">
      <c r="O131" s="857"/>
      <c r="P131" s="857"/>
      <c r="Q131" s="883"/>
      <c r="R131" s="883"/>
      <c r="S131" s="883"/>
      <c r="T131" s="883"/>
    </row>
  </sheetData>
  <sheetProtection password="B8D9" sheet="1" objects="1" scenarios="1"/>
  <sortState ref="A4:U32">
    <sortCondition ref="U4:U32"/>
  </sortState>
  <mergeCells count="7">
    <mergeCell ref="A1:A2"/>
    <mergeCell ref="B1:H1"/>
    <mergeCell ref="O1:P1"/>
    <mergeCell ref="Q1:R1"/>
    <mergeCell ref="S1:T1"/>
    <mergeCell ref="E2:F2"/>
    <mergeCell ref="G2:H2"/>
  </mergeCells>
  <conditionalFormatting sqref="A3:A32">
    <cfRule type="expression" dxfId="29" priority="4" stopIfTrue="1">
      <formula>N3=-1</formula>
    </cfRule>
    <cfRule type="expression" dxfId="28" priority="5" stopIfTrue="1">
      <formula>N3=0</formula>
    </cfRule>
    <cfRule type="expression" dxfId="27" priority="6" stopIfTrue="1">
      <formula>N3=1</formula>
    </cfRule>
  </conditionalFormatting>
  <pageMargins left="0.70866141732283472" right="0.70866141732283472" top="0.74803149606299213" bottom="0.74803149606299213" header="0.31496062992125984" footer="0.31496062992125984"/>
  <pageSetup paperSize="9" scale="15"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25.xml><?xml version="1.0" encoding="utf-8"?>
<worksheet xmlns="http://schemas.openxmlformats.org/spreadsheetml/2006/main" xmlns:r="http://schemas.openxmlformats.org/officeDocument/2006/relationships">
  <sheetPr codeName="Sheet8">
    <pageSetUpPr fitToPage="1"/>
  </sheetPr>
  <dimension ref="B1:U36"/>
  <sheetViews>
    <sheetView workbookViewId="0"/>
  </sheetViews>
  <sheetFormatPr defaultRowHeight="12.75"/>
  <cols>
    <col min="1" max="1" width="1.7109375" style="2" customWidth="1"/>
    <col min="2" max="16384" width="9.140625" style="2"/>
  </cols>
  <sheetData>
    <row r="1" spans="2:21">
      <c r="B1" s="969" t="s">
        <v>758</v>
      </c>
      <c r="C1" s="969"/>
      <c r="D1" s="969"/>
      <c r="E1" s="969"/>
      <c r="F1" s="969"/>
      <c r="G1" s="969"/>
      <c r="H1" s="969"/>
      <c r="I1" s="969"/>
      <c r="J1" s="969"/>
      <c r="K1" s="969"/>
      <c r="L1" s="969"/>
      <c r="M1" s="969"/>
      <c r="N1" s="969"/>
      <c r="O1" s="985" t="s">
        <v>45</v>
      </c>
    </row>
    <row r="2" spans="2:21">
      <c r="B2" s="969"/>
      <c r="C2" s="969"/>
      <c r="D2" s="969"/>
      <c r="E2" s="969"/>
      <c r="F2" s="969"/>
      <c r="G2" s="969"/>
      <c r="H2" s="969"/>
      <c r="I2" s="969"/>
      <c r="J2" s="969"/>
      <c r="K2" s="969"/>
      <c r="L2" s="969"/>
      <c r="M2" s="969"/>
      <c r="N2" s="969"/>
      <c r="O2" s="985"/>
    </row>
    <row r="3" spans="2:21">
      <c r="B3" s="208" t="s">
        <v>759</v>
      </c>
      <c r="O3" s="985"/>
    </row>
    <row r="4" spans="2:21" ht="30" customHeight="1">
      <c r="B4" s="996" t="s">
        <v>748</v>
      </c>
      <c r="C4" s="996"/>
      <c r="D4" s="996"/>
      <c r="E4" s="996"/>
      <c r="F4" s="996"/>
      <c r="G4" s="996"/>
      <c r="H4" s="996"/>
      <c r="I4" s="996"/>
      <c r="J4" s="996"/>
      <c r="K4" s="996"/>
      <c r="L4" s="996"/>
      <c r="M4" s="996"/>
      <c r="N4" s="996"/>
      <c r="O4" s="985"/>
    </row>
    <row r="6" spans="2:21">
      <c r="O6" s="1005" t="s">
        <v>413</v>
      </c>
      <c r="P6" s="1005"/>
    </row>
    <row r="12" spans="2:21" ht="15">
      <c r="O12" s="818"/>
      <c r="P12" s="818"/>
      <c r="Q12" s="818"/>
      <c r="R12" s="818"/>
      <c r="S12" s="818"/>
      <c r="T12" s="818"/>
      <c r="U12"/>
    </row>
    <row r="13" spans="2:21" ht="15">
      <c r="O13" s="819"/>
      <c r="P13" s="343"/>
      <c r="Q13" s="343"/>
      <c r="R13" s="343"/>
      <c r="S13" s="343"/>
      <c r="T13" s="343"/>
      <c r="U13"/>
    </row>
    <row r="14" spans="2:21" ht="15">
      <c r="O14" s="819"/>
      <c r="P14" s="343"/>
      <c r="Q14" s="343"/>
      <c r="R14" s="343"/>
      <c r="S14" s="343"/>
      <c r="T14" s="343"/>
      <c r="U14"/>
    </row>
    <row r="15" spans="2:21" ht="15">
      <c r="O15" s="819"/>
      <c r="P15" s="343"/>
      <c r="Q15" s="343"/>
      <c r="R15" s="343"/>
      <c r="S15" s="343"/>
      <c r="T15" s="343"/>
      <c r="U15"/>
    </row>
    <row r="16" spans="2:21" ht="15">
      <c r="O16" s="819"/>
      <c r="P16" s="343"/>
      <c r="Q16" s="343"/>
      <c r="R16" s="343"/>
      <c r="S16" s="343"/>
      <c r="T16" s="343"/>
      <c r="U16"/>
    </row>
    <row r="17" spans="2:20" ht="15">
      <c r="O17" s="343"/>
      <c r="P17" s="343" t="s">
        <v>627</v>
      </c>
      <c r="Q17" s="343"/>
      <c r="R17" s="343"/>
      <c r="S17" s="343"/>
      <c r="T17" s="343"/>
    </row>
    <row r="18" spans="2:20">
      <c r="O18" s="818"/>
      <c r="P18" s="818"/>
      <c r="Q18" s="818"/>
      <c r="R18" s="818"/>
      <c r="S18" s="818"/>
      <c r="T18" s="818"/>
    </row>
    <row r="31" spans="2:20" ht="15">
      <c r="B31" s="202" t="s">
        <v>399</v>
      </c>
      <c r="C31" s="203"/>
      <c r="D31" s="204"/>
      <c r="E31" s="204"/>
      <c r="F31" s="204"/>
      <c r="G31" s="204"/>
      <c r="H31" s="204"/>
      <c r="I31" s="204"/>
      <c r="J31" s="203"/>
    </row>
    <row r="32" spans="2:20" s="414" customFormat="1" ht="15">
      <c r="B32" s="205" t="s">
        <v>596</v>
      </c>
      <c r="C32" s="203"/>
      <c r="D32" s="204"/>
      <c r="E32" s="204"/>
      <c r="F32" s="204"/>
      <c r="G32" s="204"/>
      <c r="H32" s="204"/>
      <c r="I32" s="204"/>
      <c r="J32" s="203"/>
    </row>
    <row r="33" spans="2:14" s="414" customFormat="1" ht="15">
      <c r="B33" s="205" t="s">
        <v>597</v>
      </c>
      <c r="C33" s="203"/>
      <c r="D33" s="204"/>
      <c r="E33" s="204"/>
      <c r="F33" s="204"/>
      <c r="G33" s="204"/>
      <c r="H33" s="204"/>
      <c r="I33" s="204"/>
      <c r="J33" s="203"/>
    </row>
    <row r="34" spans="2:14" s="414" customFormat="1">
      <c r="B34" s="1004" t="s">
        <v>291</v>
      </c>
      <c r="C34" s="1004"/>
      <c r="D34" s="1004"/>
      <c r="E34" s="1004"/>
      <c r="F34" s="1004"/>
      <c r="G34" s="1004"/>
      <c r="H34" s="1004"/>
      <c r="I34" s="1004"/>
      <c r="J34" s="1004"/>
      <c r="K34" s="1004"/>
      <c r="L34" s="1004"/>
      <c r="M34" s="1004"/>
      <c r="N34" s="1004"/>
    </row>
    <row r="35" spans="2:14" s="414" customFormat="1">
      <c r="B35" s="1004"/>
      <c r="C35" s="1004"/>
      <c r="D35" s="1004"/>
      <c r="E35" s="1004"/>
      <c r="F35" s="1004"/>
      <c r="G35" s="1004"/>
      <c r="H35" s="1004"/>
      <c r="I35" s="1004"/>
      <c r="J35" s="1004"/>
      <c r="K35" s="1004"/>
      <c r="L35" s="1004"/>
      <c r="M35" s="1004"/>
      <c r="N35" s="1004"/>
    </row>
    <row r="36" spans="2:14" s="784" customFormat="1" ht="15">
      <c r="B36" s="205" t="s">
        <v>756</v>
      </c>
      <c r="C36" s="203"/>
      <c r="D36" s="204"/>
      <c r="E36" s="204"/>
      <c r="F36" s="204"/>
      <c r="G36" s="204"/>
      <c r="H36" s="204"/>
      <c r="I36" s="204"/>
      <c r="J36" s="203"/>
    </row>
  </sheetData>
  <sheetProtection password="B8D9" sheet="1" objects="1" scenarios="1"/>
  <mergeCells count="5">
    <mergeCell ref="O1:O4"/>
    <mergeCell ref="B34:N35"/>
    <mergeCell ref="O6:P6"/>
    <mergeCell ref="B1:N2"/>
    <mergeCell ref="B4:N4"/>
  </mergeCells>
  <hyperlinks>
    <hyperlink ref="O1" location="'List of Tables &amp; Charts'!A1" display="return to List of Tables &amp; Charts"/>
    <hyperlink ref="O6:P6" location="'Chart 2b DATA'!A1" display="view Chart 2b data"/>
  </hyperlinks>
  <pageMargins left="0.70866141732283472" right="0.70866141732283472" top="0.74803149606299213" bottom="0.74803149606299213" header="0.31496062992125984" footer="0.31496062992125984"/>
  <pageSetup paperSize="9" scale="83"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26.xml><?xml version="1.0" encoding="utf-8"?>
<worksheet xmlns="http://schemas.openxmlformats.org/spreadsheetml/2006/main" xmlns:r="http://schemas.openxmlformats.org/officeDocument/2006/relationships">
  <sheetPr codeName="Sheet9">
    <pageSetUpPr fitToPage="1"/>
  </sheetPr>
  <dimension ref="A1:W132"/>
  <sheetViews>
    <sheetView workbookViewId="0">
      <selection sqref="A1:A2"/>
    </sheetView>
  </sheetViews>
  <sheetFormatPr defaultRowHeight="11.25"/>
  <cols>
    <col min="1" max="1" width="15.7109375" style="207" customWidth="1"/>
    <col min="2" max="8" width="9.140625" style="207"/>
    <col min="9" max="14" width="9.7109375" style="207" customWidth="1"/>
    <col min="15" max="15" width="10.42578125" style="207" bestFit="1" customWidth="1"/>
    <col min="16" max="16" width="45.7109375" style="207" customWidth="1"/>
    <col min="17" max="20" width="11.7109375" style="310" customWidth="1"/>
    <col min="21" max="16384" width="9.140625" style="207"/>
  </cols>
  <sheetData>
    <row r="1" spans="1:21" ht="15" customHeight="1">
      <c r="A1" s="988" t="s">
        <v>25</v>
      </c>
      <c r="B1" s="1001" t="s">
        <v>42</v>
      </c>
      <c r="C1" s="991"/>
      <c r="D1" s="991"/>
      <c r="E1" s="991"/>
      <c r="F1" s="991"/>
      <c r="G1" s="991"/>
      <c r="H1" s="991"/>
      <c r="I1" s="290"/>
      <c r="J1" s="316"/>
      <c r="K1" s="316"/>
      <c r="L1" s="291"/>
      <c r="M1" s="291"/>
      <c r="N1" s="291"/>
      <c r="O1" s="992" t="s">
        <v>20</v>
      </c>
      <c r="P1" s="993"/>
      <c r="Q1" s="992">
        <v>2015</v>
      </c>
      <c r="R1" s="992"/>
      <c r="S1" s="992">
        <v>2016</v>
      </c>
      <c r="T1" s="992"/>
    </row>
    <row r="2" spans="1:21" ht="23.25" customHeight="1">
      <c r="A2" s="989"/>
      <c r="B2" s="292" t="s">
        <v>438</v>
      </c>
      <c r="C2" s="292" t="s">
        <v>586</v>
      </c>
      <c r="D2" s="293" t="s">
        <v>21</v>
      </c>
      <c r="E2" s="994" t="s">
        <v>449</v>
      </c>
      <c r="F2" s="994"/>
      <c r="G2" s="994" t="s">
        <v>587</v>
      </c>
      <c r="H2" s="995"/>
      <c r="I2" s="294" t="s">
        <v>446</v>
      </c>
      <c r="J2" s="295" t="s">
        <v>589</v>
      </c>
      <c r="K2" s="295" t="s">
        <v>22</v>
      </c>
      <c r="L2" s="297" t="s">
        <v>16</v>
      </c>
      <c r="M2" s="297" t="s">
        <v>15</v>
      </c>
      <c r="N2" s="298" t="s">
        <v>23</v>
      </c>
      <c r="O2" s="299" t="s">
        <v>24</v>
      </c>
      <c r="P2" s="300" t="s">
        <v>25</v>
      </c>
      <c r="Q2" s="300" t="s">
        <v>26</v>
      </c>
      <c r="R2" s="300" t="s">
        <v>27</v>
      </c>
      <c r="S2" s="300" t="s">
        <v>26</v>
      </c>
      <c r="T2" s="300" t="s">
        <v>27</v>
      </c>
      <c r="U2" s="856" t="s">
        <v>792</v>
      </c>
    </row>
    <row r="3" spans="1:21" ht="12">
      <c r="A3" s="301" t="str">
        <f t="shared" ref="A3:A32" si="0">O3</f>
        <v>Scotland</v>
      </c>
      <c r="B3" s="302">
        <f t="shared" ref="B3" si="1">Q3/R3*100</f>
        <v>0.42379073505772319</v>
      </c>
      <c r="C3" s="302">
        <f t="shared" ref="C3" si="2">S3/T3*100</f>
        <v>71.65745073018573</v>
      </c>
      <c r="D3" s="302">
        <f>100</f>
        <v>100</v>
      </c>
      <c r="E3" s="16">
        <f t="shared" ref="E3" si="3">SUM(1*MID(I3,1,FIND(" - ",I3)-1))</f>
        <v>0</v>
      </c>
      <c r="F3" s="303">
        <f t="shared" ref="F3" si="4">SUM(1*MID(I3,FIND(" - ",I3)+2,LEN(I3)))</f>
        <v>1</v>
      </c>
      <c r="G3" s="303">
        <f t="shared" ref="G3" si="5">SUM(1*MID(J3,1,FIND(" - ",J3)-1))</f>
        <v>71</v>
      </c>
      <c r="H3" s="303">
        <f t="shared" ref="H3" si="6">SUM(1*MID(J3,FIND(" - ",J3)+2,LEN(J3)))</f>
        <v>73</v>
      </c>
      <c r="I3" s="304"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0 - 1</v>
      </c>
      <c r="J3" s="305"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71 - 73</v>
      </c>
      <c r="K3" s="306">
        <f t="shared" ref="K3" si="9">C3-B3</f>
        <v>71.233659995128008</v>
      </c>
      <c r="L3" s="314">
        <f t="shared" ref="L3" si="10">((S3/T3)-(Q3/R3))-(NORMSINV(1-(0.05/COUNTA($O$3:$O$32)))*(SQRT((((Q3/R3)*(1-(Q3/R3)))/R3)+(((S3/T3)*(1-(S3/T3)))/T3))))</f>
        <v>0.69641810169542839</v>
      </c>
      <c r="M3" s="314">
        <f t="shared" ref="M3" si="11">((S3/T3)-(Q3/R3))+(NORMSINV(1-(0.05/COUNTA($O$3:$O$32)))*(SQRT((((Q3/R3)*(1-(Q3/R3)))/R3)+(((S3/T3)*(1-(S3/T3)))/T3))))</f>
        <v>0.72825509820713175</v>
      </c>
      <c r="N3" s="308">
        <f t="shared" ref="N3" si="12">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1</v>
      </c>
      <c r="O3" s="301" t="str">
        <f t="shared" ref="O3" si="13">VLOOKUP(P3,Hospitals,3,FALSE)</f>
        <v>Scotland</v>
      </c>
      <c r="P3" s="301" t="s">
        <v>280</v>
      </c>
      <c r="Q3" s="403">
        <f>SUM(Q4:Q32)</f>
        <v>29</v>
      </c>
      <c r="R3" s="403">
        <f t="shared" ref="R3:T3" si="14">SUM(R4:R32)</f>
        <v>6843</v>
      </c>
      <c r="S3" s="403">
        <f t="shared" si="14"/>
        <v>5054</v>
      </c>
      <c r="T3" s="403">
        <f t="shared" si="14"/>
        <v>7053</v>
      </c>
      <c r="U3" s="856">
        <v>0</v>
      </c>
    </row>
    <row r="4" spans="1:21" ht="12">
      <c r="A4" s="301" t="str">
        <f t="shared" si="0"/>
        <v>Caithness</v>
      </c>
      <c r="B4" s="302">
        <f t="shared" ref="B4:B21" si="15">Q4/R4*100</f>
        <v>0</v>
      </c>
      <c r="C4" s="302">
        <f t="shared" ref="C4:C32" si="16">S4/T4*100</f>
        <v>88.888888888888886</v>
      </c>
      <c r="D4" s="303">
        <f>100</f>
        <v>100</v>
      </c>
      <c r="E4" s="303">
        <f t="shared" ref="E4:E32" si="17">SUM(1*MID(I4,1,FIND(" - ",I4)-1))</f>
        <v>0</v>
      </c>
      <c r="F4" s="303">
        <f t="shared" ref="F4:F32" si="18">SUM(1*MID(I4,FIND(" - ",I4)+2,LEN(I4)))</f>
        <v>6</v>
      </c>
      <c r="G4" s="303">
        <f t="shared" ref="G4:G32" si="19">SUM(1*MID(J4,1,FIND(" - ",J4)-1))</f>
        <v>77</v>
      </c>
      <c r="H4" s="303">
        <f t="shared" ref="H4:H32" si="20">SUM(1*MID(J4,FIND(" - ",J4)+2,LEN(J4)))</f>
        <v>95</v>
      </c>
      <c r="I4" s="309" t="str">
        <f t="shared" ref="I4:I21" si="21">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0 - 6</v>
      </c>
      <c r="J4" s="305" t="str">
        <f t="shared" ref="J4:J32" si="22">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77 - 95</v>
      </c>
      <c r="K4" s="306">
        <f t="shared" ref="K4:K32" si="23">C4-B4</f>
        <v>88.888888888888886</v>
      </c>
      <c r="L4" s="314">
        <f t="shared" ref="L4:L21" si="24">((S4/T4)-(Q4/R4))-(NORMSINV(1-(0.05/COUNTA($O$3:$O$32)))*(SQRT((((Q4/R4)*(1-(Q4/R4)))/R4)+(((S4/T4)*(1-(S4/T4)))/T4))))</f>
        <v>0.75137902654021893</v>
      </c>
      <c r="M4" s="314">
        <f t="shared" ref="M4:M21" si="25">((S4/T4)-(Q4/R4))+(NORMSINV(1-(0.05/COUNTA($O$3:$O$32)))*(SQRT((((Q4/R4)*(1-(Q4/R4)))/R4)+(((S4/T4)*(1-(S4/T4)))/T4))))</f>
        <v>1.0263987512375587</v>
      </c>
      <c r="N4" s="308">
        <f t="shared" ref="N4:N21" si="26">IF(ISERR(IF(AND(((S4/T4)-(Q4/R4))-(NORMSINV(1-(0.05/COUNTA($P$3:$P$32)))*(SQRT((((Q4/R4)*(1-(Q4/R4)))/R4)+(((S4/T4)*(1-(S4/T4)))/T4))))&gt;0,((S4/T4)-(Q4/R4))+(NORMSINV(1-(0.05/COUNTA($P$3:$P$32)))*(SQRT((((Q4/R4)*(1-(Q4/R4)))/R4)+(((S4/T4)*(1-(S4/T4)))/T4))))&gt;0),1,IF(AND(((S4/T4)-(Q4/R4))-(NORMSINV(1-(0.05/COUNTA($P$3:$P$32)))*(SQRT((((Q4/R4)*(1-(Q4/R4)))/R4)+(((S4/T4)*(1-(S4/T4)))/T4))))&lt;0,((S4/T4)-(Q4/R4))+(NORMSINV(1-(0.05/COUNTA($P$3:$P$32)))*(SQRT((((Q4/R4)*(1-(Q4/R4)))/R4)+(((S4/T4)*(1-(S4/T4)))/T4))))&lt;0),-1,0))),"",IF(AND(((S4/T4)-(Q4/R4))-(NORMSINV(1-(0.05/COUNTA($P$3:$P$32)))*(SQRT((((Q4/R4)*(1-(Q4/R4)))/R4)+(((S4/T4)*(1-(S4/T4)))/T4))))&gt;0,((S4/T4)-(Q4/R4))+(NORMSINV(1-(0.05/COUNTA($P$3:$P$32)))*(SQRT((((Q4/R4)*(1-(Q4/R4)))/R4)+(((S4/T4)*(1-(S4/T4)))/T4))))&gt;0),1,IF(AND(((S4/T4)-(Q4/R4))-(NORMSINV(1-(0.05/COUNTA($P$3:$P$32)))*(SQRT((((Q4/R4)*(1-(Q4/R4)))/R4)+(((S4/T4)*(1-(S4/T4)))/T4))))&lt;0,((S4/T4)-(Q4/R4))+(NORMSINV(1-(0.05/COUNTA($P$3:$P$32)))*(SQRT((((Q4/R4)*(1-(Q4/R4)))/R4)+(((S4/T4)*(1-(S4/T4)))/T4))))&lt;0),-1,0)))</f>
        <v>1</v>
      </c>
      <c r="O4" s="301" t="str">
        <f t="shared" ref="O4:O32" si="27">VLOOKUP(P4,Hospitals,3,FALSE)</f>
        <v>Caithness</v>
      </c>
      <c r="P4" s="301" t="s">
        <v>91</v>
      </c>
      <c r="Q4" s="403">
        <v>0</v>
      </c>
      <c r="R4" s="403">
        <v>56</v>
      </c>
      <c r="S4" s="403">
        <v>40</v>
      </c>
      <c r="T4" s="403">
        <v>45</v>
      </c>
      <c r="U4" s="856">
        <v>1</v>
      </c>
    </row>
    <row r="5" spans="1:21" ht="12">
      <c r="A5" s="301" t="str">
        <f t="shared" si="0"/>
        <v>L&amp;I</v>
      </c>
      <c r="B5" s="302">
        <f t="shared" si="15"/>
        <v>0</v>
      </c>
      <c r="C5" s="302">
        <f t="shared" si="16"/>
        <v>87.2340425531915</v>
      </c>
      <c r="D5" s="303">
        <f>100</f>
        <v>100</v>
      </c>
      <c r="E5" s="303">
        <f t="shared" si="17"/>
        <v>0</v>
      </c>
      <c r="F5" s="303">
        <f t="shared" si="18"/>
        <v>11</v>
      </c>
      <c r="G5" s="303">
        <f t="shared" si="19"/>
        <v>75</v>
      </c>
      <c r="H5" s="303">
        <f t="shared" si="20"/>
        <v>94</v>
      </c>
      <c r="I5" s="309" t="str">
        <f t="shared" si="21"/>
        <v>0 - 11</v>
      </c>
      <c r="J5" s="305" t="str">
        <f t="shared" si="22"/>
        <v>75 - 94</v>
      </c>
      <c r="K5" s="306">
        <f t="shared" si="23"/>
        <v>87.2340425531915</v>
      </c>
      <c r="L5" s="314">
        <f t="shared" si="24"/>
        <v>0.729464720388593</v>
      </c>
      <c r="M5" s="314">
        <f t="shared" si="25"/>
        <v>1.0152161306752367</v>
      </c>
      <c r="N5" s="308">
        <f t="shared" si="26"/>
        <v>1</v>
      </c>
      <c r="O5" s="301" t="str">
        <f t="shared" si="27"/>
        <v>L&amp;I</v>
      </c>
      <c r="P5" s="301" t="s">
        <v>94</v>
      </c>
      <c r="Q5" s="403">
        <v>0</v>
      </c>
      <c r="R5" s="403">
        <v>30</v>
      </c>
      <c r="S5" s="403">
        <v>41</v>
      </c>
      <c r="T5" s="403">
        <v>47</v>
      </c>
      <c r="U5" s="856">
        <v>2</v>
      </c>
    </row>
    <row r="6" spans="1:21" ht="12">
      <c r="A6" s="301" t="str">
        <f t="shared" si="0"/>
        <v>Borders</v>
      </c>
      <c r="B6" s="302">
        <f t="shared" si="15"/>
        <v>0.6211180124223602</v>
      </c>
      <c r="C6" s="302">
        <f t="shared" si="16"/>
        <v>84.472049689440993</v>
      </c>
      <c r="D6" s="303">
        <f>100</f>
        <v>100</v>
      </c>
      <c r="E6" s="303">
        <f t="shared" si="17"/>
        <v>0</v>
      </c>
      <c r="F6" s="303">
        <f t="shared" si="18"/>
        <v>3</v>
      </c>
      <c r="G6" s="303">
        <f t="shared" si="19"/>
        <v>78</v>
      </c>
      <c r="H6" s="303">
        <f t="shared" si="20"/>
        <v>89</v>
      </c>
      <c r="I6" s="309" t="str">
        <f t="shared" si="21"/>
        <v>0 - 3</v>
      </c>
      <c r="J6" s="305" t="str">
        <f t="shared" si="22"/>
        <v>78 - 89</v>
      </c>
      <c r="K6" s="306">
        <f t="shared" si="23"/>
        <v>83.850931677018636</v>
      </c>
      <c r="L6" s="314">
        <f t="shared" si="24"/>
        <v>0.75278109703428031</v>
      </c>
      <c r="M6" s="314">
        <f t="shared" si="25"/>
        <v>0.92423753650609242</v>
      </c>
      <c r="N6" s="308">
        <f t="shared" si="26"/>
        <v>1</v>
      </c>
      <c r="O6" s="301" t="str">
        <f t="shared" si="27"/>
        <v>Borders</v>
      </c>
      <c r="P6" s="301" t="s">
        <v>62</v>
      </c>
      <c r="Q6" s="403">
        <v>1</v>
      </c>
      <c r="R6" s="403">
        <v>161</v>
      </c>
      <c r="S6" s="403">
        <v>136</v>
      </c>
      <c r="T6" s="403">
        <v>161</v>
      </c>
      <c r="U6" s="856">
        <v>3</v>
      </c>
    </row>
    <row r="7" spans="1:21" ht="12">
      <c r="A7" s="301" t="str">
        <f t="shared" si="0"/>
        <v>VHK</v>
      </c>
      <c r="B7" s="302">
        <f t="shared" si="15"/>
        <v>1.5590200445434299</v>
      </c>
      <c r="C7" s="302">
        <f t="shared" si="16"/>
        <v>83.232323232323239</v>
      </c>
      <c r="D7" s="303">
        <f>100</f>
        <v>100</v>
      </c>
      <c r="E7" s="303">
        <f t="shared" si="17"/>
        <v>1</v>
      </c>
      <c r="F7" s="303">
        <f t="shared" si="18"/>
        <v>3</v>
      </c>
      <c r="G7" s="303">
        <f t="shared" si="19"/>
        <v>80</v>
      </c>
      <c r="H7" s="303">
        <f t="shared" si="20"/>
        <v>86</v>
      </c>
      <c r="I7" s="309" t="str">
        <f t="shared" si="21"/>
        <v>1 - 3</v>
      </c>
      <c r="J7" s="305" t="str">
        <f t="shared" si="22"/>
        <v>80 - 86</v>
      </c>
      <c r="K7" s="306">
        <f t="shared" si="23"/>
        <v>81.673303187779808</v>
      </c>
      <c r="L7" s="314">
        <f t="shared" si="24"/>
        <v>0.76454565710412814</v>
      </c>
      <c r="M7" s="314">
        <f t="shared" si="25"/>
        <v>0.86892040665146808</v>
      </c>
      <c r="N7" s="308">
        <f t="shared" si="26"/>
        <v>1</v>
      </c>
      <c r="O7" s="301" t="str">
        <f t="shared" si="27"/>
        <v>VHK</v>
      </c>
      <c r="P7" s="301" t="s">
        <v>281</v>
      </c>
      <c r="Q7" s="403">
        <v>7</v>
      </c>
      <c r="R7" s="403">
        <v>449</v>
      </c>
      <c r="S7" s="403">
        <v>412</v>
      </c>
      <c r="T7" s="403">
        <v>495</v>
      </c>
      <c r="U7" s="856">
        <v>4</v>
      </c>
    </row>
    <row r="8" spans="1:21" ht="12">
      <c r="A8" s="301" t="str">
        <f t="shared" si="0"/>
        <v>Crosshouse</v>
      </c>
      <c r="B8" s="302">
        <f t="shared" si="15"/>
        <v>0.3289473684210526</v>
      </c>
      <c r="C8" s="302">
        <f t="shared" si="16"/>
        <v>82.78145695364239</v>
      </c>
      <c r="D8" s="303">
        <f>100</f>
        <v>100</v>
      </c>
      <c r="E8" s="303">
        <f t="shared" si="17"/>
        <v>0</v>
      </c>
      <c r="F8" s="303">
        <f t="shared" si="18"/>
        <v>2</v>
      </c>
      <c r="G8" s="303">
        <f t="shared" si="19"/>
        <v>80</v>
      </c>
      <c r="H8" s="303">
        <f t="shared" si="20"/>
        <v>86</v>
      </c>
      <c r="I8" s="309" t="str">
        <f t="shared" si="21"/>
        <v>0 - 2</v>
      </c>
      <c r="J8" s="305" t="str">
        <f t="shared" si="22"/>
        <v>80 - 86</v>
      </c>
      <c r="K8" s="306">
        <f t="shared" si="23"/>
        <v>82.452509585221335</v>
      </c>
      <c r="L8" s="314">
        <f t="shared" si="24"/>
        <v>0.77841588118184213</v>
      </c>
      <c r="M8" s="314">
        <f t="shared" si="25"/>
        <v>0.87063431052258455</v>
      </c>
      <c r="N8" s="308">
        <f t="shared" si="26"/>
        <v>1</v>
      </c>
      <c r="O8" s="301" t="str">
        <f t="shared" si="27"/>
        <v>Crosshouse</v>
      </c>
      <c r="P8" s="301" t="s">
        <v>59</v>
      </c>
      <c r="Q8" s="403">
        <v>1</v>
      </c>
      <c r="R8" s="403">
        <v>304</v>
      </c>
      <c r="S8" s="403">
        <v>500</v>
      </c>
      <c r="T8" s="403">
        <v>604</v>
      </c>
      <c r="U8" s="856">
        <v>5</v>
      </c>
    </row>
    <row r="9" spans="1:21" ht="12">
      <c r="A9" s="301" t="str">
        <f t="shared" si="0"/>
        <v>Raigmore</v>
      </c>
      <c r="B9" s="302">
        <f t="shared" si="15"/>
        <v>0.35211267605633806</v>
      </c>
      <c r="C9" s="302">
        <f t="shared" si="16"/>
        <v>81.512605042016801</v>
      </c>
      <c r="D9" s="303">
        <f>100</f>
        <v>100</v>
      </c>
      <c r="E9" s="303">
        <f t="shared" si="17"/>
        <v>0</v>
      </c>
      <c r="F9" s="303">
        <f t="shared" si="18"/>
        <v>2</v>
      </c>
      <c r="G9" s="303">
        <f t="shared" si="19"/>
        <v>76</v>
      </c>
      <c r="H9" s="303">
        <f t="shared" si="20"/>
        <v>86</v>
      </c>
      <c r="I9" s="309" t="str">
        <f t="shared" si="21"/>
        <v>0 - 2</v>
      </c>
      <c r="J9" s="305" t="str">
        <f t="shared" si="22"/>
        <v>76 - 86</v>
      </c>
      <c r="K9" s="306">
        <f t="shared" si="23"/>
        <v>81.160492365960465</v>
      </c>
      <c r="L9" s="314">
        <f t="shared" si="24"/>
        <v>0.73702951926504645</v>
      </c>
      <c r="M9" s="314">
        <f t="shared" si="25"/>
        <v>0.88618032805416291</v>
      </c>
      <c r="N9" s="308">
        <f t="shared" si="26"/>
        <v>1</v>
      </c>
      <c r="O9" s="301" t="str">
        <f t="shared" si="27"/>
        <v>Raigmore</v>
      </c>
      <c r="P9" s="301" t="s">
        <v>97</v>
      </c>
      <c r="Q9" s="403">
        <v>1</v>
      </c>
      <c r="R9" s="403">
        <v>284</v>
      </c>
      <c r="S9" s="403">
        <v>194</v>
      </c>
      <c r="T9" s="403">
        <v>238</v>
      </c>
      <c r="U9" s="856">
        <v>6</v>
      </c>
    </row>
    <row r="10" spans="1:21" ht="12">
      <c r="A10" s="301" t="str">
        <f t="shared" si="0"/>
        <v>Dr Grays</v>
      </c>
      <c r="B10" s="302">
        <f t="shared" si="15"/>
        <v>1.0638297872340425</v>
      </c>
      <c r="C10" s="302">
        <f t="shared" si="16"/>
        <v>80.952380952380949</v>
      </c>
      <c r="D10" s="303">
        <f>100</f>
        <v>100</v>
      </c>
      <c r="E10" s="303">
        <f t="shared" si="17"/>
        <v>0</v>
      </c>
      <c r="F10" s="303">
        <f t="shared" si="18"/>
        <v>6</v>
      </c>
      <c r="G10" s="303">
        <f t="shared" si="19"/>
        <v>72</v>
      </c>
      <c r="H10" s="303">
        <f t="shared" si="20"/>
        <v>87</v>
      </c>
      <c r="I10" s="309" t="str">
        <f t="shared" si="21"/>
        <v>0 - 6</v>
      </c>
      <c r="J10" s="305" t="str">
        <f t="shared" si="22"/>
        <v>72 - 87</v>
      </c>
      <c r="K10" s="306">
        <f t="shared" si="23"/>
        <v>79.888551165146907</v>
      </c>
      <c r="L10" s="314">
        <f t="shared" si="24"/>
        <v>0.6821954273938039</v>
      </c>
      <c r="M10" s="314">
        <f t="shared" si="25"/>
        <v>0.9155755959091344</v>
      </c>
      <c r="N10" s="308">
        <f t="shared" si="26"/>
        <v>1</v>
      </c>
      <c r="O10" s="301" t="str">
        <f t="shared" si="27"/>
        <v>Dr Grays</v>
      </c>
      <c r="P10" s="301" t="s">
        <v>76</v>
      </c>
      <c r="Q10" s="403">
        <v>1</v>
      </c>
      <c r="R10" s="403">
        <v>94</v>
      </c>
      <c r="S10" s="403">
        <v>85</v>
      </c>
      <c r="T10" s="403">
        <v>105</v>
      </c>
      <c r="U10" s="856">
        <v>7</v>
      </c>
    </row>
    <row r="11" spans="1:21" ht="12">
      <c r="A11" s="301" t="str">
        <f t="shared" si="0"/>
        <v>Ninewells</v>
      </c>
      <c r="B11" s="302">
        <f t="shared" si="15"/>
        <v>0</v>
      </c>
      <c r="C11" s="302">
        <f t="shared" si="16"/>
        <v>76.470588235294116</v>
      </c>
      <c r="D11" s="303">
        <f>100</f>
        <v>100</v>
      </c>
      <c r="E11" s="303">
        <f t="shared" si="17"/>
        <v>0</v>
      </c>
      <c r="F11" s="303">
        <f t="shared" si="18"/>
        <v>1</v>
      </c>
      <c r="G11" s="303">
        <f t="shared" si="19"/>
        <v>72</v>
      </c>
      <c r="H11" s="303">
        <f t="shared" si="20"/>
        <v>80</v>
      </c>
      <c r="I11" s="309" t="str">
        <f t="shared" si="21"/>
        <v>0 - 1</v>
      </c>
      <c r="J11" s="305" t="str">
        <f t="shared" si="22"/>
        <v>72 - 80</v>
      </c>
      <c r="K11" s="306">
        <f t="shared" si="23"/>
        <v>76.470588235294116</v>
      </c>
      <c r="L11" s="314">
        <f t="shared" si="24"/>
        <v>0.70032534910763533</v>
      </c>
      <c r="M11" s="314">
        <f t="shared" si="25"/>
        <v>0.82908641559824692</v>
      </c>
      <c r="N11" s="308">
        <f t="shared" si="26"/>
        <v>1</v>
      </c>
      <c r="O11" s="301" t="str">
        <f t="shared" si="27"/>
        <v>Ninewells</v>
      </c>
      <c r="P11" s="301" t="s">
        <v>123</v>
      </c>
      <c r="Q11" s="403">
        <v>0</v>
      </c>
      <c r="R11" s="403">
        <v>345</v>
      </c>
      <c r="S11" s="403">
        <v>286</v>
      </c>
      <c r="T11" s="403">
        <v>374</v>
      </c>
      <c r="U11" s="856">
        <v>8</v>
      </c>
    </row>
    <row r="12" spans="1:21" ht="12">
      <c r="A12" s="301" t="str">
        <f t="shared" si="0"/>
        <v>FVRH</v>
      </c>
      <c r="B12" s="302">
        <f t="shared" si="15"/>
        <v>0.23696682464454977</v>
      </c>
      <c r="C12" s="302">
        <f t="shared" si="16"/>
        <v>75.81047381546135</v>
      </c>
      <c r="D12" s="303">
        <f>100</f>
        <v>100</v>
      </c>
      <c r="E12" s="303">
        <f t="shared" si="17"/>
        <v>0</v>
      </c>
      <c r="F12" s="303">
        <f t="shared" si="18"/>
        <v>1</v>
      </c>
      <c r="G12" s="303">
        <f t="shared" si="19"/>
        <v>71</v>
      </c>
      <c r="H12" s="303">
        <f t="shared" si="20"/>
        <v>80</v>
      </c>
      <c r="I12" s="309" t="str">
        <f t="shared" si="21"/>
        <v>0 - 1</v>
      </c>
      <c r="J12" s="305" t="str">
        <f t="shared" si="22"/>
        <v>71 - 80</v>
      </c>
      <c r="K12" s="306">
        <f t="shared" si="23"/>
        <v>75.573506990816796</v>
      </c>
      <c r="L12" s="314">
        <f t="shared" si="24"/>
        <v>0.69258299976357129</v>
      </c>
      <c r="M12" s="314">
        <f t="shared" si="25"/>
        <v>0.81888714005276464</v>
      </c>
      <c r="N12" s="308">
        <f t="shared" si="26"/>
        <v>1</v>
      </c>
      <c r="O12" s="301" t="str">
        <f t="shared" si="27"/>
        <v>FVRH</v>
      </c>
      <c r="P12" s="301" t="s">
        <v>72</v>
      </c>
      <c r="Q12" s="403">
        <v>1</v>
      </c>
      <c r="R12" s="403">
        <v>422</v>
      </c>
      <c r="S12" s="403">
        <v>304</v>
      </c>
      <c r="T12" s="403">
        <v>401</v>
      </c>
      <c r="U12" s="856">
        <v>9</v>
      </c>
    </row>
    <row r="13" spans="1:21" ht="12">
      <c r="A13" s="301" t="str">
        <f t="shared" si="0"/>
        <v>WGH</v>
      </c>
      <c r="B13" s="302">
        <f t="shared" si="15"/>
        <v>0.57803468208092479</v>
      </c>
      <c r="C13" s="302">
        <f t="shared" si="16"/>
        <v>75.138121546961329</v>
      </c>
      <c r="D13" s="303">
        <f>100</f>
        <v>100</v>
      </c>
      <c r="E13" s="303">
        <f t="shared" si="17"/>
        <v>0</v>
      </c>
      <c r="F13" s="303">
        <f t="shared" si="18"/>
        <v>3</v>
      </c>
      <c r="G13" s="303">
        <f t="shared" si="19"/>
        <v>68</v>
      </c>
      <c r="H13" s="303">
        <f t="shared" si="20"/>
        <v>81</v>
      </c>
      <c r="I13" s="309" t="str">
        <f t="shared" si="21"/>
        <v>0 - 3</v>
      </c>
      <c r="J13" s="305" t="str">
        <f t="shared" si="22"/>
        <v>68 - 81</v>
      </c>
      <c r="K13" s="306">
        <f t="shared" si="23"/>
        <v>74.560086864880404</v>
      </c>
      <c r="L13" s="314">
        <f t="shared" si="24"/>
        <v>0.64979887057499741</v>
      </c>
      <c r="M13" s="314">
        <f t="shared" si="25"/>
        <v>0.84140286672261044</v>
      </c>
      <c r="N13" s="308">
        <f t="shared" si="26"/>
        <v>1</v>
      </c>
      <c r="O13" s="301" t="str">
        <f t="shared" si="27"/>
        <v>WGH</v>
      </c>
      <c r="P13" s="301" t="s">
        <v>114</v>
      </c>
      <c r="Q13" s="403">
        <v>1</v>
      </c>
      <c r="R13" s="403">
        <v>173</v>
      </c>
      <c r="S13" s="403">
        <v>136</v>
      </c>
      <c r="T13" s="403">
        <v>181</v>
      </c>
      <c r="U13" s="856">
        <v>10</v>
      </c>
    </row>
    <row r="14" spans="1:21" ht="12">
      <c r="A14" s="301" t="str">
        <f t="shared" si="0"/>
        <v>RIE</v>
      </c>
      <c r="B14" s="302">
        <f t="shared" si="15"/>
        <v>0</v>
      </c>
      <c r="C14" s="302">
        <f t="shared" si="16"/>
        <v>73.852573018080676</v>
      </c>
      <c r="D14" s="303">
        <f>100</f>
        <v>100</v>
      </c>
      <c r="E14" s="303">
        <f t="shared" si="17"/>
        <v>0</v>
      </c>
      <c r="F14" s="303">
        <f t="shared" si="18"/>
        <v>1</v>
      </c>
      <c r="G14" s="303">
        <f t="shared" si="19"/>
        <v>71</v>
      </c>
      <c r="H14" s="303">
        <f t="shared" si="20"/>
        <v>77</v>
      </c>
      <c r="I14" s="309" t="str">
        <f t="shared" si="21"/>
        <v>0 - 1</v>
      </c>
      <c r="J14" s="305" t="str">
        <f t="shared" si="22"/>
        <v>71 - 77</v>
      </c>
      <c r="K14" s="306">
        <f t="shared" si="23"/>
        <v>73.852573018080676</v>
      </c>
      <c r="L14" s="314">
        <f t="shared" si="24"/>
        <v>0.69042291767086694</v>
      </c>
      <c r="M14" s="314">
        <f t="shared" si="25"/>
        <v>0.78662854269074645</v>
      </c>
      <c r="N14" s="308">
        <f t="shared" si="26"/>
        <v>1</v>
      </c>
      <c r="O14" s="301" t="str">
        <f t="shared" si="27"/>
        <v>RIE</v>
      </c>
      <c r="P14" s="301" t="s">
        <v>108</v>
      </c>
      <c r="Q14" s="403">
        <v>0</v>
      </c>
      <c r="R14" s="403">
        <v>718</v>
      </c>
      <c r="S14" s="403">
        <v>531</v>
      </c>
      <c r="T14" s="403">
        <v>719</v>
      </c>
      <c r="U14" s="856">
        <v>11</v>
      </c>
    </row>
    <row r="15" spans="1:21" ht="12">
      <c r="A15" s="301" t="str">
        <f t="shared" si="0"/>
        <v>Hairmyres</v>
      </c>
      <c r="B15" s="302">
        <f t="shared" si="15"/>
        <v>0</v>
      </c>
      <c r="C15" s="302">
        <f t="shared" si="16"/>
        <v>73.443983402489636</v>
      </c>
      <c r="D15" s="303">
        <f>100</f>
        <v>100</v>
      </c>
      <c r="E15" s="303">
        <f t="shared" si="17"/>
        <v>0</v>
      </c>
      <c r="F15" s="303">
        <f t="shared" si="18"/>
        <v>2</v>
      </c>
      <c r="G15" s="303">
        <f t="shared" si="19"/>
        <v>68</v>
      </c>
      <c r="H15" s="303">
        <f t="shared" si="20"/>
        <v>79</v>
      </c>
      <c r="I15" s="309" t="str">
        <f t="shared" si="21"/>
        <v>0 - 2</v>
      </c>
      <c r="J15" s="305" t="str">
        <f t="shared" si="22"/>
        <v>68 - 79</v>
      </c>
      <c r="K15" s="306">
        <f t="shared" si="23"/>
        <v>73.443983402489636</v>
      </c>
      <c r="L15" s="314">
        <f t="shared" si="24"/>
        <v>0.65093941084899776</v>
      </c>
      <c r="M15" s="314">
        <f t="shared" si="25"/>
        <v>0.81794025720079488</v>
      </c>
      <c r="N15" s="308">
        <f t="shared" si="26"/>
        <v>1</v>
      </c>
      <c r="O15" s="301" t="str">
        <f t="shared" si="27"/>
        <v>Hairmyres</v>
      </c>
      <c r="P15" s="301" t="s">
        <v>100</v>
      </c>
      <c r="Q15" s="403">
        <v>0</v>
      </c>
      <c r="R15" s="403">
        <v>235</v>
      </c>
      <c r="S15" s="403">
        <v>177</v>
      </c>
      <c r="T15" s="403">
        <v>241</v>
      </c>
      <c r="U15" s="856">
        <v>12</v>
      </c>
    </row>
    <row r="16" spans="1:21" ht="12">
      <c r="A16" s="301" t="str">
        <f t="shared" si="0"/>
        <v>ARI</v>
      </c>
      <c r="B16" s="302">
        <f t="shared" si="15"/>
        <v>1.7647058823529411</v>
      </c>
      <c r="C16" s="302">
        <f t="shared" si="16"/>
        <v>72.07392197125256</v>
      </c>
      <c r="D16" s="303">
        <f>100</f>
        <v>100</v>
      </c>
      <c r="E16" s="303">
        <f t="shared" si="17"/>
        <v>1</v>
      </c>
      <c r="F16" s="303">
        <f t="shared" si="18"/>
        <v>3</v>
      </c>
      <c r="G16" s="303">
        <f t="shared" si="19"/>
        <v>68</v>
      </c>
      <c r="H16" s="303">
        <f t="shared" si="20"/>
        <v>76</v>
      </c>
      <c r="I16" s="309" t="str">
        <f t="shared" si="21"/>
        <v>1 - 3</v>
      </c>
      <c r="J16" s="305" t="str">
        <f t="shared" si="22"/>
        <v>68 - 76</v>
      </c>
      <c r="K16" s="306">
        <f t="shared" si="23"/>
        <v>70.309216088899618</v>
      </c>
      <c r="L16" s="314">
        <f t="shared" si="24"/>
        <v>0.64101526030017675</v>
      </c>
      <c r="M16" s="314">
        <f t="shared" si="25"/>
        <v>0.7651690614778156</v>
      </c>
      <c r="N16" s="308">
        <f t="shared" si="26"/>
        <v>1</v>
      </c>
      <c r="O16" s="301" t="str">
        <f t="shared" si="27"/>
        <v>ARI</v>
      </c>
      <c r="P16" s="301" t="s">
        <v>74</v>
      </c>
      <c r="Q16" s="403">
        <v>9</v>
      </c>
      <c r="R16" s="403">
        <v>510</v>
      </c>
      <c r="S16" s="403">
        <v>351</v>
      </c>
      <c r="T16" s="403">
        <v>487</v>
      </c>
      <c r="U16" s="856">
        <v>13</v>
      </c>
    </row>
    <row r="17" spans="1:21" ht="12">
      <c r="A17" s="301" t="str">
        <f t="shared" si="0"/>
        <v>SJH</v>
      </c>
      <c r="B17" s="302">
        <f t="shared" si="15"/>
        <v>0</v>
      </c>
      <c r="C17" s="302">
        <f t="shared" si="16"/>
        <v>71.921182266009851</v>
      </c>
      <c r="D17" s="303">
        <f>100</f>
        <v>100</v>
      </c>
      <c r="E17" s="303">
        <f t="shared" si="17"/>
        <v>0</v>
      </c>
      <c r="F17" s="303">
        <f t="shared" si="18"/>
        <v>2</v>
      </c>
      <c r="G17" s="303">
        <f t="shared" si="19"/>
        <v>65</v>
      </c>
      <c r="H17" s="303">
        <f t="shared" si="20"/>
        <v>78</v>
      </c>
      <c r="I17" s="309" t="str">
        <f t="shared" si="21"/>
        <v>0 - 2</v>
      </c>
      <c r="J17" s="305" t="str">
        <f t="shared" si="22"/>
        <v>65 - 78</v>
      </c>
      <c r="K17" s="306">
        <f t="shared" si="23"/>
        <v>71.921182266009851</v>
      </c>
      <c r="L17" s="314">
        <f t="shared" si="24"/>
        <v>0.62663390265995245</v>
      </c>
      <c r="M17" s="314">
        <f t="shared" si="25"/>
        <v>0.81178974266024462</v>
      </c>
      <c r="N17" s="308">
        <f t="shared" si="26"/>
        <v>1</v>
      </c>
      <c r="O17" s="301" t="str">
        <f t="shared" si="27"/>
        <v>SJH</v>
      </c>
      <c r="P17" s="301" t="s">
        <v>111</v>
      </c>
      <c r="Q17" s="403">
        <v>0</v>
      </c>
      <c r="R17" s="403">
        <v>191</v>
      </c>
      <c r="S17" s="403">
        <v>146</v>
      </c>
      <c r="T17" s="403">
        <v>203</v>
      </c>
      <c r="U17" s="856">
        <v>14</v>
      </c>
    </row>
    <row r="18" spans="1:21" ht="12">
      <c r="A18" s="301" t="str">
        <f t="shared" si="0"/>
        <v>RAH</v>
      </c>
      <c r="B18" s="302">
        <f t="shared" si="15"/>
        <v>0</v>
      </c>
      <c r="C18" s="302">
        <f t="shared" si="16"/>
        <v>71.785714285714292</v>
      </c>
      <c r="D18" s="303">
        <f>100</f>
        <v>100</v>
      </c>
      <c r="E18" s="303">
        <f t="shared" si="17"/>
        <v>0</v>
      </c>
      <c r="F18" s="303">
        <f t="shared" si="18"/>
        <v>1</v>
      </c>
      <c r="G18" s="303">
        <f t="shared" si="19"/>
        <v>66</v>
      </c>
      <c r="H18" s="303">
        <f t="shared" si="20"/>
        <v>77</v>
      </c>
      <c r="I18" s="309" t="str">
        <f t="shared" si="21"/>
        <v>0 - 1</v>
      </c>
      <c r="J18" s="305" t="str">
        <f t="shared" si="22"/>
        <v>66 - 77</v>
      </c>
      <c r="K18" s="306">
        <f t="shared" si="23"/>
        <v>71.785714285714292</v>
      </c>
      <c r="L18" s="314">
        <f t="shared" si="24"/>
        <v>0.63891441169410146</v>
      </c>
      <c r="M18" s="314">
        <f t="shared" si="25"/>
        <v>0.79679987402018426</v>
      </c>
      <c r="N18" s="308">
        <f t="shared" si="26"/>
        <v>1</v>
      </c>
      <c r="O18" s="301" t="str">
        <f t="shared" si="27"/>
        <v>RAH</v>
      </c>
      <c r="P18" s="301" t="s">
        <v>84</v>
      </c>
      <c r="Q18" s="403">
        <v>0</v>
      </c>
      <c r="R18" s="403">
        <v>267</v>
      </c>
      <c r="S18" s="403">
        <v>201</v>
      </c>
      <c r="T18" s="403">
        <v>280</v>
      </c>
      <c r="U18" s="856">
        <v>15</v>
      </c>
    </row>
    <row r="19" spans="1:21" ht="12">
      <c r="A19" s="301" t="str">
        <f t="shared" si="0"/>
        <v>PRI</v>
      </c>
      <c r="B19" s="302">
        <f t="shared" si="15"/>
        <v>0</v>
      </c>
      <c r="C19" s="302">
        <f t="shared" si="16"/>
        <v>70.285714285714278</v>
      </c>
      <c r="D19" s="303">
        <f>100</f>
        <v>100</v>
      </c>
      <c r="E19" s="303">
        <f t="shared" si="17"/>
        <v>0</v>
      </c>
      <c r="F19" s="303">
        <f t="shared" si="18"/>
        <v>3</v>
      </c>
      <c r="G19" s="303">
        <f t="shared" si="19"/>
        <v>63</v>
      </c>
      <c r="H19" s="303">
        <f t="shared" si="20"/>
        <v>77</v>
      </c>
      <c r="I19" s="309" t="str">
        <f t="shared" si="21"/>
        <v>0 - 3</v>
      </c>
      <c r="J19" s="305" t="str">
        <f t="shared" si="22"/>
        <v>63 - 77</v>
      </c>
      <c r="K19" s="306">
        <f t="shared" si="23"/>
        <v>70.285714285714278</v>
      </c>
      <c r="L19" s="314">
        <f t="shared" si="24"/>
        <v>0.6014578854043322</v>
      </c>
      <c r="M19" s="314">
        <f t="shared" si="25"/>
        <v>0.80425640030995349</v>
      </c>
      <c r="N19" s="308">
        <f t="shared" si="26"/>
        <v>1</v>
      </c>
      <c r="O19" s="301" t="str">
        <f t="shared" si="27"/>
        <v>PRI</v>
      </c>
      <c r="P19" s="301" t="s">
        <v>126</v>
      </c>
      <c r="Q19" s="403">
        <v>0</v>
      </c>
      <c r="R19" s="403">
        <v>143</v>
      </c>
      <c r="S19" s="403">
        <v>123</v>
      </c>
      <c r="T19" s="403">
        <v>175</v>
      </c>
      <c r="U19" s="856">
        <v>16</v>
      </c>
    </row>
    <row r="20" spans="1:21" ht="12">
      <c r="A20" s="301" t="str">
        <f t="shared" si="0"/>
        <v>IRH</v>
      </c>
      <c r="B20" s="302">
        <f t="shared" si="15"/>
        <v>0</v>
      </c>
      <c r="C20" s="302">
        <f t="shared" si="16"/>
        <v>69.655172413793096</v>
      </c>
      <c r="D20" s="303">
        <f>100</f>
        <v>100</v>
      </c>
      <c r="E20" s="303">
        <f t="shared" si="17"/>
        <v>0</v>
      </c>
      <c r="F20" s="303">
        <f t="shared" si="18"/>
        <v>2</v>
      </c>
      <c r="G20" s="303">
        <f t="shared" si="19"/>
        <v>62</v>
      </c>
      <c r="H20" s="303">
        <f t="shared" si="20"/>
        <v>77</v>
      </c>
      <c r="I20" s="309" t="str">
        <f t="shared" si="21"/>
        <v>0 - 2</v>
      </c>
      <c r="J20" s="305" t="str">
        <f t="shared" si="22"/>
        <v>62 - 77</v>
      </c>
      <c r="K20" s="306">
        <f t="shared" si="23"/>
        <v>69.655172413793096</v>
      </c>
      <c r="L20" s="314">
        <f t="shared" si="24"/>
        <v>0.58448604124075876</v>
      </c>
      <c r="M20" s="314">
        <f t="shared" si="25"/>
        <v>0.80861740703510321</v>
      </c>
      <c r="N20" s="308">
        <f t="shared" si="26"/>
        <v>1</v>
      </c>
      <c r="O20" s="301" t="str">
        <f t="shared" si="27"/>
        <v>IRH</v>
      </c>
      <c r="P20" s="301" t="s">
        <v>81</v>
      </c>
      <c r="Q20" s="403">
        <v>0</v>
      </c>
      <c r="R20" s="403">
        <v>167</v>
      </c>
      <c r="S20" s="403">
        <v>101</v>
      </c>
      <c r="T20" s="403">
        <v>145</v>
      </c>
      <c r="U20" s="856">
        <v>17</v>
      </c>
    </row>
    <row r="21" spans="1:21" ht="12">
      <c r="A21" s="301" t="str">
        <f t="shared" si="0"/>
        <v>DGRI</v>
      </c>
      <c r="B21" s="302">
        <f t="shared" si="15"/>
        <v>0</v>
      </c>
      <c r="C21" s="302">
        <f t="shared" si="16"/>
        <v>67.948717948717956</v>
      </c>
      <c r="D21" s="303">
        <f>100</f>
        <v>100</v>
      </c>
      <c r="E21" s="303">
        <f t="shared" si="17"/>
        <v>0</v>
      </c>
      <c r="F21" s="303">
        <f t="shared" si="18"/>
        <v>2</v>
      </c>
      <c r="G21" s="303">
        <f t="shared" si="19"/>
        <v>60</v>
      </c>
      <c r="H21" s="303">
        <f t="shared" si="20"/>
        <v>75</v>
      </c>
      <c r="I21" s="309" t="str">
        <f t="shared" si="21"/>
        <v>0 - 2</v>
      </c>
      <c r="J21" s="305" t="str">
        <f t="shared" si="22"/>
        <v>60 - 75</v>
      </c>
      <c r="K21" s="306">
        <f t="shared" si="23"/>
        <v>67.948717948717956</v>
      </c>
      <c r="L21" s="314">
        <f t="shared" si="24"/>
        <v>0.569816973942188</v>
      </c>
      <c r="M21" s="314">
        <f t="shared" si="25"/>
        <v>0.78915738503217103</v>
      </c>
      <c r="N21" s="308">
        <f t="shared" si="26"/>
        <v>1</v>
      </c>
      <c r="O21" s="301" t="str">
        <f t="shared" si="27"/>
        <v>DGRI</v>
      </c>
      <c r="P21" s="301" t="s">
        <v>64</v>
      </c>
      <c r="Q21" s="403">
        <v>0</v>
      </c>
      <c r="R21" s="403">
        <v>181</v>
      </c>
      <c r="S21" s="403">
        <v>106</v>
      </c>
      <c r="T21" s="403">
        <v>156</v>
      </c>
      <c r="U21" s="856">
        <v>18</v>
      </c>
    </row>
    <row r="22" spans="1:21" ht="12">
      <c r="A22" s="301" t="str">
        <f t="shared" si="0"/>
        <v>Belford</v>
      </c>
      <c r="B22" s="302" t="e">
        <f>#REF!/R22*100</f>
        <v>#REF!</v>
      </c>
      <c r="C22" s="302">
        <f t="shared" si="16"/>
        <v>65.384615384615387</v>
      </c>
      <c r="D22" s="303">
        <f>100</f>
        <v>100</v>
      </c>
      <c r="E22" s="303" t="e">
        <f t="shared" si="17"/>
        <v>#REF!</v>
      </c>
      <c r="F22" s="303" t="e">
        <f t="shared" si="18"/>
        <v>#REF!</v>
      </c>
      <c r="G22" s="303">
        <f t="shared" si="19"/>
        <v>46</v>
      </c>
      <c r="H22" s="303">
        <f t="shared" si="20"/>
        <v>81</v>
      </c>
      <c r="I22" s="309" t="e">
        <f>IF(AND(R22&gt;0,ROUND(SUM(100*((2*#REF!+1.96^2)-(1.96*(SQRT(1.96^2+4*#REF!*(1-(#REF!/R22))))))/(2*(R22+1.96^2))),0)&lt;0),CONCATENATE(SUM(1*0)," - ",ROUND(SUM(100*((2*#REF!+1.96^2)+(1.96*(SQRT(1.96^2+4*#REF!*(1-(#REF!/R22))))))/(2*(R22+1.96^2))),0)),IF(AND(R22&gt;0,ROUND(SUM(100*((2*#REF!+1.96^2)-(1.96*(SQRT(1.96^2+4*#REF!*(1-(#REF!/R22))))))/(2*(R22+1.96^2))),0)&gt;=0),CONCATENATE(ROUND(SUM(100*((2*#REF!+1.96^2)-(1.96*(SQRT(1.96^2+4*#REF!*(1-(#REF!/R22))))))/(2*(R22+1.96^2))),0)," - ",ROUND(SUM(100*((2*#REF!+1.96^2)+(1.96*(SQRT(1.96^2+4*#REF!*(1-(#REF!/R22))))))/(2*(R22+1.96^2))),0)),""))</f>
        <v>#REF!</v>
      </c>
      <c r="J22" s="305" t="str">
        <f t="shared" si="22"/>
        <v>46 - 81</v>
      </c>
      <c r="K22" s="306" t="e">
        <f t="shared" si="23"/>
        <v>#REF!</v>
      </c>
      <c r="L22" s="314" t="e">
        <f>((S22/T22)-(#REF!/R22))-(NORMSINV(1-(0.05/COUNTA($O$3:$O$32)))*(SQRT((((#REF!/R22)*(1-(#REF!/R22)))/R22)+(((S22/T22)*(1-(S22/T22)))/T22))))</f>
        <v>#REF!</v>
      </c>
      <c r="M22" s="314" t="e">
        <f>((S22/T22)-(#REF!/R22))+(NORMSINV(1-(0.05/COUNTA($O$3:$O$32)))*(SQRT((((#REF!/R22)*(1-(#REF!/R22)))/R22)+(((S22/T22)*(1-(S22/T22)))/T22))))</f>
        <v>#REF!</v>
      </c>
      <c r="N22" s="308" t="str">
        <f>IF(ISERR(IF(AND(((S22/T22)-(#REF!/R22))-(NORMSINV(1-(0.05/COUNTA($P$3:$P$32)))*(SQRT((((#REF!/R22)*(1-(#REF!/R22)))/R22)+(((S22/T22)*(1-(S22/T22)))/T22))))&gt;0,((S22/T22)-(#REF!/R22))+(NORMSINV(1-(0.05/COUNTA($P$3:$P$32)))*(SQRT((((#REF!/R22)*(1-(#REF!/R22)))/R22)+(((S22/T22)*(1-(S22/T22)))/T22))))&gt;0),1,IF(AND(((S22/T22)-(#REF!/R22))-(NORMSINV(1-(0.05/COUNTA($P$3:$P$32)))*(SQRT((((#REF!/R22)*(1-(#REF!/R22)))/R22)+(((S22/T22)*(1-(S22/T22)))/T22))))&lt;0,((S22/T22)-(#REF!/R22))+(NORMSINV(1-(0.05/COUNTA($P$3:$P$32)))*(SQRT((((#REF!/R22)*(1-(#REF!/R22)))/R22)+(((S22/T22)*(1-(S22/T22)))/T22))))&lt;0),-1,0))),"",IF(AND(((S22/T22)-(#REF!/R22))-(NORMSINV(1-(0.05/COUNTA($P$3:$P$32)))*(SQRT((((#REF!/R22)*(1-(#REF!/R22)))/R22)+(((S22/T22)*(1-(S22/T22)))/T22))))&gt;0,((S22/T22)-(#REF!/R22))+(NORMSINV(1-(0.05/COUNTA($P$3:$P$32)))*(SQRT((((#REF!/R22)*(1-(#REF!/R22)))/R22)+(((S22/T22)*(1-(S22/T22)))/T22))))&gt;0),1,IF(AND(((S22/T22)-(#REF!/R22))-(NORMSINV(1-(0.05/COUNTA($P$3:$P$32)))*(SQRT((((#REF!/R22)*(1-(#REF!/R22)))/R22)+(((S22/T22)*(1-(S22/T22)))/T22))))&lt;0,((S22/T22)-(#REF!/R22))+(NORMSINV(1-(0.05/COUNTA($P$3:$P$32)))*(SQRT((((#REF!/R22)*(1-(#REF!/R22)))/R22)+(((S22/T22)*(1-(S22/T22)))/T22))))&lt;0),-1,0)))</f>
        <v/>
      </c>
      <c r="O22" s="301" t="str">
        <f t="shared" si="27"/>
        <v>Belford</v>
      </c>
      <c r="P22" s="301" t="s">
        <v>88</v>
      </c>
      <c r="Q22" s="403">
        <v>0</v>
      </c>
      <c r="R22" s="403">
        <v>22</v>
      </c>
      <c r="S22" s="403">
        <v>17</v>
      </c>
      <c r="T22" s="403">
        <v>26</v>
      </c>
      <c r="U22" s="856">
        <v>19</v>
      </c>
    </row>
    <row r="23" spans="1:21" ht="12">
      <c r="A23" s="301" t="str">
        <f t="shared" si="0"/>
        <v>Monklands</v>
      </c>
      <c r="B23" s="302">
        <f t="shared" ref="B23:B31" si="28">Q23/R23*100</f>
        <v>0</v>
      </c>
      <c r="C23" s="302">
        <f t="shared" si="16"/>
        <v>62.5</v>
      </c>
      <c r="D23" s="303">
        <f>100</f>
        <v>100</v>
      </c>
      <c r="E23" s="303">
        <f t="shared" si="17"/>
        <v>0</v>
      </c>
      <c r="F23" s="303">
        <f t="shared" si="18"/>
        <v>2</v>
      </c>
      <c r="G23" s="303">
        <f t="shared" si="19"/>
        <v>56</v>
      </c>
      <c r="H23" s="303">
        <f t="shared" si="20"/>
        <v>69</v>
      </c>
      <c r="I23" s="309" t="str">
        <f t="shared" ref="I23:I31" si="29">IF(AND(R23&gt;0,ROUND(SUM(100*((2*Q23+1.96^2)-(1.96*(SQRT(1.96^2+4*Q23*(1-(Q23/R23))))))/(2*(R23+1.96^2))),0)&lt;0),CONCATENATE(SUM(1*0)," - ",ROUND(SUM(100*((2*Q23+1.96^2)+(1.96*(SQRT(1.96^2+4*Q23*(1-(Q23/R23))))))/(2*(R23+1.96^2))),0)),IF(AND(R23&gt;0,ROUND(SUM(100*((2*Q23+1.96^2)-(1.96*(SQRT(1.96^2+4*Q23*(1-(Q23/R23))))))/(2*(R23+1.96^2))),0)&gt;=0),CONCATENATE(ROUND(SUM(100*((2*Q23+1.96^2)-(1.96*(SQRT(1.96^2+4*Q23*(1-(Q23/R23))))))/(2*(R23+1.96^2))),0)," - ",ROUND(SUM(100*((2*Q23+1.96^2)+(1.96*(SQRT(1.96^2+4*Q23*(1-(Q23/R23))))))/(2*(R23+1.96^2))),0)),""))</f>
        <v>0 - 2</v>
      </c>
      <c r="J23" s="305" t="str">
        <f t="shared" si="22"/>
        <v>56 - 69</v>
      </c>
      <c r="K23" s="306">
        <f t="shared" si="23"/>
        <v>62.5</v>
      </c>
      <c r="L23" s="314">
        <f t="shared" ref="L23:L31" si="30">((S23/T23)-(Q23/R23))-(NORMSINV(1-(0.05/COUNTA($O$3:$O$32)))*(SQRT((((Q23/R23)*(1-(Q23/R23)))/R23)+(((S23/T23)*(1-(S23/T23)))/T23))))</f>
        <v>0.53005562203445922</v>
      </c>
      <c r="M23" s="314">
        <f t="shared" ref="M23:M31" si="31">((S23/T23)-(Q23/R23))+(NORMSINV(1-(0.05/COUNTA($O$3:$O$32)))*(SQRT((((Q23/R23)*(1-(Q23/R23)))/R23)+(((S23/T23)*(1-(S23/T23)))/T23))))</f>
        <v>0.71994437796554078</v>
      </c>
      <c r="N23" s="308">
        <f t="shared" ref="N23:N31" si="32">IF(ISERR(IF(AND(((S23/T23)-(Q23/R23))-(NORMSINV(1-(0.05/COUNTA($P$3:$P$32)))*(SQRT((((Q23/R23)*(1-(Q23/R23)))/R23)+(((S23/T23)*(1-(S23/T23)))/T23))))&gt;0,((S23/T23)-(Q23/R23))+(NORMSINV(1-(0.05/COUNTA($P$3:$P$32)))*(SQRT((((Q23/R23)*(1-(Q23/R23)))/R23)+(((S23/T23)*(1-(S23/T23)))/T23))))&gt;0),1,IF(AND(((S23/T23)-(Q23/R23))-(NORMSINV(1-(0.05/COUNTA($P$3:$P$32)))*(SQRT((((Q23/R23)*(1-(Q23/R23)))/R23)+(((S23/T23)*(1-(S23/T23)))/T23))))&lt;0,((S23/T23)-(Q23/R23))+(NORMSINV(1-(0.05/COUNTA($P$3:$P$32)))*(SQRT((((Q23/R23)*(1-(Q23/R23)))/R23)+(((S23/T23)*(1-(S23/T23)))/T23))))&lt;0),-1,0))),"",IF(AND(((S23/T23)-(Q23/R23))-(NORMSINV(1-(0.05/COUNTA($P$3:$P$32)))*(SQRT((((Q23/R23)*(1-(Q23/R23)))/R23)+(((S23/T23)*(1-(S23/T23)))/T23))))&gt;0,((S23/T23)-(Q23/R23))+(NORMSINV(1-(0.05/COUNTA($P$3:$P$32)))*(SQRT((((Q23/R23)*(1-(Q23/R23)))/R23)+(((S23/T23)*(1-(S23/T23)))/T23))))&gt;0),1,IF(AND(((S23/T23)-(Q23/R23))-(NORMSINV(1-(0.05/COUNTA($P$3:$P$32)))*(SQRT((((Q23/R23)*(1-(Q23/R23)))/R23)+(((S23/T23)*(1-(S23/T23)))/T23))))&lt;0,((S23/T23)-(Q23/R23))+(NORMSINV(1-(0.05/COUNTA($P$3:$P$32)))*(SQRT((((Q23/R23)*(1-(Q23/R23)))/R23)+(((S23/T23)*(1-(S23/T23)))/T23))))&lt;0),-1,0)))</f>
        <v>1</v>
      </c>
      <c r="O23" s="301" t="str">
        <f t="shared" si="27"/>
        <v>Monklands</v>
      </c>
      <c r="P23" s="301" t="s">
        <v>103</v>
      </c>
      <c r="Q23" s="403">
        <v>0</v>
      </c>
      <c r="R23" s="403">
        <v>245</v>
      </c>
      <c r="S23" s="403">
        <v>140</v>
      </c>
      <c r="T23" s="403">
        <v>224</v>
      </c>
      <c r="U23" s="856">
        <v>20</v>
      </c>
    </row>
    <row r="24" spans="1:21" ht="12">
      <c r="A24" s="301" t="str">
        <f t="shared" si="0"/>
        <v>Balfour</v>
      </c>
      <c r="B24" s="302">
        <f t="shared" si="28"/>
        <v>0</v>
      </c>
      <c r="C24" s="302">
        <f t="shared" si="16"/>
        <v>61.53846153846154</v>
      </c>
      <c r="D24" s="303">
        <f>100</f>
        <v>100</v>
      </c>
      <c r="E24" s="303">
        <f t="shared" si="17"/>
        <v>0</v>
      </c>
      <c r="F24" s="303">
        <f t="shared" si="18"/>
        <v>12</v>
      </c>
      <c r="G24" s="303">
        <f t="shared" si="19"/>
        <v>43</v>
      </c>
      <c r="H24" s="303">
        <f t="shared" si="20"/>
        <v>78</v>
      </c>
      <c r="I24" s="309" t="str">
        <f t="shared" si="29"/>
        <v>0 - 12</v>
      </c>
      <c r="J24" s="305" t="str">
        <f t="shared" si="22"/>
        <v>43 - 78</v>
      </c>
      <c r="K24" s="306">
        <f t="shared" si="23"/>
        <v>61.53846153846154</v>
      </c>
      <c r="L24" s="314">
        <f t="shared" si="30"/>
        <v>0.33533331762518082</v>
      </c>
      <c r="M24" s="314">
        <f t="shared" si="31"/>
        <v>0.89543591314405002</v>
      </c>
      <c r="N24" s="308">
        <f t="shared" si="32"/>
        <v>1</v>
      </c>
      <c r="O24" s="301" t="str">
        <f t="shared" si="27"/>
        <v>Balfour</v>
      </c>
      <c r="P24" s="301" t="s">
        <v>117</v>
      </c>
      <c r="Q24" s="403">
        <v>0</v>
      </c>
      <c r="R24" s="403">
        <v>27</v>
      </c>
      <c r="S24" s="403">
        <v>16</v>
      </c>
      <c r="T24" s="403">
        <v>26</v>
      </c>
      <c r="U24" s="856">
        <v>21</v>
      </c>
    </row>
    <row r="25" spans="1:21" ht="12">
      <c r="A25" s="301" t="str">
        <f t="shared" si="0"/>
        <v>QEUH</v>
      </c>
      <c r="B25" s="302">
        <f t="shared" si="28"/>
        <v>0.5714285714285714</v>
      </c>
      <c r="C25" s="302">
        <f t="shared" si="16"/>
        <v>60.854893138357703</v>
      </c>
      <c r="D25" s="303">
        <f>100</f>
        <v>100</v>
      </c>
      <c r="E25" s="303">
        <f t="shared" si="17"/>
        <v>0</v>
      </c>
      <c r="F25" s="303">
        <f t="shared" si="18"/>
        <v>1</v>
      </c>
      <c r="G25" s="303">
        <f t="shared" si="19"/>
        <v>58</v>
      </c>
      <c r="H25" s="303">
        <f t="shared" si="20"/>
        <v>64</v>
      </c>
      <c r="I25" s="309" t="str">
        <f t="shared" si="29"/>
        <v>0 - 1</v>
      </c>
      <c r="J25" s="305" t="str">
        <f t="shared" si="22"/>
        <v>58 - 64</v>
      </c>
      <c r="K25" s="306">
        <f t="shared" si="23"/>
        <v>60.283464566929133</v>
      </c>
      <c r="L25" s="314">
        <f t="shared" si="30"/>
        <v>0.55420820763542689</v>
      </c>
      <c r="M25" s="314">
        <f t="shared" si="31"/>
        <v>0.65146108370315581</v>
      </c>
      <c r="N25" s="308">
        <f t="shared" si="32"/>
        <v>1</v>
      </c>
      <c r="O25" s="301" t="str">
        <f t="shared" si="27"/>
        <v>QEUH</v>
      </c>
      <c r="P25" s="301" t="s">
        <v>447</v>
      </c>
      <c r="Q25" s="403">
        <v>5</v>
      </c>
      <c r="R25" s="403">
        <v>875</v>
      </c>
      <c r="S25" s="403">
        <v>541</v>
      </c>
      <c r="T25" s="403">
        <v>889</v>
      </c>
      <c r="U25" s="856">
        <v>22</v>
      </c>
    </row>
    <row r="26" spans="1:21" ht="12">
      <c r="A26" s="301" t="str">
        <f t="shared" si="0"/>
        <v>GRI</v>
      </c>
      <c r="B26" s="302">
        <f t="shared" si="28"/>
        <v>0.5</v>
      </c>
      <c r="C26" s="302">
        <f t="shared" si="16"/>
        <v>59.243697478991599</v>
      </c>
      <c r="D26" s="303">
        <f>100</f>
        <v>100</v>
      </c>
      <c r="E26" s="303">
        <f t="shared" si="17"/>
        <v>0</v>
      </c>
      <c r="F26" s="303">
        <f t="shared" si="18"/>
        <v>2</v>
      </c>
      <c r="G26" s="303">
        <f t="shared" si="19"/>
        <v>55</v>
      </c>
      <c r="H26" s="303">
        <f t="shared" si="20"/>
        <v>64</v>
      </c>
      <c r="I26" s="309" t="str">
        <f t="shared" si="29"/>
        <v>0 - 2</v>
      </c>
      <c r="J26" s="305" t="str">
        <f t="shared" si="22"/>
        <v>55 - 64</v>
      </c>
      <c r="K26" s="306">
        <f t="shared" si="23"/>
        <v>58.743697478991599</v>
      </c>
      <c r="L26" s="314">
        <f t="shared" si="30"/>
        <v>0.52052364794568118</v>
      </c>
      <c r="M26" s="314">
        <f t="shared" si="31"/>
        <v>0.65435030163415075</v>
      </c>
      <c r="N26" s="308">
        <f t="shared" si="32"/>
        <v>1</v>
      </c>
      <c r="O26" s="301" t="str">
        <f t="shared" si="27"/>
        <v>GRI</v>
      </c>
      <c r="P26" s="301" t="s">
        <v>79</v>
      </c>
      <c r="Q26" s="403">
        <v>2</v>
      </c>
      <c r="R26" s="403">
        <v>400</v>
      </c>
      <c r="S26" s="403">
        <v>282</v>
      </c>
      <c r="T26" s="403">
        <v>476</v>
      </c>
      <c r="U26" s="856">
        <v>23</v>
      </c>
    </row>
    <row r="27" spans="1:21" ht="12">
      <c r="A27" s="301" t="str">
        <f t="shared" si="0"/>
        <v>Wishaw</v>
      </c>
      <c r="B27" s="302">
        <f t="shared" si="28"/>
        <v>0</v>
      </c>
      <c r="C27" s="302">
        <f t="shared" si="16"/>
        <v>58.634538152610439</v>
      </c>
      <c r="D27" s="303">
        <f>100</f>
        <v>100</v>
      </c>
      <c r="E27" s="303">
        <f t="shared" si="17"/>
        <v>0</v>
      </c>
      <c r="F27" s="303">
        <f t="shared" si="18"/>
        <v>1</v>
      </c>
      <c r="G27" s="303">
        <f t="shared" si="19"/>
        <v>52</v>
      </c>
      <c r="H27" s="303">
        <f t="shared" si="20"/>
        <v>65</v>
      </c>
      <c r="I27" s="309" t="str">
        <f t="shared" si="29"/>
        <v>0 - 1</v>
      </c>
      <c r="J27" s="305" t="str">
        <f t="shared" si="22"/>
        <v>52 - 65</v>
      </c>
      <c r="K27" s="306">
        <f t="shared" si="23"/>
        <v>58.634538152610439</v>
      </c>
      <c r="L27" s="314">
        <f t="shared" si="30"/>
        <v>0.49473733130210362</v>
      </c>
      <c r="M27" s="314">
        <f t="shared" si="31"/>
        <v>0.67795343175010514</v>
      </c>
      <c r="N27" s="308">
        <f t="shared" si="32"/>
        <v>1</v>
      </c>
      <c r="O27" s="301" t="str">
        <f t="shared" si="27"/>
        <v>Wishaw</v>
      </c>
      <c r="P27" s="301" t="s">
        <v>106</v>
      </c>
      <c r="Q27" s="403">
        <v>0</v>
      </c>
      <c r="R27" s="403">
        <v>254</v>
      </c>
      <c r="S27" s="403">
        <v>146</v>
      </c>
      <c r="T27" s="403">
        <v>249</v>
      </c>
      <c r="U27" s="856">
        <v>24</v>
      </c>
    </row>
    <row r="28" spans="1:21" ht="12">
      <c r="A28" s="301" t="str">
        <f t="shared" si="0"/>
        <v>Gilbert Bain</v>
      </c>
      <c r="B28" s="302">
        <f t="shared" si="28"/>
        <v>0</v>
      </c>
      <c r="C28" s="302">
        <f t="shared" si="16"/>
        <v>53.333333333333336</v>
      </c>
      <c r="D28" s="303">
        <f>100</f>
        <v>100</v>
      </c>
      <c r="E28" s="303">
        <f t="shared" si="17"/>
        <v>0</v>
      </c>
      <c r="F28" s="303">
        <f t="shared" si="18"/>
        <v>11</v>
      </c>
      <c r="G28" s="303">
        <f t="shared" si="19"/>
        <v>36</v>
      </c>
      <c r="H28" s="303">
        <f t="shared" si="20"/>
        <v>70</v>
      </c>
      <c r="I28" s="309" t="str">
        <f t="shared" si="29"/>
        <v>0 - 11</v>
      </c>
      <c r="J28" s="305" t="str">
        <f t="shared" si="22"/>
        <v>36 - 70</v>
      </c>
      <c r="K28" s="306">
        <f t="shared" si="23"/>
        <v>53.333333333333336</v>
      </c>
      <c r="L28" s="314">
        <f t="shared" si="30"/>
        <v>0.26598360492668716</v>
      </c>
      <c r="M28" s="314">
        <f t="shared" si="31"/>
        <v>0.8006830617399795</v>
      </c>
      <c r="N28" s="308">
        <f t="shared" si="32"/>
        <v>1</v>
      </c>
      <c r="O28" s="301" t="str">
        <f t="shared" si="27"/>
        <v>Gilbert Bain</v>
      </c>
      <c r="P28" s="301" t="s">
        <v>120</v>
      </c>
      <c r="Q28" s="403">
        <v>0</v>
      </c>
      <c r="R28" s="403">
        <v>30</v>
      </c>
      <c r="S28" s="403">
        <v>16</v>
      </c>
      <c r="T28" s="403">
        <v>30</v>
      </c>
      <c r="U28" s="856">
        <v>25</v>
      </c>
    </row>
    <row r="29" spans="1:21" ht="12">
      <c r="A29" s="301" t="str">
        <f t="shared" si="0"/>
        <v>Western Isles</v>
      </c>
      <c r="B29" s="302">
        <f t="shared" si="28"/>
        <v>0</v>
      </c>
      <c r="C29" s="302">
        <f t="shared" si="16"/>
        <v>52.173913043478258</v>
      </c>
      <c r="D29" s="303">
        <f>100</f>
        <v>100</v>
      </c>
      <c r="E29" s="303">
        <f t="shared" si="17"/>
        <v>0</v>
      </c>
      <c r="F29" s="303">
        <f t="shared" si="18"/>
        <v>13</v>
      </c>
      <c r="G29" s="303">
        <f t="shared" si="19"/>
        <v>33</v>
      </c>
      <c r="H29" s="303">
        <f t="shared" si="20"/>
        <v>71</v>
      </c>
      <c r="I29" s="309" t="str">
        <f t="shared" si="29"/>
        <v>0 - 13</v>
      </c>
      <c r="J29" s="305" t="str">
        <f t="shared" si="22"/>
        <v>33 - 71</v>
      </c>
      <c r="K29" s="306">
        <f t="shared" si="23"/>
        <v>52.173913043478258</v>
      </c>
      <c r="L29" s="314">
        <f t="shared" si="30"/>
        <v>0.21601280835104697</v>
      </c>
      <c r="M29" s="314">
        <f t="shared" si="31"/>
        <v>0.82746545251851822</v>
      </c>
      <c r="N29" s="308">
        <f t="shared" si="32"/>
        <v>1</v>
      </c>
      <c r="O29" s="301" t="str">
        <f t="shared" si="27"/>
        <v>Western Isles</v>
      </c>
      <c r="P29" s="301" t="s">
        <v>132</v>
      </c>
      <c r="Q29" s="403">
        <v>0</v>
      </c>
      <c r="R29" s="403">
        <v>25</v>
      </c>
      <c r="S29" s="403">
        <v>12</v>
      </c>
      <c r="T29" s="403">
        <v>23</v>
      </c>
      <c r="U29" s="856">
        <v>26</v>
      </c>
    </row>
    <row r="30" spans="1:21" ht="12">
      <c r="A30" s="301" t="str">
        <f t="shared" si="0"/>
        <v>GCH</v>
      </c>
      <c r="B30" s="302">
        <f t="shared" si="28"/>
        <v>0</v>
      </c>
      <c r="C30" s="302">
        <f t="shared" si="16"/>
        <v>50</v>
      </c>
      <c r="D30" s="303">
        <f>100</f>
        <v>100</v>
      </c>
      <c r="E30" s="303">
        <f t="shared" si="17"/>
        <v>0</v>
      </c>
      <c r="F30" s="303">
        <f t="shared" si="18"/>
        <v>10</v>
      </c>
      <c r="G30" s="303">
        <f t="shared" si="19"/>
        <v>32</v>
      </c>
      <c r="H30" s="303">
        <f t="shared" si="20"/>
        <v>68</v>
      </c>
      <c r="I30" s="309" t="str">
        <f t="shared" si="29"/>
        <v>0 - 10</v>
      </c>
      <c r="J30" s="305" t="str">
        <f t="shared" si="22"/>
        <v>32 - 68</v>
      </c>
      <c r="K30" s="306">
        <f t="shared" si="23"/>
        <v>50</v>
      </c>
      <c r="L30" s="314">
        <f t="shared" si="30"/>
        <v>0.2121800121531075</v>
      </c>
      <c r="M30" s="314">
        <f t="shared" si="31"/>
        <v>0.78781998784689256</v>
      </c>
      <c r="N30" s="308">
        <f t="shared" si="32"/>
        <v>1</v>
      </c>
      <c r="O30" s="301" t="str">
        <f t="shared" si="27"/>
        <v>GCH</v>
      </c>
      <c r="P30" s="301" t="s">
        <v>67</v>
      </c>
      <c r="Q30" s="403">
        <v>0</v>
      </c>
      <c r="R30" s="403">
        <v>36</v>
      </c>
      <c r="S30" s="403">
        <v>13</v>
      </c>
      <c r="T30" s="403">
        <v>26</v>
      </c>
      <c r="U30" s="856">
        <v>27</v>
      </c>
    </row>
    <row r="31" spans="1:21" ht="12">
      <c r="A31" s="301" t="str">
        <f t="shared" si="0"/>
        <v>Ayr</v>
      </c>
      <c r="B31" s="302">
        <f t="shared" si="28"/>
        <v>0</v>
      </c>
      <c r="C31" s="302">
        <f t="shared" si="16"/>
        <v>3.7037037037037033</v>
      </c>
      <c r="D31" s="303">
        <f>100</f>
        <v>100</v>
      </c>
      <c r="E31" s="303">
        <f t="shared" si="17"/>
        <v>0</v>
      </c>
      <c r="F31" s="303">
        <f t="shared" si="18"/>
        <v>2</v>
      </c>
      <c r="G31" s="303">
        <f t="shared" si="19"/>
        <v>1</v>
      </c>
      <c r="H31" s="303">
        <f t="shared" si="20"/>
        <v>18</v>
      </c>
      <c r="I31" s="309" t="str">
        <f t="shared" si="29"/>
        <v>0 - 2</v>
      </c>
      <c r="J31" s="305" t="str">
        <f t="shared" si="22"/>
        <v>1 - 18</v>
      </c>
      <c r="K31" s="306">
        <f t="shared" si="23"/>
        <v>3.7037037037037033</v>
      </c>
      <c r="L31" s="314">
        <f t="shared" si="30"/>
        <v>-6.9641892197543534E-2</v>
      </c>
      <c r="M31" s="314">
        <f t="shared" si="31"/>
        <v>0.14371596627161759</v>
      </c>
      <c r="N31" s="308">
        <f t="shared" si="32"/>
        <v>0</v>
      </c>
      <c r="O31" s="301" t="str">
        <f t="shared" si="27"/>
        <v>Ayr</v>
      </c>
      <c r="P31" s="301" t="s">
        <v>57</v>
      </c>
      <c r="Q31" s="403">
        <v>0</v>
      </c>
      <c r="R31" s="403">
        <v>198</v>
      </c>
      <c r="S31" s="403">
        <v>1</v>
      </c>
      <c r="T31" s="403">
        <v>27</v>
      </c>
      <c r="U31" s="856">
        <v>28</v>
      </c>
    </row>
    <row r="32" spans="1:21" ht="12">
      <c r="A32" s="301" t="str">
        <f t="shared" si="0"/>
        <v>Uist &amp; Barra</v>
      </c>
      <c r="B32" s="302">
        <f>Q31/R32*100</f>
        <v>0</v>
      </c>
      <c r="C32" s="302" t="e">
        <f t="shared" si="16"/>
        <v>#DIV/0!</v>
      </c>
      <c r="D32" s="303">
        <f>100</f>
        <v>100</v>
      </c>
      <c r="E32" s="303">
        <f t="shared" si="17"/>
        <v>0</v>
      </c>
      <c r="F32" s="303">
        <f t="shared" si="18"/>
        <v>79</v>
      </c>
      <c r="G32" s="303" t="e">
        <f t="shared" si="19"/>
        <v>#DIV/0!</v>
      </c>
      <c r="H32" s="303" t="e">
        <f t="shared" si="20"/>
        <v>#DIV/0!</v>
      </c>
      <c r="I32" s="309" t="str">
        <f>IF(AND(R32&gt;0,ROUND(SUM(100*((2*Q31+1.96^2)-(1.96*(SQRT(1.96^2+4*Q31*(1-(Q31/R32))))))/(2*(R32+1.96^2))),0)&lt;0),CONCATENATE(SUM(1*0)," - ",ROUND(SUM(100*((2*Q31+1.96^2)+(1.96*(SQRT(1.96^2+4*Q31*(1-(Q31/R32))))))/(2*(R32+1.96^2))),0)),IF(AND(R32&gt;0,ROUND(SUM(100*((2*Q31+1.96^2)-(1.96*(SQRT(1.96^2+4*Q31*(1-(Q31/R32))))))/(2*(R32+1.96^2))),0)&gt;=0),CONCATENATE(ROUND(SUM(100*((2*Q31+1.96^2)-(1.96*(SQRT(1.96^2+4*Q31*(1-(Q31/R32))))))/(2*(R32+1.96^2))),0)," - ",ROUND(SUM(100*((2*Q31+1.96^2)+(1.96*(SQRT(1.96^2+4*Q31*(1-(Q31/R32))))))/(2*(R32+1.96^2))),0)),""))</f>
        <v>0 - 79</v>
      </c>
      <c r="J32" s="305" t="e">
        <f t="shared" si="22"/>
        <v>#DIV/0!</v>
      </c>
      <c r="K32" s="306" t="e">
        <f t="shared" si="23"/>
        <v>#DIV/0!</v>
      </c>
      <c r="L32" s="314" t="e">
        <f>((S32/T32)-(Q31/R32))-(NORMSINV(1-(0.05/COUNTA($O$3:$O$32)))*(SQRT((((Q31/R32)*(1-(Q31/R32)))/R32)+(((S32/T32)*(1-(S32/T32)))/T32))))</f>
        <v>#DIV/0!</v>
      </c>
      <c r="M32" s="314" t="e">
        <f>((S32/T32)-(Q31/R32))+(NORMSINV(1-(0.05/COUNTA($O$3:$O$32)))*(SQRT((((Q31/R32)*(1-(Q31/R32)))/R32)+(((S32/T32)*(1-(S32/T32)))/T32))))</f>
        <v>#DIV/0!</v>
      </c>
      <c r="N32" s="308" t="str">
        <f>IF(ISERR(IF(AND(((S32/T32)-(Q31/R32))-(NORMSINV(1-(0.05/COUNTA($P$3:$P$32)))*(SQRT((((Q31/R32)*(1-(Q31/R32)))/R32)+(((S32/T32)*(1-(S32/T32)))/T32))))&gt;0,((S32/T32)-(Q31/R32))+(NORMSINV(1-(0.05/COUNTA($P$3:$P$32)))*(SQRT((((Q31/R32)*(1-(Q31/R32)))/R32)+(((S32/T32)*(1-(S32/T32)))/T32))))&gt;0),1,IF(AND(((S32/T32)-(Q31/R32))-(NORMSINV(1-(0.05/COUNTA($P$3:$P$32)))*(SQRT((((Q31/R32)*(1-(Q31/R32)))/R32)+(((S32/T32)*(1-(S32/T32)))/T32))))&lt;0,((S32/T32)-(Q31/R32))+(NORMSINV(1-(0.05/COUNTA($P$3:$P$32)))*(SQRT((((Q31/R32)*(1-(Q31/R32)))/R32)+(((S32/T32)*(1-(S32/T32)))/T32))))&lt;0),-1,0))),"",IF(AND(((S32/T32)-(Q31/R32))-(NORMSINV(1-(0.05/COUNTA($P$3:$P$32)))*(SQRT((((Q31/R32)*(1-(Q31/R32)))/R32)+(((S32/T32)*(1-(S32/T32)))/T32))))&gt;0,((S32/T32)-(Q31/R32))+(NORMSINV(1-(0.05/COUNTA($P$3:$P$32)))*(SQRT((((Q31/R32)*(1-(Q31/R32)))/R32)+(((S32/T32)*(1-(S32/T32)))/T32))))&gt;0),1,IF(AND(((S32/T32)-(Q31/R32))-(NORMSINV(1-(0.05/COUNTA($P$3:$P$32)))*(SQRT((((Q31/R32)*(1-(Q31/R32)))/R32)+(((S32/T32)*(1-(S32/T32)))/T32))))&lt;0,((S32/T32)-(Q31/R32))+(NORMSINV(1-(0.05/COUNTA($P$3:$P$32)))*(SQRT((((Q31/R32)*(1-(Q31/R32)))/R32)+(((S32/T32)*(1-(S32/T32)))/T32))))&lt;0),-1,0)))</f>
        <v/>
      </c>
      <c r="O32" s="301" t="str">
        <f t="shared" si="27"/>
        <v>Uist &amp; Barra</v>
      </c>
      <c r="P32" s="301" t="s">
        <v>129</v>
      </c>
      <c r="Q32" s="403">
        <v>0</v>
      </c>
      <c r="R32" s="403">
        <v>1</v>
      </c>
      <c r="S32" s="403"/>
      <c r="T32" s="403"/>
      <c r="U32" s="856">
        <v>29</v>
      </c>
    </row>
    <row r="35" spans="3:23" ht="15">
      <c r="O35"/>
      <c r="P35"/>
      <c r="Q35"/>
      <c r="R35"/>
      <c r="S35"/>
      <c r="T35"/>
      <c r="U35"/>
      <c r="V35"/>
      <c r="W35"/>
    </row>
    <row r="36" spans="3:23" ht="15">
      <c r="C36" s="310" t="s">
        <v>746</v>
      </c>
      <c r="O36" s="884"/>
      <c r="P36" s="884"/>
      <c r="Q36" s="884"/>
      <c r="R36" s="884"/>
      <c r="S36" s="884"/>
      <c r="T36" s="884"/>
      <c r="U36" s="654"/>
      <c r="V36"/>
      <c r="W36"/>
    </row>
    <row r="37" spans="3:23" ht="15">
      <c r="O37" s="885"/>
      <c r="P37" s="886"/>
      <c r="Q37" s="886"/>
      <c r="R37" s="886"/>
      <c r="S37" s="886"/>
      <c r="T37" s="886"/>
      <c r="U37" s="654"/>
      <c r="V37"/>
      <c r="W37"/>
    </row>
    <row r="38" spans="3:23" ht="15">
      <c r="O38" s="887"/>
      <c r="P38" s="887"/>
      <c r="Q38" s="887"/>
      <c r="R38" s="888"/>
      <c r="S38" s="888"/>
      <c r="T38" s="888"/>
      <c r="U38" s="654"/>
      <c r="V38"/>
      <c r="W38"/>
    </row>
    <row r="39" spans="3:23" ht="15">
      <c r="O39" s="887"/>
      <c r="P39" s="887"/>
      <c r="Q39" s="887"/>
      <c r="R39" s="888"/>
      <c r="S39" s="888"/>
      <c r="T39" s="888"/>
      <c r="U39" s="654"/>
      <c r="V39"/>
      <c r="W39"/>
    </row>
    <row r="40" spans="3:23" ht="15">
      <c r="O40" s="889"/>
      <c r="P40" s="889"/>
      <c r="Q40" s="889"/>
      <c r="R40" s="890"/>
      <c r="S40" s="890"/>
      <c r="T40" s="890"/>
      <c r="U40" s="654"/>
      <c r="V40"/>
      <c r="W40"/>
    </row>
    <row r="41" spans="3:23" ht="15">
      <c r="O41" s="889"/>
      <c r="P41" s="889"/>
      <c r="Q41" s="889"/>
      <c r="R41" s="890"/>
      <c r="S41" s="890"/>
      <c r="T41" s="890"/>
      <c r="U41" s="654"/>
      <c r="V41"/>
      <c r="W41"/>
    </row>
    <row r="42" spans="3:23" ht="15">
      <c r="O42" s="889"/>
      <c r="P42" s="889"/>
      <c r="Q42" s="889"/>
      <c r="R42" s="890"/>
      <c r="S42" s="890"/>
      <c r="T42" s="890"/>
      <c r="U42" s="654"/>
      <c r="V42"/>
      <c r="W42"/>
    </row>
    <row r="43" spans="3:23" ht="15">
      <c r="O43" s="889"/>
      <c r="P43" s="889"/>
      <c r="Q43" s="889"/>
      <c r="R43" s="890"/>
      <c r="S43" s="890"/>
      <c r="T43" s="890"/>
      <c r="U43" s="654"/>
      <c r="V43"/>
      <c r="W43"/>
    </row>
    <row r="44" spans="3:23" ht="15">
      <c r="O44" s="889"/>
      <c r="P44" s="889"/>
      <c r="Q44" s="889"/>
      <c r="R44" s="890"/>
      <c r="S44" s="890"/>
      <c r="T44" s="890"/>
      <c r="U44" s="654"/>
      <c r="V44"/>
      <c r="W44"/>
    </row>
    <row r="45" spans="3:23" ht="15">
      <c r="O45" s="889"/>
      <c r="P45" s="889"/>
      <c r="Q45" s="889"/>
      <c r="R45" s="890"/>
      <c r="S45" s="890"/>
      <c r="T45" s="890"/>
      <c r="U45" s="654"/>
      <c r="V45"/>
      <c r="W45"/>
    </row>
    <row r="46" spans="3:23" ht="15">
      <c r="O46" s="889"/>
      <c r="P46" s="889"/>
      <c r="Q46" s="889"/>
      <c r="R46" s="890"/>
      <c r="S46" s="890"/>
      <c r="T46" s="890"/>
      <c r="U46" s="654"/>
      <c r="V46"/>
      <c r="W46"/>
    </row>
    <row r="47" spans="3:23" ht="15">
      <c r="O47" s="889"/>
      <c r="P47" s="889"/>
      <c r="Q47" s="889"/>
      <c r="R47" s="890"/>
      <c r="S47" s="890"/>
      <c r="T47" s="890"/>
      <c r="U47" s="654"/>
      <c r="V47"/>
      <c r="W47"/>
    </row>
    <row r="48" spans="3:23" ht="15">
      <c r="O48" s="889"/>
      <c r="P48" s="889"/>
      <c r="Q48" s="889"/>
      <c r="R48" s="890"/>
      <c r="S48" s="890"/>
      <c r="T48" s="890"/>
      <c r="U48" s="654"/>
      <c r="V48"/>
      <c r="W48"/>
    </row>
    <row r="49" spans="15:23" ht="15">
      <c r="O49" s="889"/>
      <c r="P49" s="889"/>
      <c r="Q49" s="889"/>
      <c r="R49" s="890"/>
      <c r="S49" s="890"/>
      <c r="T49" s="890"/>
      <c r="U49" s="654"/>
      <c r="V49"/>
      <c r="W49"/>
    </row>
    <row r="50" spans="15:23" ht="15">
      <c r="O50" s="889"/>
      <c r="P50" s="889"/>
      <c r="Q50" s="889"/>
      <c r="R50" s="890"/>
      <c r="S50" s="890"/>
      <c r="T50" s="890"/>
      <c r="U50" s="654"/>
      <c r="V50"/>
      <c r="W50"/>
    </row>
    <row r="51" spans="15:23" ht="15">
      <c r="O51" s="889"/>
      <c r="P51" s="889"/>
      <c r="Q51" s="889"/>
      <c r="R51" s="890"/>
      <c r="S51" s="890"/>
      <c r="T51" s="890"/>
      <c r="U51" s="654"/>
      <c r="V51"/>
      <c r="W51"/>
    </row>
    <row r="52" spans="15:23" ht="15">
      <c r="O52" s="889"/>
      <c r="P52" s="889"/>
      <c r="Q52" s="889"/>
      <c r="R52" s="890"/>
      <c r="S52" s="890"/>
      <c r="T52" s="890"/>
      <c r="U52" s="654"/>
      <c r="V52"/>
      <c r="W52"/>
    </row>
    <row r="53" spans="15:23" ht="15">
      <c r="O53" s="889"/>
      <c r="P53" s="889"/>
      <c r="Q53" s="889"/>
      <c r="R53" s="890"/>
      <c r="S53" s="890"/>
      <c r="T53" s="890"/>
      <c r="U53" s="654"/>
      <c r="V53"/>
      <c r="W53"/>
    </row>
    <row r="54" spans="15:23" ht="15">
      <c r="O54" s="889"/>
      <c r="P54" s="889"/>
      <c r="Q54" s="889"/>
      <c r="R54" s="890"/>
      <c r="S54" s="890"/>
      <c r="T54" s="890"/>
      <c r="U54" s="654"/>
      <c r="V54"/>
      <c r="W54"/>
    </row>
    <row r="55" spans="15:23" ht="15">
      <c r="O55" s="889"/>
      <c r="P55" s="889"/>
      <c r="Q55" s="889"/>
      <c r="R55" s="890"/>
      <c r="S55" s="890"/>
      <c r="T55" s="890"/>
      <c r="U55" s="654"/>
      <c r="V55"/>
      <c r="W55"/>
    </row>
    <row r="56" spans="15:23" ht="15">
      <c r="O56" s="889"/>
      <c r="P56" s="889"/>
      <c r="Q56" s="889"/>
      <c r="R56" s="890"/>
      <c r="S56" s="890"/>
      <c r="T56" s="890"/>
      <c r="U56" s="654"/>
      <c r="V56"/>
      <c r="W56"/>
    </row>
    <row r="57" spans="15:23" ht="15">
      <c r="O57" s="889"/>
      <c r="P57" s="889"/>
      <c r="Q57" s="889"/>
      <c r="R57" s="890"/>
      <c r="S57" s="890"/>
      <c r="T57" s="890"/>
      <c r="U57" s="654"/>
      <c r="V57"/>
      <c r="W57"/>
    </row>
    <row r="58" spans="15:23" ht="15">
      <c r="O58" s="889"/>
      <c r="P58" s="889"/>
      <c r="Q58" s="889"/>
      <c r="R58" s="890"/>
      <c r="S58" s="890"/>
      <c r="T58" s="890"/>
      <c r="U58" s="654"/>
      <c r="V58"/>
      <c r="W58"/>
    </row>
    <row r="59" spans="15:23" ht="15">
      <c r="O59" s="889"/>
      <c r="P59" s="889"/>
      <c r="Q59" s="889"/>
      <c r="R59" s="890"/>
      <c r="S59" s="890"/>
      <c r="T59" s="890"/>
      <c r="U59" s="654"/>
      <c r="V59"/>
      <c r="W59"/>
    </row>
    <row r="60" spans="15:23" ht="15">
      <c r="O60" s="889"/>
      <c r="P60" s="889"/>
      <c r="Q60" s="889"/>
      <c r="R60" s="890"/>
      <c r="S60" s="890"/>
      <c r="T60" s="890"/>
      <c r="U60" s="654"/>
      <c r="V60"/>
      <c r="W60"/>
    </row>
    <row r="61" spans="15:23" ht="15">
      <c r="O61" s="889"/>
      <c r="P61" s="889"/>
      <c r="Q61" s="889"/>
      <c r="R61" s="890"/>
      <c r="S61" s="890"/>
      <c r="T61" s="890"/>
      <c r="U61" s="654"/>
      <c r="V61"/>
      <c r="W61"/>
    </row>
    <row r="62" spans="15:23" ht="15">
      <c r="O62" s="889"/>
      <c r="P62" s="889"/>
      <c r="Q62" s="889"/>
      <c r="R62" s="890"/>
      <c r="S62" s="890"/>
      <c r="T62" s="890"/>
      <c r="U62" s="654"/>
      <c r="V62"/>
      <c r="W62"/>
    </row>
    <row r="63" spans="15:23" ht="15">
      <c r="O63" s="889"/>
      <c r="P63" s="889"/>
      <c r="Q63" s="889"/>
      <c r="R63" s="890"/>
      <c r="S63" s="890"/>
      <c r="T63" s="890"/>
      <c r="U63" s="654"/>
      <c r="V63"/>
      <c r="W63"/>
    </row>
    <row r="64" spans="15:23" ht="15">
      <c r="O64" s="889"/>
      <c r="P64" s="889"/>
      <c r="Q64" s="889"/>
      <c r="R64" s="890"/>
      <c r="S64" s="890"/>
      <c r="T64" s="890"/>
      <c r="U64" s="654"/>
      <c r="V64"/>
      <c r="W64"/>
    </row>
    <row r="65" spans="15:21" ht="12.75">
      <c r="O65" s="889"/>
      <c r="P65" s="889"/>
      <c r="Q65" s="889"/>
      <c r="R65" s="890"/>
      <c r="S65" s="890"/>
      <c r="T65" s="890"/>
      <c r="U65" s="654"/>
    </row>
    <row r="66" spans="15:21" ht="12.75">
      <c r="O66" s="889"/>
      <c r="P66" s="889"/>
      <c r="Q66" s="889"/>
      <c r="R66" s="890"/>
      <c r="S66" s="890"/>
      <c r="T66" s="890"/>
      <c r="U66" s="654"/>
    </row>
    <row r="67" spans="15:21" ht="12.75">
      <c r="O67" s="889"/>
      <c r="P67" s="889"/>
      <c r="Q67" s="889"/>
      <c r="R67" s="890"/>
      <c r="S67" s="890"/>
      <c r="T67" s="890"/>
      <c r="U67" s="654"/>
    </row>
    <row r="68" spans="15:21" ht="12.75">
      <c r="O68" s="889"/>
      <c r="P68" s="889"/>
      <c r="Q68" s="889"/>
      <c r="R68" s="890"/>
      <c r="S68" s="890"/>
      <c r="T68" s="890"/>
      <c r="U68" s="654"/>
    </row>
    <row r="69" spans="15:21" ht="12.75">
      <c r="O69" s="889"/>
      <c r="P69" s="889"/>
      <c r="Q69" s="889"/>
      <c r="R69" s="890"/>
      <c r="S69" s="890"/>
      <c r="T69" s="890"/>
      <c r="U69" s="654"/>
    </row>
    <row r="70" spans="15:21" ht="12.75">
      <c r="O70" s="889"/>
      <c r="P70" s="889"/>
      <c r="Q70" s="889"/>
      <c r="R70" s="890"/>
      <c r="S70" s="890"/>
      <c r="T70" s="890"/>
      <c r="U70" s="654"/>
    </row>
    <row r="71" spans="15:21" ht="12.75">
      <c r="O71" s="889"/>
      <c r="P71" s="889"/>
      <c r="Q71" s="889"/>
      <c r="R71" s="890"/>
      <c r="S71" s="890"/>
      <c r="T71" s="890"/>
      <c r="U71" s="654"/>
    </row>
    <row r="72" spans="15:21" ht="12.75">
      <c r="O72" s="889"/>
      <c r="P72" s="889"/>
      <c r="Q72" s="889"/>
      <c r="R72" s="890"/>
      <c r="S72" s="890"/>
      <c r="T72" s="890"/>
      <c r="U72" s="654"/>
    </row>
    <row r="73" spans="15:21" ht="12.75">
      <c r="O73" s="889"/>
      <c r="P73" s="889"/>
      <c r="Q73" s="889"/>
      <c r="R73" s="890"/>
      <c r="S73" s="890"/>
      <c r="T73" s="890"/>
      <c r="U73" s="654"/>
    </row>
    <row r="74" spans="15:21" ht="12.75">
      <c r="O74" s="889"/>
      <c r="P74" s="889"/>
      <c r="Q74" s="889"/>
      <c r="R74" s="890"/>
      <c r="S74" s="890"/>
      <c r="T74" s="890"/>
      <c r="U74" s="654"/>
    </row>
    <row r="75" spans="15:21" ht="12.75">
      <c r="O75" s="889"/>
      <c r="P75" s="889"/>
      <c r="Q75" s="889"/>
      <c r="R75" s="890"/>
      <c r="S75" s="890"/>
      <c r="T75" s="890"/>
      <c r="U75" s="654"/>
    </row>
    <row r="76" spans="15:21" ht="12.75">
      <c r="O76" s="889"/>
      <c r="P76" s="889"/>
      <c r="Q76" s="889"/>
      <c r="R76" s="890"/>
      <c r="S76" s="890"/>
      <c r="T76" s="890"/>
      <c r="U76" s="654"/>
    </row>
    <row r="77" spans="15:21" ht="12.75">
      <c r="O77" s="889"/>
      <c r="P77" s="889"/>
      <c r="Q77" s="889"/>
      <c r="R77" s="890"/>
      <c r="S77" s="890"/>
      <c r="T77" s="890"/>
      <c r="U77" s="654"/>
    </row>
    <row r="78" spans="15:21" ht="12.75">
      <c r="O78" s="889"/>
      <c r="P78" s="889"/>
      <c r="Q78" s="889"/>
      <c r="R78" s="890"/>
      <c r="S78" s="890"/>
      <c r="T78" s="890"/>
      <c r="U78" s="654"/>
    </row>
    <row r="79" spans="15:21" ht="12.75">
      <c r="O79" s="889"/>
      <c r="P79" s="889"/>
      <c r="Q79" s="889"/>
      <c r="R79" s="890"/>
      <c r="S79" s="890"/>
      <c r="T79" s="890"/>
      <c r="U79" s="654"/>
    </row>
    <row r="80" spans="15:21" ht="12.75">
      <c r="O80" s="889"/>
      <c r="P80" s="889"/>
      <c r="Q80" s="889"/>
      <c r="R80" s="890"/>
      <c r="S80" s="890"/>
      <c r="T80" s="890"/>
      <c r="U80" s="654"/>
    </row>
    <row r="81" spans="15:21" ht="12.75">
      <c r="O81" s="889"/>
      <c r="P81" s="889"/>
      <c r="Q81" s="889"/>
      <c r="R81" s="890"/>
      <c r="S81" s="890"/>
      <c r="T81" s="890"/>
      <c r="U81" s="654"/>
    </row>
    <row r="82" spans="15:21" ht="12.75">
      <c r="O82" s="889"/>
      <c r="P82" s="889"/>
      <c r="Q82" s="889"/>
      <c r="R82" s="890"/>
      <c r="S82" s="890"/>
      <c r="T82" s="890"/>
      <c r="U82" s="654"/>
    </row>
    <row r="83" spans="15:21" ht="12.75">
      <c r="O83" s="889"/>
      <c r="P83" s="889"/>
      <c r="Q83" s="889"/>
      <c r="R83" s="890"/>
      <c r="S83" s="890"/>
      <c r="T83" s="890"/>
      <c r="U83" s="654"/>
    </row>
    <row r="84" spans="15:21" ht="12.75">
      <c r="O84" s="889"/>
      <c r="P84" s="889"/>
      <c r="Q84" s="889"/>
      <c r="R84" s="890"/>
      <c r="S84" s="890"/>
      <c r="T84" s="890"/>
      <c r="U84" s="654"/>
    </row>
    <row r="85" spans="15:21" ht="12.75">
      <c r="O85" s="889"/>
      <c r="P85" s="889"/>
      <c r="Q85" s="889"/>
      <c r="R85" s="890"/>
      <c r="S85" s="890"/>
      <c r="T85" s="890"/>
      <c r="U85" s="654"/>
    </row>
    <row r="86" spans="15:21" ht="12.75">
      <c r="O86" s="889"/>
      <c r="P86" s="889"/>
      <c r="Q86" s="889"/>
      <c r="R86" s="890"/>
      <c r="S86" s="890"/>
      <c r="T86" s="890"/>
      <c r="U86" s="654"/>
    </row>
    <row r="87" spans="15:21" ht="12.75">
      <c r="O87" s="889"/>
      <c r="P87" s="889"/>
      <c r="Q87" s="889"/>
      <c r="R87" s="890"/>
      <c r="S87" s="890"/>
      <c r="T87" s="890"/>
      <c r="U87" s="654"/>
    </row>
    <row r="88" spans="15:21" ht="12.75">
      <c r="O88" s="889"/>
      <c r="P88" s="889"/>
      <c r="Q88" s="889"/>
      <c r="R88" s="890"/>
      <c r="S88" s="890"/>
      <c r="T88" s="890"/>
      <c r="U88" s="654"/>
    </row>
    <row r="89" spans="15:21" ht="12.75">
      <c r="O89" s="889"/>
      <c r="P89" s="889"/>
      <c r="Q89" s="889"/>
      <c r="R89" s="890"/>
      <c r="S89" s="890"/>
      <c r="T89" s="890"/>
      <c r="U89" s="654"/>
    </row>
    <row r="90" spans="15:21" ht="12.75">
      <c r="O90" s="889"/>
      <c r="P90" s="889"/>
      <c r="Q90" s="889"/>
      <c r="R90" s="890"/>
      <c r="S90" s="890"/>
      <c r="T90" s="890"/>
      <c r="U90" s="654"/>
    </row>
    <row r="91" spans="15:21" ht="12.75">
      <c r="O91" s="889"/>
      <c r="P91" s="889"/>
      <c r="Q91" s="889"/>
      <c r="R91" s="890"/>
      <c r="S91" s="890"/>
      <c r="T91" s="890"/>
      <c r="U91" s="654"/>
    </row>
    <row r="92" spans="15:21" ht="12.75">
      <c r="O92" s="889"/>
      <c r="P92" s="889"/>
      <c r="Q92" s="889"/>
      <c r="R92" s="890"/>
      <c r="S92" s="890"/>
      <c r="T92" s="890"/>
      <c r="U92" s="654"/>
    </row>
    <row r="93" spans="15:21" ht="12.75">
      <c r="O93" s="889"/>
      <c r="P93" s="889"/>
      <c r="Q93" s="889"/>
      <c r="R93" s="890"/>
      <c r="S93" s="890"/>
      <c r="T93" s="890"/>
      <c r="U93" s="654"/>
    </row>
    <row r="94" spans="15:21" ht="12.75">
      <c r="O94" s="889"/>
      <c r="P94" s="889"/>
      <c r="Q94" s="889"/>
      <c r="R94" s="890"/>
      <c r="S94" s="890"/>
      <c r="T94" s="890"/>
      <c r="U94" s="654"/>
    </row>
    <row r="95" spans="15:21" ht="12.75">
      <c r="O95" s="889"/>
      <c r="P95" s="889"/>
      <c r="Q95" s="889"/>
      <c r="R95" s="890"/>
      <c r="S95" s="890"/>
      <c r="T95" s="890"/>
      <c r="U95" s="654"/>
    </row>
    <row r="96" spans="15:21" ht="12.75">
      <c r="O96" s="889"/>
      <c r="P96" s="889"/>
      <c r="Q96" s="889"/>
      <c r="R96" s="890"/>
      <c r="S96" s="890"/>
      <c r="T96" s="890"/>
      <c r="U96" s="654"/>
    </row>
    <row r="97" spans="15:21" ht="12.75">
      <c r="O97" s="889"/>
      <c r="P97" s="889"/>
      <c r="Q97" s="889"/>
      <c r="R97" s="890"/>
      <c r="S97" s="890"/>
      <c r="T97" s="890"/>
      <c r="U97" s="654"/>
    </row>
    <row r="98" spans="15:21" ht="12.75">
      <c r="O98" s="889"/>
      <c r="P98" s="889"/>
      <c r="Q98" s="889"/>
      <c r="R98" s="890"/>
      <c r="S98" s="890"/>
      <c r="T98" s="890"/>
      <c r="U98" s="654"/>
    </row>
    <row r="99" spans="15:21" ht="12.75">
      <c r="O99" s="889"/>
      <c r="P99" s="889"/>
      <c r="Q99" s="889"/>
      <c r="R99" s="890"/>
      <c r="S99" s="890"/>
      <c r="T99" s="890"/>
      <c r="U99" s="654"/>
    </row>
    <row r="100" spans="15:21" ht="12.75">
      <c r="O100" s="889"/>
      <c r="P100" s="889"/>
      <c r="Q100" s="889"/>
      <c r="R100" s="890"/>
      <c r="S100" s="890"/>
      <c r="T100" s="890"/>
      <c r="U100" s="654"/>
    </row>
    <row r="101" spans="15:21" ht="12.75">
      <c r="O101" s="889"/>
      <c r="P101" s="889"/>
      <c r="Q101" s="889"/>
      <c r="R101" s="890"/>
      <c r="S101" s="890"/>
      <c r="T101" s="890"/>
      <c r="U101" s="654"/>
    </row>
    <row r="102" spans="15:21" ht="12.75">
      <c r="O102" s="889"/>
      <c r="P102" s="889"/>
      <c r="Q102" s="889"/>
      <c r="R102" s="890"/>
      <c r="S102" s="890"/>
      <c r="T102" s="890"/>
      <c r="U102" s="654"/>
    </row>
    <row r="103" spans="15:21" ht="12.75">
      <c r="O103" s="889"/>
      <c r="P103" s="889"/>
      <c r="Q103" s="889"/>
      <c r="R103" s="890"/>
      <c r="S103" s="890"/>
      <c r="T103" s="890"/>
      <c r="U103" s="654"/>
    </row>
    <row r="104" spans="15:21" ht="12.75">
      <c r="O104" s="889"/>
      <c r="P104" s="889"/>
      <c r="Q104" s="889"/>
      <c r="R104" s="890"/>
      <c r="S104" s="890"/>
      <c r="T104" s="890"/>
      <c r="U104" s="654"/>
    </row>
    <row r="105" spans="15:21" ht="12.75">
      <c r="O105" s="889"/>
      <c r="P105" s="889"/>
      <c r="Q105" s="889"/>
      <c r="R105" s="890"/>
      <c r="S105" s="890"/>
      <c r="T105" s="890"/>
      <c r="U105" s="654"/>
    </row>
    <row r="106" spans="15:21" ht="12.75">
      <c r="O106" s="889"/>
      <c r="P106" s="889"/>
      <c r="Q106" s="889"/>
      <c r="R106" s="890"/>
      <c r="S106" s="890"/>
      <c r="T106" s="890"/>
      <c r="U106" s="654"/>
    </row>
    <row r="107" spans="15:21" ht="12.75">
      <c r="O107" s="889"/>
      <c r="P107" s="889"/>
      <c r="Q107" s="889"/>
      <c r="R107" s="890"/>
      <c r="S107" s="890"/>
      <c r="T107" s="890"/>
      <c r="U107" s="654"/>
    </row>
    <row r="108" spans="15:21" ht="12.75">
      <c r="O108" s="889"/>
      <c r="P108" s="889"/>
      <c r="Q108" s="889"/>
      <c r="R108" s="890"/>
      <c r="S108" s="890"/>
      <c r="T108" s="890"/>
      <c r="U108" s="654"/>
    </row>
    <row r="109" spans="15:21" ht="12.75">
      <c r="O109" s="889"/>
      <c r="P109" s="889"/>
      <c r="Q109" s="889"/>
      <c r="R109" s="890"/>
      <c r="S109" s="890"/>
      <c r="T109" s="890"/>
      <c r="U109" s="654"/>
    </row>
    <row r="110" spans="15:21" ht="12.75">
      <c r="O110" s="889"/>
      <c r="P110" s="889"/>
      <c r="Q110" s="889"/>
      <c r="R110" s="890"/>
      <c r="S110" s="890"/>
      <c r="T110" s="890"/>
      <c r="U110" s="654"/>
    </row>
    <row r="111" spans="15:21" ht="12.75">
      <c r="O111" s="889"/>
      <c r="P111" s="889"/>
      <c r="Q111" s="889"/>
      <c r="R111" s="890"/>
      <c r="S111" s="890"/>
      <c r="T111" s="890"/>
      <c r="U111" s="654"/>
    </row>
    <row r="112" spans="15:21" ht="12.75">
      <c r="O112" s="889"/>
      <c r="P112" s="889"/>
      <c r="Q112" s="889"/>
      <c r="R112" s="890"/>
      <c r="S112" s="890"/>
      <c r="T112" s="890"/>
      <c r="U112" s="654"/>
    </row>
    <row r="113" spans="15:21" ht="12.75">
      <c r="O113" s="889"/>
      <c r="P113" s="889"/>
      <c r="Q113" s="889"/>
      <c r="R113" s="890"/>
      <c r="S113" s="890"/>
      <c r="T113" s="890"/>
      <c r="U113" s="654"/>
    </row>
    <row r="114" spans="15:21" ht="12.75">
      <c r="O114" s="889"/>
      <c r="P114" s="889"/>
      <c r="Q114" s="889"/>
      <c r="R114" s="890"/>
      <c r="S114" s="890"/>
      <c r="T114" s="890"/>
      <c r="U114" s="654"/>
    </row>
    <row r="115" spans="15:21" ht="12.75">
      <c r="O115" s="889"/>
      <c r="P115" s="889"/>
      <c r="Q115" s="889"/>
      <c r="R115" s="890"/>
      <c r="S115" s="890"/>
      <c r="T115" s="890"/>
      <c r="U115" s="654"/>
    </row>
    <row r="116" spans="15:21" ht="12.75">
      <c r="O116" s="889"/>
      <c r="P116" s="889"/>
      <c r="Q116" s="889"/>
      <c r="R116" s="890"/>
      <c r="S116" s="890"/>
      <c r="T116" s="890"/>
      <c r="U116" s="654"/>
    </row>
    <row r="117" spans="15:21" ht="12.75">
      <c r="O117" s="889"/>
      <c r="P117" s="889"/>
      <c r="Q117" s="889"/>
      <c r="R117" s="890"/>
      <c r="S117" s="890"/>
      <c r="T117" s="890"/>
      <c r="U117" s="654"/>
    </row>
    <row r="118" spans="15:21" ht="12.75">
      <c r="O118" s="889"/>
      <c r="P118" s="889"/>
      <c r="Q118" s="889"/>
      <c r="R118" s="890"/>
      <c r="S118" s="890"/>
      <c r="T118" s="890"/>
      <c r="U118" s="654"/>
    </row>
    <row r="119" spans="15:21" ht="12.75">
      <c r="O119" s="889"/>
      <c r="P119" s="889"/>
      <c r="Q119" s="889"/>
      <c r="R119" s="890"/>
      <c r="S119" s="890"/>
      <c r="T119" s="890"/>
      <c r="U119" s="654"/>
    </row>
    <row r="120" spans="15:21" ht="12.75">
      <c r="O120" s="889"/>
      <c r="P120" s="889"/>
      <c r="Q120" s="889"/>
      <c r="R120" s="890"/>
      <c r="S120" s="890"/>
      <c r="T120" s="890"/>
      <c r="U120" s="654"/>
    </row>
    <row r="121" spans="15:21" ht="12.75">
      <c r="O121" s="889"/>
      <c r="P121" s="889"/>
      <c r="Q121" s="889"/>
      <c r="R121" s="890"/>
      <c r="S121" s="890"/>
      <c r="T121" s="890"/>
      <c r="U121" s="654"/>
    </row>
    <row r="122" spans="15:21" ht="12.75">
      <c r="O122" s="889"/>
      <c r="P122" s="889"/>
      <c r="Q122" s="889"/>
      <c r="R122" s="890"/>
      <c r="S122" s="890"/>
      <c r="T122" s="890"/>
      <c r="U122" s="654"/>
    </row>
    <row r="123" spans="15:21" ht="12.75">
      <c r="O123" s="889"/>
      <c r="P123" s="889"/>
      <c r="Q123" s="889"/>
      <c r="R123" s="890"/>
      <c r="S123" s="890"/>
      <c r="T123" s="890"/>
      <c r="U123" s="654"/>
    </row>
    <row r="124" spans="15:21" ht="12.75">
      <c r="O124" s="889"/>
      <c r="P124" s="889"/>
      <c r="Q124" s="889"/>
      <c r="R124" s="890"/>
      <c r="S124" s="890"/>
      <c r="T124" s="890"/>
      <c r="U124" s="654"/>
    </row>
    <row r="125" spans="15:21" ht="12.75">
      <c r="O125" s="889"/>
      <c r="P125" s="889"/>
      <c r="Q125" s="889"/>
      <c r="R125" s="890"/>
      <c r="S125" s="890"/>
      <c r="T125" s="890"/>
      <c r="U125" s="654"/>
    </row>
    <row r="126" spans="15:21" ht="12.75">
      <c r="O126" s="889"/>
      <c r="P126" s="889"/>
      <c r="Q126" s="889"/>
      <c r="R126" s="890"/>
      <c r="S126" s="890"/>
      <c r="T126" s="890"/>
      <c r="U126" s="654"/>
    </row>
    <row r="127" spans="15:21" ht="12.75">
      <c r="O127" s="889"/>
      <c r="P127" s="889"/>
      <c r="Q127" s="889"/>
      <c r="R127" s="890"/>
      <c r="S127" s="890"/>
      <c r="T127" s="890"/>
      <c r="U127" s="654"/>
    </row>
    <row r="128" spans="15:21" ht="12.75">
      <c r="O128" s="889"/>
      <c r="P128" s="889"/>
      <c r="Q128" s="889"/>
      <c r="R128" s="890"/>
      <c r="S128" s="890"/>
      <c r="T128" s="890"/>
      <c r="U128" s="654"/>
    </row>
    <row r="129" spans="15:21" ht="12.75">
      <c r="O129" s="889"/>
      <c r="P129" s="889"/>
      <c r="Q129" s="889"/>
      <c r="R129" s="890"/>
      <c r="S129" s="890"/>
      <c r="T129" s="890"/>
      <c r="U129" s="654"/>
    </row>
    <row r="130" spans="15:21" ht="12.75">
      <c r="O130" s="889"/>
      <c r="P130" s="889"/>
      <c r="Q130" s="889"/>
      <c r="R130" s="890"/>
      <c r="S130" s="890"/>
      <c r="T130" s="890"/>
      <c r="U130" s="654"/>
    </row>
    <row r="131" spans="15:21" ht="12.75">
      <c r="O131" s="889"/>
      <c r="P131" s="889"/>
      <c r="Q131" s="889"/>
      <c r="R131" s="890"/>
      <c r="S131" s="890"/>
      <c r="T131" s="890"/>
      <c r="U131" s="654"/>
    </row>
    <row r="132" spans="15:21" ht="12.75">
      <c r="O132" s="889"/>
      <c r="P132" s="889"/>
      <c r="Q132" s="889"/>
      <c r="R132" s="890"/>
      <c r="S132" s="890"/>
      <c r="T132" s="890"/>
      <c r="U132" s="654"/>
    </row>
  </sheetData>
  <sheetProtection password="B8D9" sheet="1" objects="1" scenarios="1"/>
  <sortState ref="A4:U32">
    <sortCondition ref="U4:U32"/>
  </sortState>
  <mergeCells count="7">
    <mergeCell ref="A1:A2"/>
    <mergeCell ref="B1:H1"/>
    <mergeCell ref="O1:P1"/>
    <mergeCell ref="Q1:R1"/>
    <mergeCell ref="S1:T1"/>
    <mergeCell ref="E2:F2"/>
    <mergeCell ref="G2:H2"/>
  </mergeCells>
  <conditionalFormatting sqref="A3:A32">
    <cfRule type="expression" dxfId="26" priority="1" stopIfTrue="1">
      <formula>N3=-1</formula>
    </cfRule>
    <cfRule type="expression" dxfId="25" priority="2" stopIfTrue="1">
      <formula>N3=0</formula>
    </cfRule>
    <cfRule type="expression" dxfId="24" priority="3" stopIfTrue="1">
      <formula>N3=1</formula>
    </cfRule>
  </conditionalFormatting>
  <pageMargins left="0.70866141732283472" right="0.70866141732283472" top="0.74803149606299213" bottom="0.74803149606299213" header="0.31496062992125984" footer="0.31496062992125984"/>
  <pageSetup paperSize="9" scale="1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27.xml><?xml version="1.0" encoding="utf-8"?>
<worksheet xmlns="http://schemas.openxmlformats.org/spreadsheetml/2006/main" xmlns:r="http://schemas.openxmlformats.org/officeDocument/2006/relationships">
  <sheetPr codeName="Sheet10">
    <pageSetUpPr fitToPage="1"/>
  </sheetPr>
  <dimension ref="B1:T39"/>
  <sheetViews>
    <sheetView workbookViewId="0"/>
  </sheetViews>
  <sheetFormatPr defaultRowHeight="12.75"/>
  <cols>
    <col min="1" max="1" width="1.7109375" style="2" customWidth="1"/>
    <col min="2" max="16384" width="9.140625" style="2"/>
  </cols>
  <sheetData>
    <row r="1" spans="2:20">
      <c r="B1" s="969" t="s">
        <v>598</v>
      </c>
      <c r="C1" s="969"/>
      <c r="D1" s="969"/>
      <c r="E1" s="969"/>
      <c r="F1" s="969"/>
      <c r="G1" s="969"/>
      <c r="H1" s="969"/>
      <c r="I1" s="969"/>
      <c r="J1" s="969"/>
      <c r="K1" s="969"/>
      <c r="L1" s="969"/>
      <c r="M1" s="969"/>
      <c r="N1" s="969"/>
      <c r="O1" s="985" t="s">
        <v>45</v>
      </c>
    </row>
    <row r="2" spans="2:20">
      <c r="B2" s="969"/>
      <c r="C2" s="969"/>
      <c r="D2" s="969"/>
      <c r="E2" s="969"/>
      <c r="F2" s="969"/>
      <c r="G2" s="969"/>
      <c r="H2" s="969"/>
      <c r="I2" s="969"/>
      <c r="J2" s="969"/>
      <c r="K2" s="969"/>
      <c r="L2" s="969"/>
      <c r="M2" s="969"/>
      <c r="N2" s="969"/>
      <c r="O2" s="985"/>
    </row>
    <row r="3" spans="2:20">
      <c r="B3" s="208" t="s">
        <v>760</v>
      </c>
      <c r="O3" s="985"/>
    </row>
    <row r="4" spans="2:20">
      <c r="O4" s="985"/>
    </row>
    <row r="6" spans="2:20">
      <c r="O6" s="1005" t="s">
        <v>414</v>
      </c>
      <c r="P6" s="1005"/>
    </row>
    <row r="13" spans="2:20" ht="15">
      <c r="O13" s="196"/>
      <c r="P13" t="s">
        <v>438</v>
      </c>
      <c r="Q13"/>
      <c r="R13"/>
      <c r="S13"/>
      <c r="T13"/>
    </row>
    <row r="14" spans="2:20" ht="15">
      <c r="O14" s="197"/>
      <c r="P14" t="s">
        <v>592</v>
      </c>
      <c r="Q14"/>
      <c r="R14"/>
      <c r="S14"/>
      <c r="T14"/>
    </row>
    <row r="15" spans="2:20" ht="15">
      <c r="O15" s="198"/>
      <c r="P15" t="s">
        <v>591</v>
      </c>
      <c r="Q15"/>
      <c r="R15"/>
      <c r="S15"/>
      <c r="T15"/>
    </row>
    <row r="16" spans="2:20" ht="15">
      <c r="O16" s="278"/>
      <c r="P16" t="s">
        <v>593</v>
      </c>
      <c r="Q16"/>
      <c r="R16"/>
      <c r="S16"/>
      <c r="T16"/>
    </row>
    <row r="17" spans="2:20" ht="15">
      <c r="O17"/>
      <c r="P17" t="s">
        <v>627</v>
      </c>
      <c r="Q17"/>
      <c r="R17"/>
      <c r="S17"/>
      <c r="T17"/>
    </row>
    <row r="31" spans="2:20">
      <c r="B31" s="202" t="s">
        <v>400</v>
      </c>
    </row>
    <row r="32" spans="2:20" ht="24.75" customHeight="1">
      <c r="B32" s="943" t="s">
        <v>761</v>
      </c>
      <c r="C32" s="943"/>
      <c r="D32" s="943"/>
      <c r="E32" s="943"/>
      <c r="F32" s="943"/>
      <c r="G32" s="943"/>
      <c r="H32" s="943"/>
      <c r="I32" s="943"/>
      <c r="J32" s="943"/>
      <c r="K32" s="943"/>
      <c r="L32" s="943"/>
      <c r="M32" s="943"/>
      <c r="N32" s="943"/>
      <c r="O32" s="287"/>
    </row>
    <row r="33" spans="2:15" s="468" customFormat="1" ht="24.75" customHeight="1">
      <c r="B33" s="943"/>
      <c r="C33" s="943"/>
      <c r="D33" s="943"/>
      <c r="E33" s="943"/>
      <c r="F33" s="943"/>
      <c r="G33" s="943"/>
      <c r="H33" s="943"/>
      <c r="I33" s="943"/>
      <c r="J33" s="943"/>
      <c r="K33" s="943"/>
      <c r="L33" s="943"/>
      <c r="M33" s="943"/>
      <c r="N33" s="943"/>
      <c r="O33" s="467"/>
    </row>
    <row r="34" spans="2:15" ht="24.75" customHeight="1">
      <c r="B34" s="1006" t="s">
        <v>279</v>
      </c>
      <c r="C34" s="1006"/>
      <c r="D34" s="1006"/>
      <c r="E34" s="1006"/>
      <c r="F34" s="1006"/>
      <c r="G34" s="1006"/>
      <c r="H34" s="1006"/>
      <c r="I34" s="1006"/>
      <c r="J34" s="1006"/>
      <c r="K34" s="1006"/>
      <c r="L34" s="1006"/>
      <c r="M34" s="1006"/>
      <c r="N34" s="1006"/>
      <c r="O34" s="287"/>
    </row>
    <row r="35" spans="2:15" s="414" customFormat="1" ht="15">
      <c r="B35" s="205" t="s">
        <v>599</v>
      </c>
      <c r="C35" s="203"/>
      <c r="D35" s="204"/>
      <c r="E35" s="204"/>
      <c r="F35" s="204"/>
      <c r="G35" s="204"/>
      <c r="H35" s="204"/>
      <c r="I35" s="204"/>
      <c r="J35" s="203"/>
    </row>
    <row r="36" spans="2:15" s="414" customFormat="1" ht="15">
      <c r="B36" s="205" t="s">
        <v>600</v>
      </c>
      <c r="C36" s="203"/>
      <c r="D36" s="204"/>
      <c r="E36" s="204"/>
      <c r="F36" s="204"/>
      <c r="G36" s="204"/>
      <c r="H36" s="204"/>
      <c r="I36" s="204"/>
      <c r="J36" s="203"/>
    </row>
    <row r="37" spans="2:15" s="414" customFormat="1">
      <c r="B37" s="1004" t="s">
        <v>394</v>
      </c>
      <c r="C37" s="1004"/>
      <c r="D37" s="1004"/>
      <c r="E37" s="1004"/>
      <c r="F37" s="1004"/>
      <c r="G37" s="1004"/>
      <c r="H37" s="1004"/>
      <c r="I37" s="1004"/>
      <c r="J37" s="1004"/>
      <c r="K37" s="1004"/>
      <c r="L37" s="1004"/>
      <c r="M37" s="1004"/>
      <c r="N37" s="1004"/>
    </row>
    <row r="38" spans="2:15" s="414" customFormat="1">
      <c r="B38" s="1004"/>
      <c r="C38" s="1004"/>
      <c r="D38" s="1004"/>
      <c r="E38" s="1004"/>
      <c r="F38" s="1004"/>
      <c r="G38" s="1004"/>
      <c r="H38" s="1004"/>
      <c r="I38" s="1004"/>
      <c r="J38" s="1004"/>
      <c r="K38" s="1004"/>
      <c r="L38" s="1004"/>
      <c r="M38" s="1004"/>
      <c r="N38" s="1004"/>
    </row>
    <row r="39" spans="2:15" s="784" customFormat="1" ht="15">
      <c r="B39" s="205" t="s">
        <v>755</v>
      </c>
      <c r="C39" s="203"/>
      <c r="D39" s="204"/>
      <c r="E39" s="204"/>
      <c r="F39" s="204"/>
      <c r="G39" s="204"/>
      <c r="H39" s="204"/>
      <c r="I39" s="204"/>
      <c r="J39" s="203"/>
    </row>
  </sheetData>
  <sheetProtection password="B8D9" sheet="1" objects="1" scenarios="1"/>
  <mergeCells count="6">
    <mergeCell ref="O1:O4"/>
    <mergeCell ref="B34:N34"/>
    <mergeCell ref="B37:N38"/>
    <mergeCell ref="B1:N2"/>
    <mergeCell ref="O6:P6"/>
    <mergeCell ref="B32:N33"/>
  </mergeCells>
  <hyperlinks>
    <hyperlink ref="O1" location="'List of Tables &amp; Charts'!A1" display="return to List of Tables &amp; Charts"/>
    <hyperlink ref="O6:P6" location="'Chart 2c DATA'!A1" display="view Chart 2c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28.xml><?xml version="1.0" encoding="utf-8"?>
<worksheet xmlns="http://schemas.openxmlformats.org/spreadsheetml/2006/main" xmlns:r="http://schemas.openxmlformats.org/officeDocument/2006/relationships">
  <sheetPr codeName="Sheet11">
    <pageSetUpPr fitToPage="1"/>
  </sheetPr>
  <dimension ref="A1:W133"/>
  <sheetViews>
    <sheetView workbookViewId="0">
      <selection sqref="A1:A2"/>
    </sheetView>
  </sheetViews>
  <sheetFormatPr defaultRowHeight="11.25"/>
  <cols>
    <col min="1" max="1" width="15.7109375" style="207" customWidth="1"/>
    <col min="2" max="8" width="9.140625" style="207"/>
    <col min="9" max="14" width="9.7109375" style="207" customWidth="1"/>
    <col min="15" max="15" width="10.42578125" style="207" bestFit="1" customWidth="1"/>
    <col min="16" max="16" width="45.7109375" style="207" customWidth="1"/>
    <col min="17" max="20" width="11.7109375" style="310" customWidth="1"/>
    <col min="21" max="16384" width="9.140625" style="207"/>
  </cols>
  <sheetData>
    <row r="1" spans="1:21" ht="15" customHeight="1">
      <c r="A1" s="988" t="s">
        <v>25</v>
      </c>
      <c r="B1" s="1001" t="s">
        <v>42</v>
      </c>
      <c r="C1" s="991"/>
      <c r="D1" s="991"/>
      <c r="E1" s="991"/>
      <c r="F1" s="991"/>
      <c r="G1" s="991"/>
      <c r="H1" s="991"/>
      <c r="I1" s="290"/>
      <c r="J1" s="316"/>
      <c r="K1" s="316"/>
      <c r="L1" s="291"/>
      <c r="M1" s="291"/>
      <c r="N1" s="291"/>
      <c r="O1" s="992" t="s">
        <v>20</v>
      </c>
      <c r="P1" s="993"/>
      <c r="Q1" s="992">
        <v>2015</v>
      </c>
      <c r="R1" s="992"/>
      <c r="S1" s="992">
        <v>2016</v>
      </c>
      <c r="T1" s="992"/>
    </row>
    <row r="2" spans="1:21" ht="23.25" customHeight="1">
      <c r="A2" s="1000"/>
      <c r="B2" s="292" t="s">
        <v>438</v>
      </c>
      <c r="C2" s="292" t="s">
        <v>586</v>
      </c>
      <c r="D2" s="293" t="s">
        <v>21</v>
      </c>
      <c r="E2" s="1007" t="s">
        <v>449</v>
      </c>
      <c r="F2" s="1008"/>
      <c r="G2" s="1009" t="s">
        <v>587</v>
      </c>
      <c r="H2" s="1010"/>
      <c r="I2" s="294" t="s">
        <v>446</v>
      </c>
      <c r="J2" s="295" t="s">
        <v>589</v>
      </c>
      <c r="K2" s="295" t="s">
        <v>22</v>
      </c>
      <c r="L2" s="317" t="s">
        <v>43</v>
      </c>
      <c r="M2" s="317" t="s">
        <v>44</v>
      </c>
      <c r="N2" s="298" t="s">
        <v>23</v>
      </c>
      <c r="O2" s="299" t="s">
        <v>24</v>
      </c>
      <c r="P2" s="300" t="s">
        <v>25</v>
      </c>
      <c r="Q2" s="300" t="s">
        <v>26</v>
      </c>
      <c r="R2" s="300" t="s">
        <v>27</v>
      </c>
      <c r="S2" s="300" t="s">
        <v>26</v>
      </c>
      <c r="T2" s="300" t="s">
        <v>27</v>
      </c>
      <c r="U2" s="856" t="s">
        <v>792</v>
      </c>
    </row>
    <row r="3" spans="1:21" ht="12">
      <c r="A3" s="301" t="str">
        <f t="shared" ref="A3:A32" si="0">O3</f>
        <v>Scotland</v>
      </c>
      <c r="B3" s="302">
        <f t="shared" ref="B3" si="1">Q3/R3*100</f>
        <v>91.378928729526336</v>
      </c>
      <c r="C3" s="302">
        <f t="shared" ref="C3" si="2">S3/T3*100</f>
        <v>92.761050608584242</v>
      </c>
      <c r="D3" s="302">
        <f>95</f>
        <v>95</v>
      </c>
      <c r="E3" s="16">
        <f t="shared" ref="E3" si="3">SUM(1*MID(I3,1,FIND(" - ",I3)-1))</f>
        <v>91</v>
      </c>
      <c r="F3" s="303">
        <f t="shared" ref="F3" si="4">SUM(1*MID(I3,FIND(" - ",I3)+2,LEN(I3)))</f>
        <v>92</v>
      </c>
      <c r="G3" s="303">
        <f t="shared" ref="G3" si="5">SUM(1*MID(J3,1,FIND(" - ",J3)-1))</f>
        <v>92</v>
      </c>
      <c r="H3" s="303">
        <f t="shared" ref="H3" si="6">SUM(1*MID(J3,FIND(" - ",J3)+2,LEN(J3)))</f>
        <v>93</v>
      </c>
      <c r="I3" s="304"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91 - 92</v>
      </c>
      <c r="J3" s="305"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92 - 93</v>
      </c>
      <c r="K3" s="306">
        <f t="shared" ref="K3" si="9">C3-B3</f>
        <v>1.3821218790579053</v>
      </c>
      <c r="L3" s="318">
        <f t="shared" ref="L3" si="10">((S3/T3)-(Q3/R3))-(NORMSINV(1-(0.05/COUNTA($O$3:$O$32)))*(SQRT((((Q3/R3)*(1-(Q3/R3)))/R3)+(((S3/T3)*(1-(S3/T3)))/T3))))</f>
        <v>2.1216760165034473E-3</v>
      </c>
      <c r="M3" s="318">
        <f t="shared" ref="M3" si="11">((S3/T3)-(Q3/R3))+(NORMSINV(1-(0.05/COUNTA($O$3:$O$32)))*(SQRT((((Q3/R3)*(1-(Q3/R3)))/R3)+(((S3/T3)*(1-(S3/T3)))/T3))))</f>
        <v>2.5520761564654472E-2</v>
      </c>
      <c r="N3" s="308">
        <f t="shared" ref="N3" si="12">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1</v>
      </c>
      <c r="O3" s="301" t="str">
        <f t="shared" ref="O3" si="13">VLOOKUP(P3,Hospitals,3,FALSE)</f>
        <v>Scotland</v>
      </c>
      <c r="P3" s="301" t="s">
        <v>280</v>
      </c>
      <c r="Q3" s="403">
        <f>SUM(Q4:Q32)</f>
        <v>8257</v>
      </c>
      <c r="R3" s="403">
        <f t="shared" ref="R3:T3" si="14">SUM(R4:R32)</f>
        <v>9036</v>
      </c>
      <c r="S3" s="403">
        <f t="shared" si="14"/>
        <v>8688</v>
      </c>
      <c r="T3" s="403">
        <f t="shared" si="14"/>
        <v>9366</v>
      </c>
      <c r="U3" s="856">
        <v>0</v>
      </c>
    </row>
    <row r="4" spans="1:21" ht="12">
      <c r="A4" s="301" t="str">
        <f t="shared" si="0"/>
        <v>Western Isles</v>
      </c>
      <c r="B4" s="302">
        <f t="shared" ref="B4:B32" si="15">Q4/R4*100</f>
        <v>97.058823529411768</v>
      </c>
      <c r="C4" s="302">
        <f t="shared" ref="C4:C32" si="16">S4/T4*100</f>
        <v>100</v>
      </c>
      <c r="D4" s="303">
        <f>95</f>
        <v>95</v>
      </c>
      <c r="E4" s="303">
        <f t="shared" ref="E4:E32" si="17">SUM(1*MID(I4,1,FIND(" - ",I4)-1))</f>
        <v>85</v>
      </c>
      <c r="F4" s="303">
        <f t="shared" ref="F4:F32" si="18">SUM(1*MID(I4,FIND(" - ",I4)+2,LEN(I4)))</f>
        <v>99</v>
      </c>
      <c r="G4" s="303">
        <f t="shared" ref="G4:G32" si="19">SUM(1*MID(J4,1,FIND(" - ",J4)-1))</f>
        <v>88</v>
      </c>
      <c r="H4" s="303">
        <f t="shared" ref="H4:H32" si="20">SUM(1*MID(J4,FIND(" - ",J4)+2,LEN(J4)))</f>
        <v>100</v>
      </c>
      <c r="I4" s="309" t="str">
        <f t="shared" ref="I4:I32" si="21">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85 - 99</v>
      </c>
      <c r="J4" s="305" t="str">
        <f t="shared" ref="J4:J32" si="22">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88 - 100</v>
      </c>
      <c r="K4" s="306">
        <f t="shared" ref="K4:K32" si="23">C4-B4</f>
        <v>2.941176470588232</v>
      </c>
      <c r="L4" s="318">
        <f t="shared" ref="L4:L32" si="24">((S4/T4)-(Q4/R4))-(NORMSINV(1-(0.05/COUNTA($O$3:$O$32)))*(SQRT((((Q4/R4)*(1-(Q4/R4)))/R4)+(((S4/T4)*(1-(S4/T4)))/T4))))</f>
        <v>-5.5638606712969996E-2</v>
      </c>
      <c r="M4" s="318">
        <f t="shared" ref="M4:M32" si="25">((S4/T4)-(Q4/R4))+(NORMSINV(1-(0.05/COUNTA($O$3:$O$32)))*(SQRT((((Q4/R4)*(1-(Q4/R4)))/R4)+(((S4/T4)*(1-(S4/T4)))/T4))))</f>
        <v>0.11446213612473471</v>
      </c>
      <c r="N4" s="308">
        <f t="shared" ref="N4:N32" si="26">IF(ISERR(IF(AND(((S4/T4)-(Q4/R4))-(NORMSINV(1-(0.05/COUNTA($P$3:$P$32)))*(SQRT((((Q4/R4)*(1-(Q4/R4)))/R4)+(((S4/T4)*(1-(S4/T4)))/T4))))&gt;0,((S4/T4)-(Q4/R4))+(NORMSINV(1-(0.05/COUNTA($P$3:$P$32)))*(SQRT((((Q4/R4)*(1-(Q4/R4)))/R4)+(((S4/T4)*(1-(S4/T4)))/T4))))&gt;0),1,IF(AND(((S4/T4)-(Q4/R4))-(NORMSINV(1-(0.05/COUNTA($P$3:$P$32)))*(SQRT((((Q4/R4)*(1-(Q4/R4)))/R4)+(((S4/T4)*(1-(S4/T4)))/T4))))&lt;0,((S4/T4)-(Q4/R4))+(NORMSINV(1-(0.05/COUNTA($P$3:$P$32)))*(SQRT((((Q4/R4)*(1-(Q4/R4)))/R4)+(((S4/T4)*(1-(S4/T4)))/T4))))&lt;0),-1,0))),"",IF(AND(((S4/T4)-(Q4/R4))-(NORMSINV(1-(0.05/COUNTA($P$3:$P$32)))*(SQRT((((Q4/R4)*(1-(Q4/R4)))/R4)+(((S4/T4)*(1-(S4/T4)))/T4))))&gt;0,((S4/T4)-(Q4/R4))+(NORMSINV(1-(0.05/COUNTA($P$3:$P$32)))*(SQRT((((Q4/R4)*(1-(Q4/R4)))/R4)+(((S4/T4)*(1-(S4/T4)))/T4))))&gt;0),1,IF(AND(((S4/T4)-(Q4/R4))-(NORMSINV(1-(0.05/COUNTA($P$3:$P$32)))*(SQRT((((Q4/R4)*(1-(Q4/R4)))/R4)+(((S4/T4)*(1-(S4/T4)))/T4))))&lt;0,((S4/T4)-(Q4/R4))+(NORMSINV(1-(0.05/COUNTA($P$3:$P$32)))*(SQRT((((Q4/R4)*(1-(Q4/R4)))/R4)+(((S4/T4)*(1-(S4/T4)))/T4))))&lt;0),-1,0)))</f>
        <v>0</v>
      </c>
      <c r="O4" s="301" t="str">
        <f t="shared" ref="O4:O32" si="27">VLOOKUP(P4,Hospitals,3,FALSE)</f>
        <v>Western Isles</v>
      </c>
      <c r="P4" s="301" t="s">
        <v>132</v>
      </c>
      <c r="Q4" s="403">
        <v>33</v>
      </c>
      <c r="R4" s="403">
        <v>34</v>
      </c>
      <c r="S4" s="403">
        <v>29</v>
      </c>
      <c r="T4" s="403">
        <v>29</v>
      </c>
      <c r="U4" s="856">
        <v>1</v>
      </c>
    </row>
    <row r="5" spans="1:21" ht="12">
      <c r="A5" s="301" t="str">
        <f t="shared" si="0"/>
        <v>Borders</v>
      </c>
      <c r="B5" s="302">
        <f t="shared" si="15"/>
        <v>99.111111111111114</v>
      </c>
      <c r="C5" s="302">
        <f t="shared" si="16"/>
        <v>98.611111111111114</v>
      </c>
      <c r="D5" s="303">
        <f>95</f>
        <v>95</v>
      </c>
      <c r="E5" s="303">
        <f t="shared" si="17"/>
        <v>97</v>
      </c>
      <c r="F5" s="303">
        <f t="shared" si="18"/>
        <v>100</v>
      </c>
      <c r="G5" s="303">
        <f t="shared" si="19"/>
        <v>96</v>
      </c>
      <c r="H5" s="303">
        <f t="shared" si="20"/>
        <v>100</v>
      </c>
      <c r="I5" s="309" t="str">
        <f t="shared" si="21"/>
        <v>97 - 100</v>
      </c>
      <c r="J5" s="305" t="str">
        <f t="shared" si="22"/>
        <v>96 - 100</v>
      </c>
      <c r="K5" s="306">
        <f t="shared" si="23"/>
        <v>-0.5</v>
      </c>
      <c r="L5" s="318">
        <f t="shared" si="24"/>
        <v>-3.4725667582099981E-2</v>
      </c>
      <c r="M5" s="318">
        <f t="shared" si="25"/>
        <v>2.4725667582099972E-2</v>
      </c>
      <c r="N5" s="308">
        <f t="shared" si="26"/>
        <v>0</v>
      </c>
      <c r="O5" s="301" t="str">
        <f t="shared" si="27"/>
        <v>Borders</v>
      </c>
      <c r="P5" s="301" t="s">
        <v>62</v>
      </c>
      <c r="Q5" s="403">
        <v>223</v>
      </c>
      <c r="R5" s="403">
        <v>225</v>
      </c>
      <c r="S5" s="403">
        <v>213</v>
      </c>
      <c r="T5" s="403">
        <v>216</v>
      </c>
      <c r="U5" s="856">
        <v>2</v>
      </c>
    </row>
    <row r="6" spans="1:21" ht="12">
      <c r="A6" s="301" t="str">
        <f t="shared" si="0"/>
        <v>Wishaw</v>
      </c>
      <c r="B6" s="302">
        <f t="shared" si="15"/>
        <v>96.352583586626139</v>
      </c>
      <c r="C6" s="302">
        <f t="shared" si="16"/>
        <v>95.96541786743515</v>
      </c>
      <c r="D6" s="303">
        <f>95</f>
        <v>95</v>
      </c>
      <c r="E6" s="303">
        <f t="shared" si="17"/>
        <v>94</v>
      </c>
      <c r="F6" s="303">
        <f t="shared" si="18"/>
        <v>98</v>
      </c>
      <c r="G6" s="303">
        <f t="shared" si="19"/>
        <v>93</v>
      </c>
      <c r="H6" s="303">
        <f t="shared" si="20"/>
        <v>98</v>
      </c>
      <c r="I6" s="309" t="str">
        <f t="shared" si="21"/>
        <v>94 - 98</v>
      </c>
      <c r="J6" s="305" t="str">
        <f t="shared" si="22"/>
        <v>93 - 98</v>
      </c>
      <c r="K6" s="306">
        <f t="shared" si="23"/>
        <v>-0.38716571919098897</v>
      </c>
      <c r="L6" s="318">
        <f t="shared" si="24"/>
        <v>-4.7249040916116522E-2</v>
      </c>
      <c r="M6" s="318">
        <f t="shared" si="25"/>
        <v>3.9505726532296823E-2</v>
      </c>
      <c r="N6" s="308">
        <f t="shared" si="26"/>
        <v>0</v>
      </c>
      <c r="O6" s="301" t="str">
        <f t="shared" si="27"/>
        <v>Wishaw</v>
      </c>
      <c r="P6" s="301" t="s">
        <v>106</v>
      </c>
      <c r="Q6" s="403">
        <v>317</v>
      </c>
      <c r="R6" s="403">
        <v>329</v>
      </c>
      <c r="S6" s="403">
        <v>333</v>
      </c>
      <c r="T6" s="403">
        <v>347</v>
      </c>
      <c r="U6" s="856">
        <v>3</v>
      </c>
    </row>
    <row r="7" spans="1:21" ht="12">
      <c r="A7" s="301" t="str">
        <f t="shared" si="0"/>
        <v>SJH</v>
      </c>
      <c r="B7" s="302">
        <f t="shared" si="15"/>
        <v>96.774193548387103</v>
      </c>
      <c r="C7" s="302">
        <f t="shared" si="16"/>
        <v>95.555555555555557</v>
      </c>
      <c r="D7" s="303">
        <f>95</f>
        <v>95</v>
      </c>
      <c r="E7" s="303">
        <f t="shared" si="17"/>
        <v>94</v>
      </c>
      <c r="F7" s="303">
        <f t="shared" si="18"/>
        <v>98</v>
      </c>
      <c r="G7" s="303">
        <f t="shared" si="19"/>
        <v>92</v>
      </c>
      <c r="H7" s="303">
        <f t="shared" si="20"/>
        <v>97</v>
      </c>
      <c r="I7" s="309" t="str">
        <f t="shared" si="21"/>
        <v>94 - 98</v>
      </c>
      <c r="J7" s="305" t="str">
        <f t="shared" si="22"/>
        <v>92 - 97</v>
      </c>
      <c r="K7" s="306">
        <f t="shared" si="23"/>
        <v>-1.2186379928315461</v>
      </c>
      <c r="L7" s="318">
        <f t="shared" si="24"/>
        <v>-6.1578909656152765E-2</v>
      </c>
      <c r="M7" s="318">
        <f t="shared" si="25"/>
        <v>3.7206149799521977E-2</v>
      </c>
      <c r="N7" s="308">
        <f t="shared" si="26"/>
        <v>0</v>
      </c>
      <c r="O7" s="301" t="str">
        <f t="shared" si="27"/>
        <v>SJH</v>
      </c>
      <c r="P7" s="301" t="s">
        <v>111</v>
      </c>
      <c r="Q7" s="403">
        <v>240</v>
      </c>
      <c r="R7" s="403">
        <v>248</v>
      </c>
      <c r="S7" s="403">
        <v>258</v>
      </c>
      <c r="T7" s="403">
        <v>270</v>
      </c>
      <c r="U7" s="856">
        <v>4</v>
      </c>
    </row>
    <row r="8" spans="1:21" ht="12">
      <c r="A8" s="301" t="str">
        <f t="shared" si="0"/>
        <v>QEUH</v>
      </c>
      <c r="B8" s="302">
        <f t="shared" si="15"/>
        <v>94.483362521891422</v>
      </c>
      <c r="C8" s="302">
        <f t="shared" si="16"/>
        <v>95.497026338147833</v>
      </c>
      <c r="D8" s="303">
        <f>95</f>
        <v>95</v>
      </c>
      <c r="E8" s="303">
        <f t="shared" si="17"/>
        <v>93</v>
      </c>
      <c r="F8" s="303">
        <f t="shared" si="18"/>
        <v>96</v>
      </c>
      <c r="G8" s="303">
        <f t="shared" si="19"/>
        <v>94</v>
      </c>
      <c r="H8" s="303">
        <f t="shared" si="20"/>
        <v>97</v>
      </c>
      <c r="I8" s="309" t="str">
        <f t="shared" si="21"/>
        <v>93 - 96</v>
      </c>
      <c r="J8" s="305" t="str">
        <f t="shared" si="22"/>
        <v>94 - 97</v>
      </c>
      <c r="K8" s="306">
        <f t="shared" si="23"/>
        <v>1.0136638162564111</v>
      </c>
      <c r="L8" s="318">
        <f t="shared" si="24"/>
        <v>-1.6471427666177714E-2</v>
      </c>
      <c r="M8" s="318">
        <f t="shared" si="25"/>
        <v>3.6744703991305812E-2</v>
      </c>
      <c r="N8" s="308">
        <f t="shared" si="26"/>
        <v>0</v>
      </c>
      <c r="O8" s="301" t="str">
        <f t="shared" si="27"/>
        <v>QEUH</v>
      </c>
      <c r="P8" s="301" t="s">
        <v>447</v>
      </c>
      <c r="Q8" s="403">
        <v>1079</v>
      </c>
      <c r="R8" s="403">
        <v>1142</v>
      </c>
      <c r="S8" s="403">
        <v>1124</v>
      </c>
      <c r="T8" s="403">
        <v>1177</v>
      </c>
      <c r="U8" s="856">
        <v>5</v>
      </c>
    </row>
    <row r="9" spans="1:21" ht="12">
      <c r="A9" s="301" t="str">
        <f t="shared" si="0"/>
        <v>VHK</v>
      </c>
      <c r="B9" s="302">
        <f t="shared" si="15"/>
        <v>95.721077654516634</v>
      </c>
      <c r="C9" s="302">
        <f t="shared" si="16"/>
        <v>95.187969924812037</v>
      </c>
      <c r="D9" s="303">
        <f>95</f>
        <v>95</v>
      </c>
      <c r="E9" s="303">
        <f t="shared" si="17"/>
        <v>94</v>
      </c>
      <c r="F9" s="303">
        <f t="shared" si="18"/>
        <v>97</v>
      </c>
      <c r="G9" s="303">
        <f t="shared" si="19"/>
        <v>93</v>
      </c>
      <c r="H9" s="303">
        <f t="shared" si="20"/>
        <v>97</v>
      </c>
      <c r="I9" s="309" t="str">
        <f t="shared" si="21"/>
        <v>94 - 97</v>
      </c>
      <c r="J9" s="305" t="str">
        <f t="shared" si="22"/>
        <v>93 - 97</v>
      </c>
      <c r="K9" s="306">
        <f t="shared" si="23"/>
        <v>-0.53310772970459652</v>
      </c>
      <c r="L9" s="318">
        <f t="shared" si="24"/>
        <v>-3.9281764115721721E-2</v>
      </c>
      <c r="M9" s="318">
        <f t="shared" si="25"/>
        <v>2.8619609521629577E-2</v>
      </c>
      <c r="N9" s="308">
        <f t="shared" si="26"/>
        <v>0</v>
      </c>
      <c r="O9" s="301" t="str">
        <f t="shared" si="27"/>
        <v>VHK</v>
      </c>
      <c r="P9" s="301" t="s">
        <v>281</v>
      </c>
      <c r="Q9" s="403">
        <v>604</v>
      </c>
      <c r="R9" s="403">
        <v>631</v>
      </c>
      <c r="S9" s="403">
        <v>633</v>
      </c>
      <c r="T9" s="403">
        <v>665</v>
      </c>
      <c r="U9" s="856">
        <v>6</v>
      </c>
    </row>
    <row r="10" spans="1:21" ht="12">
      <c r="A10" s="301" t="str">
        <f t="shared" si="0"/>
        <v>FVRH</v>
      </c>
      <c r="B10" s="302">
        <f t="shared" si="15"/>
        <v>96.316758747697975</v>
      </c>
      <c r="C10" s="302">
        <f t="shared" si="16"/>
        <v>95.009596928982717</v>
      </c>
      <c r="D10" s="303">
        <f>95</f>
        <v>95</v>
      </c>
      <c r="E10" s="303">
        <f t="shared" si="17"/>
        <v>94</v>
      </c>
      <c r="F10" s="303">
        <f t="shared" si="18"/>
        <v>98</v>
      </c>
      <c r="G10" s="303">
        <f t="shared" si="19"/>
        <v>93</v>
      </c>
      <c r="H10" s="303">
        <f t="shared" si="20"/>
        <v>97</v>
      </c>
      <c r="I10" s="309" t="str">
        <f t="shared" si="21"/>
        <v>94 - 98</v>
      </c>
      <c r="J10" s="305" t="str">
        <f t="shared" si="22"/>
        <v>93 - 97</v>
      </c>
      <c r="K10" s="306">
        <f t="shared" si="23"/>
        <v>-1.3071618187152581</v>
      </c>
      <c r="L10" s="318">
        <f t="shared" si="24"/>
        <v>-4.9771937868620539E-2</v>
      </c>
      <c r="M10" s="318">
        <f t="shared" si="25"/>
        <v>2.3628701494315493E-2</v>
      </c>
      <c r="N10" s="308">
        <f t="shared" si="26"/>
        <v>0</v>
      </c>
      <c r="O10" s="301" t="str">
        <f t="shared" si="27"/>
        <v>FVRH</v>
      </c>
      <c r="P10" s="301" t="s">
        <v>72</v>
      </c>
      <c r="Q10" s="403">
        <v>523</v>
      </c>
      <c r="R10" s="403">
        <v>543</v>
      </c>
      <c r="S10" s="403">
        <v>495</v>
      </c>
      <c r="T10" s="403">
        <v>521</v>
      </c>
      <c r="U10" s="856">
        <v>7</v>
      </c>
    </row>
    <row r="11" spans="1:21" ht="12">
      <c r="A11" s="301" t="str">
        <f t="shared" si="0"/>
        <v>Caithness</v>
      </c>
      <c r="B11" s="302">
        <f t="shared" si="15"/>
        <v>97.222222222222214</v>
      </c>
      <c r="C11" s="302">
        <f t="shared" si="16"/>
        <v>94.117647058823522</v>
      </c>
      <c r="D11" s="303">
        <f>95</f>
        <v>95</v>
      </c>
      <c r="E11" s="303">
        <f t="shared" si="17"/>
        <v>90</v>
      </c>
      <c r="F11" s="303">
        <f t="shared" si="18"/>
        <v>99</v>
      </c>
      <c r="G11" s="303">
        <f t="shared" si="19"/>
        <v>86</v>
      </c>
      <c r="H11" s="303">
        <f t="shared" si="20"/>
        <v>98</v>
      </c>
      <c r="I11" s="309" t="str">
        <f t="shared" si="21"/>
        <v>90 - 99</v>
      </c>
      <c r="J11" s="305" t="str">
        <f t="shared" si="22"/>
        <v>86 - 98</v>
      </c>
      <c r="K11" s="306">
        <f t="shared" si="23"/>
        <v>-3.1045751633986924</v>
      </c>
      <c r="L11" s="318">
        <f t="shared" si="24"/>
        <v>-0.13226768019016247</v>
      </c>
      <c r="M11" s="318">
        <f t="shared" si="25"/>
        <v>7.017617692218861E-2</v>
      </c>
      <c r="N11" s="308">
        <f t="shared" si="26"/>
        <v>0</v>
      </c>
      <c r="O11" s="301" t="str">
        <f t="shared" si="27"/>
        <v>Caithness</v>
      </c>
      <c r="P11" s="301" t="s">
        <v>91</v>
      </c>
      <c r="Q11" s="403">
        <v>70</v>
      </c>
      <c r="R11" s="403">
        <v>72</v>
      </c>
      <c r="S11" s="403">
        <v>64</v>
      </c>
      <c r="T11" s="403">
        <v>68</v>
      </c>
      <c r="U11" s="856">
        <v>8</v>
      </c>
    </row>
    <row r="12" spans="1:21" ht="12">
      <c r="A12" s="301" t="str">
        <f t="shared" si="0"/>
        <v>GRI</v>
      </c>
      <c r="B12" s="302">
        <f t="shared" si="15"/>
        <v>87.832699619771859</v>
      </c>
      <c r="C12" s="302">
        <f t="shared" si="16"/>
        <v>93.910256410256409</v>
      </c>
      <c r="D12" s="303">
        <f>95</f>
        <v>95</v>
      </c>
      <c r="E12" s="303">
        <f t="shared" si="17"/>
        <v>85</v>
      </c>
      <c r="F12" s="303">
        <f t="shared" si="18"/>
        <v>90</v>
      </c>
      <c r="G12" s="303">
        <f t="shared" si="19"/>
        <v>92</v>
      </c>
      <c r="H12" s="303">
        <f t="shared" si="20"/>
        <v>96</v>
      </c>
      <c r="I12" s="309" t="str">
        <f t="shared" si="21"/>
        <v>85 - 90</v>
      </c>
      <c r="J12" s="305" t="str">
        <f t="shared" si="22"/>
        <v>92 - 96</v>
      </c>
      <c r="K12" s="306">
        <f t="shared" si="23"/>
        <v>6.0775567904845502</v>
      </c>
      <c r="L12" s="318">
        <f t="shared" si="24"/>
        <v>1.0377129528943554E-2</v>
      </c>
      <c r="M12" s="318">
        <f t="shared" si="25"/>
        <v>0.11117400628074746</v>
      </c>
      <c r="N12" s="308">
        <f t="shared" si="26"/>
        <v>1</v>
      </c>
      <c r="O12" s="301" t="str">
        <f t="shared" si="27"/>
        <v>GRI</v>
      </c>
      <c r="P12" s="301" t="s">
        <v>79</v>
      </c>
      <c r="Q12" s="403">
        <v>462</v>
      </c>
      <c r="R12" s="403">
        <v>526</v>
      </c>
      <c r="S12" s="403">
        <v>586</v>
      </c>
      <c r="T12" s="403">
        <v>624</v>
      </c>
      <c r="U12" s="856">
        <v>9</v>
      </c>
    </row>
    <row r="13" spans="1:21" ht="12">
      <c r="A13" s="301" t="str">
        <f t="shared" si="0"/>
        <v>Belford</v>
      </c>
      <c r="B13" s="302">
        <f t="shared" si="15"/>
        <v>82.142857142857139</v>
      </c>
      <c r="C13" s="302">
        <f t="shared" si="16"/>
        <v>93.75</v>
      </c>
      <c r="D13" s="303">
        <f>95</f>
        <v>95</v>
      </c>
      <c r="E13" s="303">
        <f t="shared" si="17"/>
        <v>64</v>
      </c>
      <c r="F13" s="303">
        <f t="shared" si="18"/>
        <v>92</v>
      </c>
      <c r="G13" s="303">
        <f t="shared" si="19"/>
        <v>80</v>
      </c>
      <c r="H13" s="303">
        <f t="shared" si="20"/>
        <v>98</v>
      </c>
      <c r="I13" s="309" t="str">
        <f t="shared" si="21"/>
        <v>64 - 92</v>
      </c>
      <c r="J13" s="305" t="str">
        <f t="shared" si="22"/>
        <v>80 - 98</v>
      </c>
      <c r="K13" s="306">
        <f t="shared" si="23"/>
        <v>11.607142857142861</v>
      </c>
      <c r="L13" s="318">
        <f t="shared" si="24"/>
        <v>-0.13072556960819351</v>
      </c>
      <c r="M13" s="318">
        <f t="shared" si="25"/>
        <v>0.36286842675105069</v>
      </c>
      <c r="N13" s="308">
        <f t="shared" si="26"/>
        <v>0</v>
      </c>
      <c r="O13" s="301" t="str">
        <f t="shared" si="27"/>
        <v>Belford</v>
      </c>
      <c r="P13" s="301" t="s">
        <v>88</v>
      </c>
      <c r="Q13" s="403">
        <v>23</v>
      </c>
      <c r="R13" s="403">
        <v>28</v>
      </c>
      <c r="S13" s="403">
        <v>30</v>
      </c>
      <c r="T13" s="403">
        <v>32</v>
      </c>
      <c r="U13" s="856">
        <v>10</v>
      </c>
    </row>
    <row r="14" spans="1:21" ht="12">
      <c r="A14" s="301" t="str">
        <f t="shared" si="0"/>
        <v>Hairmyres</v>
      </c>
      <c r="B14" s="302">
        <f t="shared" si="15"/>
        <v>95.016611295681059</v>
      </c>
      <c r="C14" s="302">
        <f t="shared" si="16"/>
        <v>93.333333333333329</v>
      </c>
      <c r="D14" s="303">
        <f>95</f>
        <v>95</v>
      </c>
      <c r="E14" s="303">
        <f t="shared" si="17"/>
        <v>92</v>
      </c>
      <c r="F14" s="303">
        <f t="shared" si="18"/>
        <v>97</v>
      </c>
      <c r="G14" s="303">
        <f t="shared" si="19"/>
        <v>90</v>
      </c>
      <c r="H14" s="303">
        <f t="shared" si="20"/>
        <v>96</v>
      </c>
      <c r="I14" s="309" t="str">
        <f t="shared" si="21"/>
        <v>92 - 97</v>
      </c>
      <c r="J14" s="305" t="str">
        <f t="shared" si="22"/>
        <v>90 - 96</v>
      </c>
      <c r="K14" s="306">
        <f t="shared" si="23"/>
        <v>-1.6832779623477307</v>
      </c>
      <c r="L14" s="318">
        <f t="shared" si="24"/>
        <v>-7.2123819904207589E-2</v>
      </c>
      <c r="M14" s="318">
        <f t="shared" si="25"/>
        <v>3.845826065725301E-2</v>
      </c>
      <c r="N14" s="308">
        <f t="shared" si="26"/>
        <v>0</v>
      </c>
      <c r="O14" s="301" t="str">
        <f t="shared" si="27"/>
        <v>Hairmyres</v>
      </c>
      <c r="P14" s="301" t="s">
        <v>100</v>
      </c>
      <c r="Q14" s="403">
        <v>286</v>
      </c>
      <c r="R14" s="403">
        <v>301</v>
      </c>
      <c r="S14" s="403">
        <v>294</v>
      </c>
      <c r="T14" s="403">
        <v>315</v>
      </c>
      <c r="U14" s="856">
        <v>11</v>
      </c>
    </row>
    <row r="15" spans="1:21" ht="12">
      <c r="A15" s="301" t="str">
        <f t="shared" si="0"/>
        <v>Crosshouse</v>
      </c>
      <c r="B15" s="302">
        <f t="shared" si="15"/>
        <v>86.889460154241647</v>
      </c>
      <c r="C15" s="302">
        <f t="shared" si="16"/>
        <v>93.19899244332494</v>
      </c>
      <c r="D15" s="303">
        <f>95</f>
        <v>95</v>
      </c>
      <c r="E15" s="303">
        <f t="shared" si="17"/>
        <v>83</v>
      </c>
      <c r="F15" s="303">
        <f t="shared" si="18"/>
        <v>90</v>
      </c>
      <c r="G15" s="303">
        <f t="shared" si="19"/>
        <v>91</v>
      </c>
      <c r="H15" s="303">
        <f t="shared" si="20"/>
        <v>95</v>
      </c>
      <c r="I15" s="309" t="str">
        <f t="shared" si="21"/>
        <v>83 - 90</v>
      </c>
      <c r="J15" s="305" t="str">
        <f t="shared" si="22"/>
        <v>91 - 95</v>
      </c>
      <c r="K15" s="306">
        <f t="shared" si="23"/>
        <v>6.3095322890832932</v>
      </c>
      <c r="L15" s="318">
        <f t="shared" si="24"/>
        <v>6.4319240841200706E-3</v>
      </c>
      <c r="M15" s="318">
        <f t="shared" si="25"/>
        <v>0.11975872169754564</v>
      </c>
      <c r="N15" s="308">
        <f t="shared" si="26"/>
        <v>1</v>
      </c>
      <c r="O15" s="301" t="str">
        <f t="shared" si="27"/>
        <v>Crosshouse</v>
      </c>
      <c r="P15" s="301" t="s">
        <v>59</v>
      </c>
      <c r="Q15" s="403">
        <v>338</v>
      </c>
      <c r="R15" s="403">
        <v>389</v>
      </c>
      <c r="S15" s="403">
        <v>740</v>
      </c>
      <c r="T15" s="403">
        <v>794</v>
      </c>
      <c r="U15" s="856">
        <v>12</v>
      </c>
    </row>
    <row r="16" spans="1:21" ht="12">
      <c r="A16" s="301" t="str">
        <f t="shared" si="0"/>
        <v>IRH</v>
      </c>
      <c r="B16" s="302">
        <f t="shared" si="15"/>
        <v>90.995260663507111</v>
      </c>
      <c r="C16" s="302">
        <f t="shared" si="16"/>
        <v>92.929292929292927</v>
      </c>
      <c r="D16" s="303">
        <f>95</f>
        <v>95</v>
      </c>
      <c r="E16" s="303">
        <f t="shared" si="17"/>
        <v>86</v>
      </c>
      <c r="F16" s="303">
        <f t="shared" si="18"/>
        <v>94</v>
      </c>
      <c r="G16" s="303">
        <f t="shared" si="19"/>
        <v>88</v>
      </c>
      <c r="H16" s="303">
        <f t="shared" si="20"/>
        <v>96</v>
      </c>
      <c r="I16" s="309" t="str">
        <f t="shared" si="21"/>
        <v>86 - 94</v>
      </c>
      <c r="J16" s="305" t="str">
        <f t="shared" si="22"/>
        <v>88 - 96</v>
      </c>
      <c r="K16" s="306">
        <f t="shared" si="23"/>
        <v>1.9340322657858167</v>
      </c>
      <c r="L16" s="318">
        <f t="shared" si="24"/>
        <v>-5.9429860807943671E-2</v>
      </c>
      <c r="M16" s="318">
        <f t="shared" si="25"/>
        <v>9.8110506123660138E-2</v>
      </c>
      <c r="N16" s="308">
        <f t="shared" si="26"/>
        <v>0</v>
      </c>
      <c r="O16" s="301" t="str">
        <f t="shared" si="27"/>
        <v>IRH</v>
      </c>
      <c r="P16" s="301" t="s">
        <v>81</v>
      </c>
      <c r="Q16" s="403">
        <v>192</v>
      </c>
      <c r="R16" s="403">
        <v>211</v>
      </c>
      <c r="S16" s="403">
        <v>184</v>
      </c>
      <c r="T16" s="403">
        <v>198</v>
      </c>
      <c r="U16" s="856">
        <v>13</v>
      </c>
    </row>
    <row r="17" spans="1:21" ht="12">
      <c r="A17" s="301" t="str">
        <f t="shared" si="0"/>
        <v>Gilbert Bain</v>
      </c>
      <c r="B17" s="302">
        <f t="shared" si="15"/>
        <v>85.714285714285708</v>
      </c>
      <c r="C17" s="302">
        <f t="shared" si="16"/>
        <v>92.682926829268297</v>
      </c>
      <c r="D17" s="303">
        <f>95</f>
        <v>95</v>
      </c>
      <c r="E17" s="303">
        <f t="shared" si="17"/>
        <v>71</v>
      </c>
      <c r="F17" s="303">
        <f t="shared" si="18"/>
        <v>94</v>
      </c>
      <c r="G17" s="303">
        <f t="shared" si="19"/>
        <v>81</v>
      </c>
      <c r="H17" s="303">
        <f t="shared" si="20"/>
        <v>97</v>
      </c>
      <c r="I17" s="309" t="str">
        <f t="shared" si="21"/>
        <v>71 - 94</v>
      </c>
      <c r="J17" s="305" t="str">
        <f t="shared" si="22"/>
        <v>81 - 97</v>
      </c>
      <c r="K17" s="306">
        <f t="shared" si="23"/>
        <v>6.9686411149825886</v>
      </c>
      <c r="L17" s="318">
        <f t="shared" si="24"/>
        <v>-0.14100714585733012</v>
      </c>
      <c r="M17" s="318">
        <f t="shared" si="25"/>
        <v>0.28037996815698185</v>
      </c>
      <c r="N17" s="308">
        <f t="shared" si="26"/>
        <v>0</v>
      </c>
      <c r="O17" s="301" t="str">
        <f t="shared" si="27"/>
        <v>Gilbert Bain</v>
      </c>
      <c r="P17" s="301" t="s">
        <v>120</v>
      </c>
      <c r="Q17" s="403">
        <v>30</v>
      </c>
      <c r="R17" s="403">
        <v>35</v>
      </c>
      <c r="S17" s="403">
        <v>38</v>
      </c>
      <c r="T17" s="403">
        <v>41</v>
      </c>
      <c r="U17" s="856">
        <v>14</v>
      </c>
    </row>
    <row r="18" spans="1:21" ht="12">
      <c r="A18" s="301" t="str">
        <f t="shared" si="0"/>
        <v>ARI</v>
      </c>
      <c r="B18" s="302">
        <f t="shared" si="15"/>
        <v>93.314366998577526</v>
      </c>
      <c r="C18" s="302">
        <f t="shared" si="16"/>
        <v>92.575757575757578</v>
      </c>
      <c r="D18" s="303">
        <f>95</f>
        <v>95</v>
      </c>
      <c r="E18" s="303">
        <f t="shared" si="17"/>
        <v>91</v>
      </c>
      <c r="F18" s="303">
        <f t="shared" si="18"/>
        <v>95</v>
      </c>
      <c r="G18" s="303">
        <f t="shared" si="19"/>
        <v>90</v>
      </c>
      <c r="H18" s="303">
        <f t="shared" si="20"/>
        <v>94</v>
      </c>
      <c r="I18" s="309" t="str">
        <f t="shared" si="21"/>
        <v>91 - 95</v>
      </c>
      <c r="J18" s="305" t="str">
        <f t="shared" si="22"/>
        <v>90 - 94</v>
      </c>
      <c r="K18" s="306">
        <f t="shared" si="23"/>
        <v>-0.73860942281994824</v>
      </c>
      <c r="L18" s="318">
        <f t="shared" si="24"/>
        <v>-4.8150555232618034E-2</v>
      </c>
      <c r="M18" s="318">
        <f t="shared" si="25"/>
        <v>3.3378366776219096E-2</v>
      </c>
      <c r="N18" s="308">
        <f t="shared" si="26"/>
        <v>0</v>
      </c>
      <c r="O18" s="301" t="str">
        <f t="shared" si="27"/>
        <v>ARI</v>
      </c>
      <c r="P18" s="301" t="s">
        <v>74</v>
      </c>
      <c r="Q18" s="403">
        <v>656</v>
      </c>
      <c r="R18" s="403">
        <v>703</v>
      </c>
      <c r="S18" s="403">
        <v>611</v>
      </c>
      <c r="T18" s="403">
        <v>660</v>
      </c>
      <c r="U18" s="856">
        <v>15</v>
      </c>
    </row>
    <row r="19" spans="1:21" ht="12">
      <c r="A19" s="301" t="str">
        <f t="shared" si="0"/>
        <v>WGH</v>
      </c>
      <c r="B19" s="302">
        <f t="shared" si="15"/>
        <v>88.979591836734699</v>
      </c>
      <c r="C19" s="302">
        <f t="shared" si="16"/>
        <v>92.070484581497809</v>
      </c>
      <c r="D19" s="303">
        <f>95</f>
        <v>95</v>
      </c>
      <c r="E19" s="303">
        <f t="shared" si="17"/>
        <v>84</v>
      </c>
      <c r="F19" s="303">
        <f t="shared" si="18"/>
        <v>92</v>
      </c>
      <c r="G19" s="303">
        <f t="shared" si="19"/>
        <v>88</v>
      </c>
      <c r="H19" s="303">
        <f t="shared" si="20"/>
        <v>95</v>
      </c>
      <c r="I19" s="309" t="str">
        <f t="shared" si="21"/>
        <v>84 - 92</v>
      </c>
      <c r="J19" s="305" t="str">
        <f t="shared" si="22"/>
        <v>88 - 95</v>
      </c>
      <c r="K19" s="306">
        <f t="shared" si="23"/>
        <v>3.09089274476311</v>
      </c>
      <c r="L19" s="318">
        <f t="shared" si="24"/>
        <v>-4.7952406961382935E-2</v>
      </c>
      <c r="M19" s="318">
        <f t="shared" si="25"/>
        <v>0.10977026185664508</v>
      </c>
      <c r="N19" s="308">
        <f t="shared" si="26"/>
        <v>0</v>
      </c>
      <c r="O19" s="301" t="str">
        <f t="shared" si="27"/>
        <v>WGH</v>
      </c>
      <c r="P19" s="301" t="s">
        <v>114</v>
      </c>
      <c r="Q19" s="403">
        <v>218</v>
      </c>
      <c r="R19" s="403">
        <v>245</v>
      </c>
      <c r="S19" s="403">
        <v>209</v>
      </c>
      <c r="T19" s="403">
        <v>227</v>
      </c>
      <c r="U19" s="856">
        <v>16</v>
      </c>
    </row>
    <row r="20" spans="1:21" ht="12">
      <c r="A20" s="301" t="str">
        <f t="shared" si="0"/>
        <v>Dr Grays</v>
      </c>
      <c r="B20" s="302">
        <f t="shared" si="15"/>
        <v>93.07692307692308</v>
      </c>
      <c r="C20" s="302">
        <f t="shared" si="16"/>
        <v>91.970802919708035</v>
      </c>
      <c r="D20" s="303">
        <f>95</f>
        <v>95</v>
      </c>
      <c r="E20" s="303">
        <f t="shared" si="17"/>
        <v>87</v>
      </c>
      <c r="F20" s="303">
        <f t="shared" si="18"/>
        <v>96</v>
      </c>
      <c r="G20" s="303">
        <f t="shared" si="19"/>
        <v>86</v>
      </c>
      <c r="H20" s="303">
        <f t="shared" si="20"/>
        <v>95</v>
      </c>
      <c r="I20" s="309" t="str">
        <f t="shared" si="21"/>
        <v>87 - 96</v>
      </c>
      <c r="J20" s="305" t="str">
        <f t="shared" si="22"/>
        <v>86 - 95</v>
      </c>
      <c r="K20" s="306">
        <f t="shared" si="23"/>
        <v>-1.1061201572150452</v>
      </c>
      <c r="L20" s="318">
        <f t="shared" si="24"/>
        <v>-0.10547666213708118</v>
      </c>
      <c r="M20" s="318">
        <f t="shared" si="25"/>
        <v>8.335425899278015E-2</v>
      </c>
      <c r="N20" s="308">
        <f t="shared" si="26"/>
        <v>0</v>
      </c>
      <c r="O20" s="301" t="str">
        <f t="shared" si="27"/>
        <v>Dr Grays</v>
      </c>
      <c r="P20" s="301" t="s">
        <v>76</v>
      </c>
      <c r="Q20" s="403">
        <v>121</v>
      </c>
      <c r="R20" s="403">
        <v>130</v>
      </c>
      <c r="S20" s="403">
        <v>126</v>
      </c>
      <c r="T20" s="403">
        <v>137</v>
      </c>
      <c r="U20" s="856">
        <v>17</v>
      </c>
    </row>
    <row r="21" spans="1:21" ht="12">
      <c r="A21" s="301" t="str">
        <f t="shared" si="0"/>
        <v>PRI</v>
      </c>
      <c r="B21" s="302">
        <f t="shared" si="15"/>
        <v>94.652406417112303</v>
      </c>
      <c r="C21" s="302">
        <f t="shared" si="16"/>
        <v>91.629955947136565</v>
      </c>
      <c r="D21" s="303">
        <f>95</f>
        <v>95</v>
      </c>
      <c r="E21" s="303">
        <f t="shared" si="17"/>
        <v>90</v>
      </c>
      <c r="F21" s="303">
        <f t="shared" si="18"/>
        <v>97</v>
      </c>
      <c r="G21" s="303">
        <f t="shared" si="19"/>
        <v>87</v>
      </c>
      <c r="H21" s="303">
        <f t="shared" si="20"/>
        <v>95</v>
      </c>
      <c r="I21" s="309" t="str">
        <f t="shared" si="21"/>
        <v>90 - 97</v>
      </c>
      <c r="J21" s="305" t="str">
        <f t="shared" si="22"/>
        <v>87 - 95</v>
      </c>
      <c r="K21" s="306">
        <f t="shared" si="23"/>
        <v>-3.0224504699757375</v>
      </c>
      <c r="L21" s="318">
        <f t="shared" si="24"/>
        <v>-0.10263161009504171</v>
      </c>
      <c r="M21" s="318">
        <f t="shared" si="25"/>
        <v>4.2182600695527012E-2</v>
      </c>
      <c r="N21" s="308">
        <f t="shared" si="26"/>
        <v>0</v>
      </c>
      <c r="O21" s="301" t="str">
        <f t="shared" si="27"/>
        <v>PRI</v>
      </c>
      <c r="P21" s="301" t="s">
        <v>126</v>
      </c>
      <c r="Q21" s="403">
        <v>177</v>
      </c>
      <c r="R21" s="403">
        <v>187</v>
      </c>
      <c r="S21" s="403">
        <v>208</v>
      </c>
      <c r="T21" s="403">
        <v>227</v>
      </c>
      <c r="U21" s="856">
        <v>18</v>
      </c>
    </row>
    <row r="22" spans="1:21" ht="12">
      <c r="A22" s="301" t="str">
        <f t="shared" si="0"/>
        <v>RIE</v>
      </c>
      <c r="B22" s="302">
        <f t="shared" si="15"/>
        <v>90.880169671261939</v>
      </c>
      <c r="C22" s="302">
        <f t="shared" si="16"/>
        <v>91.536050156739819</v>
      </c>
      <c r="D22" s="303">
        <f>95</f>
        <v>95</v>
      </c>
      <c r="E22" s="303">
        <f t="shared" si="17"/>
        <v>89</v>
      </c>
      <c r="F22" s="303">
        <f t="shared" si="18"/>
        <v>93</v>
      </c>
      <c r="G22" s="303">
        <f t="shared" si="19"/>
        <v>90</v>
      </c>
      <c r="H22" s="303">
        <f t="shared" si="20"/>
        <v>93</v>
      </c>
      <c r="I22" s="309" t="str">
        <f t="shared" si="21"/>
        <v>89 - 93</v>
      </c>
      <c r="J22" s="305" t="str">
        <f t="shared" si="22"/>
        <v>90 - 93</v>
      </c>
      <c r="K22" s="306">
        <f t="shared" si="23"/>
        <v>0.65588048547787992</v>
      </c>
      <c r="L22" s="318">
        <f t="shared" si="24"/>
        <v>-3.1581596889300144E-2</v>
      </c>
      <c r="M22" s="318">
        <f t="shared" si="25"/>
        <v>4.4699206598857698E-2</v>
      </c>
      <c r="N22" s="308">
        <f t="shared" si="26"/>
        <v>0</v>
      </c>
      <c r="O22" s="301" t="str">
        <f t="shared" si="27"/>
        <v>RIE</v>
      </c>
      <c r="P22" s="301" t="s">
        <v>108</v>
      </c>
      <c r="Q22" s="403">
        <v>857</v>
      </c>
      <c r="R22" s="403">
        <v>943</v>
      </c>
      <c r="S22" s="403">
        <v>876</v>
      </c>
      <c r="T22" s="403">
        <v>957</v>
      </c>
      <c r="U22" s="856">
        <v>19</v>
      </c>
    </row>
    <row r="23" spans="1:21" ht="12">
      <c r="A23" s="301" t="str">
        <f t="shared" si="0"/>
        <v>GCH</v>
      </c>
      <c r="B23" s="302">
        <f t="shared" si="15"/>
        <v>90</v>
      </c>
      <c r="C23" s="302">
        <f t="shared" si="16"/>
        <v>90.909090909090907</v>
      </c>
      <c r="D23" s="303">
        <f>95</f>
        <v>95</v>
      </c>
      <c r="E23" s="303">
        <f t="shared" si="17"/>
        <v>77</v>
      </c>
      <c r="F23" s="303">
        <f t="shared" si="18"/>
        <v>96</v>
      </c>
      <c r="G23" s="303">
        <f t="shared" si="19"/>
        <v>76</v>
      </c>
      <c r="H23" s="303">
        <f t="shared" si="20"/>
        <v>97</v>
      </c>
      <c r="I23" s="309" t="str">
        <f t="shared" si="21"/>
        <v>77 - 96</v>
      </c>
      <c r="J23" s="305" t="str">
        <f t="shared" si="22"/>
        <v>76 - 97</v>
      </c>
      <c r="K23" s="306">
        <f t="shared" si="23"/>
        <v>0.90909090909090651</v>
      </c>
      <c r="L23" s="318">
        <f t="shared" si="24"/>
        <v>-0.19329705760693269</v>
      </c>
      <c r="M23" s="318">
        <f t="shared" si="25"/>
        <v>0.21147887578875077</v>
      </c>
      <c r="N23" s="308">
        <f t="shared" si="26"/>
        <v>0</v>
      </c>
      <c r="O23" s="301" t="str">
        <f t="shared" si="27"/>
        <v>GCH</v>
      </c>
      <c r="P23" s="301" t="s">
        <v>67</v>
      </c>
      <c r="Q23" s="403">
        <v>36</v>
      </c>
      <c r="R23" s="403">
        <v>40</v>
      </c>
      <c r="S23" s="403">
        <v>30</v>
      </c>
      <c r="T23" s="403">
        <v>33</v>
      </c>
      <c r="U23" s="856">
        <v>20</v>
      </c>
    </row>
    <row r="24" spans="1:21" ht="12">
      <c r="A24" s="301" t="str">
        <f t="shared" si="0"/>
        <v>DGRI</v>
      </c>
      <c r="B24" s="302">
        <f t="shared" si="15"/>
        <v>91.803278688524586</v>
      </c>
      <c r="C24" s="302">
        <f t="shared" si="16"/>
        <v>90.821256038647348</v>
      </c>
      <c r="D24" s="303">
        <f>95</f>
        <v>95</v>
      </c>
      <c r="E24" s="303">
        <f t="shared" si="17"/>
        <v>88</v>
      </c>
      <c r="F24" s="303">
        <f t="shared" si="18"/>
        <v>95</v>
      </c>
      <c r="G24" s="303">
        <f t="shared" si="19"/>
        <v>86</v>
      </c>
      <c r="H24" s="303">
        <f t="shared" si="20"/>
        <v>94</v>
      </c>
      <c r="I24" s="309" t="str">
        <f t="shared" si="21"/>
        <v>88 - 95</v>
      </c>
      <c r="J24" s="305" t="str">
        <f t="shared" si="22"/>
        <v>86 - 94</v>
      </c>
      <c r="K24" s="306">
        <f t="shared" si="23"/>
        <v>-0.98202264987723709</v>
      </c>
      <c r="L24" s="318">
        <f t="shared" si="24"/>
        <v>-8.809233142487978E-2</v>
      </c>
      <c r="M24" s="318">
        <f t="shared" si="25"/>
        <v>6.845187842733487E-2</v>
      </c>
      <c r="N24" s="308">
        <f t="shared" si="26"/>
        <v>0</v>
      </c>
      <c r="O24" s="301" t="str">
        <f t="shared" si="27"/>
        <v>DGRI</v>
      </c>
      <c r="P24" s="301" t="s">
        <v>64</v>
      </c>
      <c r="Q24" s="403">
        <v>224</v>
      </c>
      <c r="R24" s="403">
        <v>244</v>
      </c>
      <c r="S24" s="403">
        <v>188</v>
      </c>
      <c r="T24" s="403">
        <v>207</v>
      </c>
      <c r="U24" s="856">
        <v>21</v>
      </c>
    </row>
    <row r="25" spans="1:21" ht="12">
      <c r="A25" s="301" t="str">
        <f t="shared" si="0"/>
        <v>Raigmore</v>
      </c>
      <c r="B25" s="302">
        <f t="shared" si="15"/>
        <v>86.723163841807903</v>
      </c>
      <c r="C25" s="302">
        <f t="shared" si="16"/>
        <v>90.645161290322591</v>
      </c>
      <c r="D25" s="303">
        <f>95</f>
        <v>95</v>
      </c>
      <c r="E25" s="303">
        <f t="shared" si="17"/>
        <v>83</v>
      </c>
      <c r="F25" s="303">
        <f t="shared" si="18"/>
        <v>90</v>
      </c>
      <c r="G25" s="303">
        <f t="shared" si="19"/>
        <v>87</v>
      </c>
      <c r="H25" s="303">
        <f t="shared" si="20"/>
        <v>93</v>
      </c>
      <c r="I25" s="309" t="str">
        <f t="shared" si="21"/>
        <v>83 - 90</v>
      </c>
      <c r="J25" s="305" t="str">
        <f t="shared" si="22"/>
        <v>87 - 93</v>
      </c>
      <c r="K25" s="306">
        <f t="shared" si="23"/>
        <v>3.9219974485146878</v>
      </c>
      <c r="L25" s="318">
        <f t="shared" si="24"/>
        <v>-3.26052522473715E-2</v>
      </c>
      <c r="M25" s="318">
        <f t="shared" si="25"/>
        <v>0.1110452012176651</v>
      </c>
      <c r="N25" s="308">
        <f t="shared" si="26"/>
        <v>0</v>
      </c>
      <c r="O25" s="301" t="str">
        <f t="shared" si="27"/>
        <v>Raigmore</v>
      </c>
      <c r="P25" s="301" t="s">
        <v>97</v>
      </c>
      <c r="Q25" s="403">
        <v>307</v>
      </c>
      <c r="R25" s="403">
        <v>354</v>
      </c>
      <c r="S25" s="403">
        <v>281</v>
      </c>
      <c r="T25" s="403">
        <v>310</v>
      </c>
      <c r="U25" s="856">
        <v>22</v>
      </c>
    </row>
    <row r="26" spans="1:21" ht="12">
      <c r="A26" s="301" t="str">
        <f t="shared" si="0"/>
        <v>RAH</v>
      </c>
      <c r="B26" s="302">
        <f t="shared" si="15"/>
        <v>89.11174785100286</v>
      </c>
      <c r="C26" s="302">
        <f t="shared" si="16"/>
        <v>89.473684210526315</v>
      </c>
      <c r="D26" s="303">
        <f>95</f>
        <v>95</v>
      </c>
      <c r="E26" s="303">
        <f t="shared" si="17"/>
        <v>85</v>
      </c>
      <c r="F26" s="303">
        <f t="shared" si="18"/>
        <v>92</v>
      </c>
      <c r="G26" s="303">
        <f t="shared" si="19"/>
        <v>86</v>
      </c>
      <c r="H26" s="303">
        <f t="shared" si="20"/>
        <v>92</v>
      </c>
      <c r="I26" s="309" t="str">
        <f t="shared" si="21"/>
        <v>85 - 92</v>
      </c>
      <c r="J26" s="305" t="str">
        <f t="shared" si="22"/>
        <v>86 - 92</v>
      </c>
      <c r="K26" s="306">
        <f t="shared" si="23"/>
        <v>0.3619363595234546</v>
      </c>
      <c r="L26" s="318">
        <f t="shared" si="24"/>
        <v>-6.3689835863360397E-2</v>
      </c>
      <c r="M26" s="318">
        <f t="shared" si="25"/>
        <v>7.0928563053829427E-2</v>
      </c>
      <c r="N26" s="308">
        <f t="shared" si="26"/>
        <v>0</v>
      </c>
      <c r="O26" s="301" t="str">
        <f t="shared" si="27"/>
        <v>RAH</v>
      </c>
      <c r="P26" s="301" t="s">
        <v>84</v>
      </c>
      <c r="Q26" s="403">
        <v>311</v>
      </c>
      <c r="R26" s="403">
        <v>349</v>
      </c>
      <c r="S26" s="403">
        <v>340</v>
      </c>
      <c r="T26" s="403">
        <v>380</v>
      </c>
      <c r="U26" s="856">
        <v>23</v>
      </c>
    </row>
    <row r="27" spans="1:21" ht="12">
      <c r="A27" s="301" t="str">
        <f t="shared" si="0"/>
        <v>Balfour</v>
      </c>
      <c r="B27" s="302">
        <f t="shared" si="15"/>
        <v>73.170731707317074</v>
      </c>
      <c r="C27" s="302">
        <f t="shared" si="16"/>
        <v>88.888888888888886</v>
      </c>
      <c r="D27" s="303">
        <f>95</f>
        <v>95</v>
      </c>
      <c r="E27" s="303">
        <f t="shared" si="17"/>
        <v>58</v>
      </c>
      <c r="F27" s="303">
        <f t="shared" si="18"/>
        <v>84</v>
      </c>
      <c r="G27" s="303">
        <f t="shared" si="19"/>
        <v>75</v>
      </c>
      <c r="H27" s="303">
        <f t="shared" si="20"/>
        <v>96</v>
      </c>
      <c r="I27" s="309" t="str">
        <f t="shared" si="21"/>
        <v>58 - 84</v>
      </c>
      <c r="J27" s="305" t="str">
        <f t="shared" si="22"/>
        <v>75 - 96</v>
      </c>
      <c r="K27" s="306">
        <f t="shared" si="23"/>
        <v>15.718157181571812</v>
      </c>
      <c r="L27" s="318">
        <f t="shared" si="24"/>
        <v>-9.7548677670318718E-2</v>
      </c>
      <c r="M27" s="318">
        <f t="shared" si="25"/>
        <v>0.41191182130175497</v>
      </c>
      <c r="N27" s="308">
        <f t="shared" si="26"/>
        <v>0</v>
      </c>
      <c r="O27" s="301" t="str">
        <f t="shared" si="27"/>
        <v>Balfour</v>
      </c>
      <c r="P27" s="301" t="s">
        <v>117</v>
      </c>
      <c r="Q27" s="403">
        <v>30</v>
      </c>
      <c r="R27" s="403">
        <v>41</v>
      </c>
      <c r="S27" s="403">
        <v>32</v>
      </c>
      <c r="T27" s="403">
        <v>36</v>
      </c>
      <c r="U27" s="856">
        <v>24</v>
      </c>
    </row>
    <row r="28" spans="1:21" ht="12">
      <c r="A28" s="301" t="str">
        <f t="shared" si="0"/>
        <v>Monklands</v>
      </c>
      <c r="B28" s="302">
        <f t="shared" si="15"/>
        <v>86.068111455108351</v>
      </c>
      <c r="C28" s="302">
        <f t="shared" si="16"/>
        <v>87.788778877887779</v>
      </c>
      <c r="D28" s="303">
        <f>95</f>
        <v>95</v>
      </c>
      <c r="E28" s="303">
        <f t="shared" si="17"/>
        <v>82</v>
      </c>
      <c r="F28" s="303">
        <f t="shared" si="18"/>
        <v>89</v>
      </c>
      <c r="G28" s="303">
        <f t="shared" si="19"/>
        <v>84</v>
      </c>
      <c r="H28" s="303">
        <f t="shared" si="20"/>
        <v>91</v>
      </c>
      <c r="I28" s="309" t="str">
        <f t="shared" si="21"/>
        <v>82 - 89</v>
      </c>
      <c r="J28" s="305" t="str">
        <f t="shared" si="22"/>
        <v>84 - 91</v>
      </c>
      <c r="K28" s="306">
        <f t="shared" si="23"/>
        <v>1.7206674227794281</v>
      </c>
      <c r="L28" s="318">
        <f t="shared" si="24"/>
        <v>-6.182783192374422E-2</v>
      </c>
      <c r="M28" s="318">
        <f t="shared" si="25"/>
        <v>9.6241180379332852E-2</v>
      </c>
      <c r="N28" s="308">
        <f t="shared" si="26"/>
        <v>0</v>
      </c>
      <c r="O28" s="301" t="str">
        <f t="shared" si="27"/>
        <v>Monklands</v>
      </c>
      <c r="P28" s="301" t="s">
        <v>103</v>
      </c>
      <c r="Q28" s="403">
        <v>278</v>
      </c>
      <c r="R28" s="403">
        <v>323</v>
      </c>
      <c r="S28" s="403">
        <v>266</v>
      </c>
      <c r="T28" s="403">
        <v>303</v>
      </c>
      <c r="U28" s="856">
        <v>25</v>
      </c>
    </row>
    <row r="29" spans="1:21" ht="12">
      <c r="A29" s="301" t="str">
        <f t="shared" si="0"/>
        <v>L&amp;I</v>
      </c>
      <c r="B29" s="302">
        <f t="shared" si="15"/>
        <v>86.956521739130437</v>
      </c>
      <c r="C29" s="302">
        <f t="shared" si="16"/>
        <v>86.206896551724128</v>
      </c>
      <c r="D29" s="303">
        <f>95</f>
        <v>95</v>
      </c>
      <c r="E29" s="303">
        <f t="shared" si="17"/>
        <v>74</v>
      </c>
      <c r="F29" s="303">
        <f t="shared" si="18"/>
        <v>94</v>
      </c>
      <c r="G29" s="303">
        <f t="shared" si="19"/>
        <v>75</v>
      </c>
      <c r="H29" s="303">
        <f t="shared" si="20"/>
        <v>93</v>
      </c>
      <c r="I29" s="309" t="str">
        <f t="shared" si="21"/>
        <v>74 - 94</v>
      </c>
      <c r="J29" s="305" t="str">
        <f t="shared" si="22"/>
        <v>75 - 93</v>
      </c>
      <c r="K29" s="306">
        <f t="shared" si="23"/>
        <v>-0.74962518740630912</v>
      </c>
      <c r="L29" s="318">
        <f t="shared" si="24"/>
        <v>-0.20474057353917607</v>
      </c>
      <c r="M29" s="318">
        <f t="shared" si="25"/>
        <v>0.18974806979105008</v>
      </c>
      <c r="N29" s="308">
        <f t="shared" si="26"/>
        <v>0</v>
      </c>
      <c r="O29" s="301" t="str">
        <f t="shared" si="27"/>
        <v>L&amp;I</v>
      </c>
      <c r="P29" s="301" t="s">
        <v>94</v>
      </c>
      <c r="Q29" s="403">
        <v>40</v>
      </c>
      <c r="R29" s="403">
        <v>46</v>
      </c>
      <c r="S29" s="403">
        <v>50</v>
      </c>
      <c r="T29" s="403">
        <v>58</v>
      </c>
      <c r="U29" s="856">
        <v>26</v>
      </c>
    </row>
    <row r="30" spans="1:21" ht="12">
      <c r="A30" s="301" t="str">
        <f t="shared" si="0"/>
        <v>Ninewells</v>
      </c>
      <c r="B30" s="302">
        <f t="shared" si="15"/>
        <v>82</v>
      </c>
      <c r="C30" s="302">
        <f t="shared" si="16"/>
        <v>85.921325051759837</v>
      </c>
      <c r="D30" s="303">
        <f>95</f>
        <v>95</v>
      </c>
      <c r="E30" s="303">
        <f t="shared" si="17"/>
        <v>78</v>
      </c>
      <c r="F30" s="303">
        <f t="shared" si="18"/>
        <v>85</v>
      </c>
      <c r="G30" s="303">
        <f t="shared" si="19"/>
        <v>83</v>
      </c>
      <c r="H30" s="303">
        <f t="shared" si="20"/>
        <v>89</v>
      </c>
      <c r="I30" s="309" t="str">
        <f t="shared" si="21"/>
        <v>78 - 85</v>
      </c>
      <c r="J30" s="305" t="str">
        <f t="shared" si="22"/>
        <v>83 - 89</v>
      </c>
      <c r="K30" s="306">
        <f t="shared" si="23"/>
        <v>3.9213250517598368</v>
      </c>
      <c r="L30" s="318">
        <f t="shared" si="24"/>
        <v>-3.1381004549517533E-2</v>
      </c>
      <c r="M30" s="318">
        <f t="shared" si="25"/>
        <v>0.1098075055847143</v>
      </c>
      <c r="N30" s="308">
        <f t="shared" si="26"/>
        <v>0</v>
      </c>
      <c r="O30" s="301" t="str">
        <f t="shared" si="27"/>
        <v>Ninewells</v>
      </c>
      <c r="P30" s="301" t="s">
        <v>123</v>
      </c>
      <c r="Q30" s="403">
        <v>369</v>
      </c>
      <c r="R30" s="403">
        <v>450</v>
      </c>
      <c r="S30" s="403">
        <v>415</v>
      </c>
      <c r="T30" s="403">
        <v>483</v>
      </c>
      <c r="U30" s="856">
        <v>27</v>
      </c>
    </row>
    <row r="31" spans="1:21" ht="12">
      <c r="A31" s="301" t="str">
        <f t="shared" si="0"/>
        <v>Ayr</v>
      </c>
      <c r="B31" s="302">
        <f t="shared" si="15"/>
        <v>80.075187969924812</v>
      </c>
      <c r="C31" s="302">
        <f t="shared" si="16"/>
        <v>68.627450980392155</v>
      </c>
      <c r="D31" s="303">
        <f>95</f>
        <v>95</v>
      </c>
      <c r="E31" s="303">
        <f t="shared" si="17"/>
        <v>75</v>
      </c>
      <c r="F31" s="303">
        <f t="shared" si="18"/>
        <v>84</v>
      </c>
      <c r="G31" s="303">
        <f t="shared" si="19"/>
        <v>55</v>
      </c>
      <c r="H31" s="303">
        <f t="shared" si="20"/>
        <v>80</v>
      </c>
      <c r="I31" s="309" t="str">
        <f t="shared" si="21"/>
        <v>75 - 84</v>
      </c>
      <c r="J31" s="305" t="str">
        <f t="shared" si="22"/>
        <v>55 - 80</v>
      </c>
      <c r="K31" s="306">
        <f t="shared" si="23"/>
        <v>-11.447736989532658</v>
      </c>
      <c r="L31" s="318">
        <f t="shared" si="24"/>
        <v>-0.31828697141492845</v>
      </c>
      <c r="M31" s="318">
        <f t="shared" si="25"/>
        <v>8.9332231624275421E-2</v>
      </c>
      <c r="N31" s="308">
        <f t="shared" si="26"/>
        <v>0</v>
      </c>
      <c r="O31" s="301" t="str">
        <f t="shared" si="27"/>
        <v>Ayr</v>
      </c>
      <c r="P31" s="301" t="s">
        <v>57</v>
      </c>
      <c r="Q31" s="403">
        <v>213</v>
      </c>
      <c r="R31" s="403">
        <v>266</v>
      </c>
      <c r="S31" s="403">
        <v>35</v>
      </c>
      <c r="T31" s="403">
        <v>51</v>
      </c>
      <c r="U31" s="856">
        <v>28</v>
      </c>
    </row>
    <row r="32" spans="1:21" ht="12">
      <c r="A32" s="301" t="str">
        <f t="shared" si="0"/>
        <v>Uist &amp; Barra</v>
      </c>
      <c r="B32" s="302">
        <f t="shared" si="15"/>
        <v>0</v>
      </c>
      <c r="C32" s="302" t="e">
        <f t="shared" si="16"/>
        <v>#DIV/0!</v>
      </c>
      <c r="D32" s="303">
        <f>95</f>
        <v>95</v>
      </c>
      <c r="E32" s="303">
        <f t="shared" si="17"/>
        <v>0</v>
      </c>
      <c r="F32" s="303">
        <f t="shared" si="18"/>
        <v>79</v>
      </c>
      <c r="G32" s="303" t="e">
        <f t="shared" si="19"/>
        <v>#DIV/0!</v>
      </c>
      <c r="H32" s="303" t="e">
        <f t="shared" si="20"/>
        <v>#DIV/0!</v>
      </c>
      <c r="I32" s="309" t="str">
        <f t="shared" si="21"/>
        <v>0 - 79</v>
      </c>
      <c r="J32" s="305" t="e">
        <f t="shared" si="22"/>
        <v>#DIV/0!</v>
      </c>
      <c r="K32" s="306" t="e">
        <f t="shared" si="23"/>
        <v>#DIV/0!</v>
      </c>
      <c r="L32" s="318" t="e">
        <f t="shared" si="24"/>
        <v>#DIV/0!</v>
      </c>
      <c r="M32" s="318" t="e">
        <f t="shared" si="25"/>
        <v>#DIV/0!</v>
      </c>
      <c r="N32" s="308" t="str">
        <f t="shared" si="26"/>
        <v/>
      </c>
      <c r="O32" s="301" t="str">
        <f t="shared" si="27"/>
        <v>Uist &amp; Barra</v>
      </c>
      <c r="P32" s="301" t="s">
        <v>129</v>
      </c>
      <c r="Q32" s="403">
        <v>0</v>
      </c>
      <c r="R32" s="403">
        <v>1</v>
      </c>
      <c r="S32" s="403"/>
      <c r="T32" s="403"/>
      <c r="U32" s="856">
        <v>29</v>
      </c>
    </row>
    <row r="34" spans="15:23" ht="15">
      <c r="O34"/>
      <c r="P34"/>
      <c r="Q34"/>
      <c r="R34"/>
      <c r="S34"/>
      <c r="T34"/>
      <c r="U34"/>
      <c r="V34"/>
      <c r="W34"/>
    </row>
    <row r="35" spans="15:23" ht="15">
      <c r="O35"/>
      <c r="P35"/>
      <c r="Q35"/>
      <c r="R35"/>
      <c r="S35"/>
      <c r="T35"/>
      <c r="U35"/>
      <c r="V35"/>
      <c r="W35"/>
    </row>
    <row r="36" spans="15:23" ht="15">
      <c r="O36" s="891"/>
      <c r="P36" s="891"/>
      <c r="Q36" s="891"/>
      <c r="R36" s="891"/>
      <c r="S36" s="891"/>
      <c r="T36" s="891"/>
      <c r="U36" s="655"/>
      <c r="V36"/>
      <c r="W36"/>
    </row>
    <row r="37" spans="15:23" ht="15">
      <c r="O37" s="892"/>
      <c r="P37" s="893"/>
      <c r="Q37" s="893"/>
      <c r="R37" s="893"/>
      <c r="S37" s="893"/>
      <c r="T37" s="893"/>
      <c r="U37" s="655"/>
      <c r="V37"/>
      <c r="W37"/>
    </row>
    <row r="38" spans="15:23" ht="15">
      <c r="O38" s="894"/>
      <c r="P38" s="865"/>
      <c r="Q38" s="865"/>
      <c r="R38" s="895"/>
      <c r="S38" s="865"/>
      <c r="T38" s="895"/>
      <c r="U38" s="655"/>
      <c r="V38"/>
      <c r="W38"/>
    </row>
    <row r="39" spans="15:23" ht="15">
      <c r="O39" s="865"/>
      <c r="P39" s="865"/>
      <c r="Q39" s="865"/>
      <c r="R39" s="895"/>
      <c r="S39" s="895"/>
      <c r="T39" s="865"/>
      <c r="U39" s="655"/>
      <c r="V39"/>
      <c r="W39"/>
    </row>
    <row r="40" spans="15:23" ht="15">
      <c r="O40" s="896"/>
      <c r="P40" s="896"/>
      <c r="Q40" s="896"/>
      <c r="R40" s="897"/>
      <c r="S40" s="897"/>
      <c r="T40" s="897"/>
      <c r="U40" s="655"/>
      <c r="V40"/>
      <c r="W40"/>
    </row>
    <row r="41" spans="15:23" ht="15">
      <c r="O41" s="865"/>
      <c r="P41" s="865"/>
      <c r="Q41" s="896"/>
      <c r="R41" s="897"/>
      <c r="S41" s="897"/>
      <c r="T41" s="897"/>
      <c r="U41" s="655"/>
      <c r="V41"/>
      <c r="W41"/>
    </row>
    <row r="42" spans="15:23" ht="15">
      <c r="O42" s="865"/>
      <c r="P42" s="865"/>
      <c r="Q42" s="896"/>
      <c r="R42" s="897"/>
      <c r="S42" s="897"/>
      <c r="T42" s="897"/>
      <c r="U42" s="655"/>
      <c r="V42"/>
      <c r="W42"/>
    </row>
    <row r="43" spans="15:23" ht="15">
      <c r="O43" s="865"/>
      <c r="P43" s="865"/>
      <c r="Q43" s="896"/>
      <c r="R43" s="897"/>
      <c r="S43" s="897"/>
      <c r="T43" s="897"/>
      <c r="U43" s="655"/>
      <c r="V43"/>
      <c r="W43"/>
    </row>
    <row r="44" spans="15:23" ht="15">
      <c r="O44" s="865"/>
      <c r="P44" s="865"/>
      <c r="Q44" s="896"/>
      <c r="R44" s="897"/>
      <c r="S44" s="897"/>
      <c r="T44" s="897"/>
      <c r="U44" s="655"/>
      <c r="V44"/>
      <c r="W44"/>
    </row>
    <row r="45" spans="15:23" ht="15">
      <c r="O45" s="865"/>
      <c r="P45" s="865"/>
      <c r="Q45" s="896"/>
      <c r="R45" s="897"/>
      <c r="S45" s="897"/>
      <c r="T45" s="897"/>
      <c r="U45" s="655"/>
      <c r="V45"/>
      <c r="W45"/>
    </row>
    <row r="46" spans="15:23" ht="15">
      <c r="O46" s="865"/>
      <c r="P46" s="865"/>
      <c r="Q46" s="896"/>
      <c r="R46" s="897"/>
      <c r="S46" s="897"/>
      <c r="T46" s="897"/>
      <c r="U46" s="655"/>
      <c r="V46"/>
      <c r="W46"/>
    </row>
    <row r="47" spans="15:23" ht="15">
      <c r="O47" s="865"/>
      <c r="P47" s="865"/>
      <c r="Q47" s="896"/>
      <c r="R47" s="897"/>
      <c r="S47" s="897"/>
      <c r="T47" s="897"/>
      <c r="U47" s="655"/>
      <c r="V47"/>
      <c r="W47"/>
    </row>
    <row r="48" spans="15:23" ht="15">
      <c r="O48" s="865"/>
      <c r="P48" s="865"/>
      <c r="Q48" s="896"/>
      <c r="R48" s="897"/>
      <c r="S48" s="897"/>
      <c r="T48" s="897"/>
      <c r="U48" s="655"/>
      <c r="V48"/>
      <c r="W48"/>
    </row>
    <row r="49" spans="15:23" ht="15">
      <c r="O49" s="865"/>
      <c r="P49" s="865"/>
      <c r="Q49" s="896"/>
      <c r="R49" s="897"/>
      <c r="S49" s="897"/>
      <c r="T49" s="897"/>
      <c r="U49" s="655"/>
      <c r="V49"/>
      <c r="W49"/>
    </row>
    <row r="50" spans="15:23" ht="15">
      <c r="O50" s="865"/>
      <c r="P50" s="865"/>
      <c r="Q50" s="896"/>
      <c r="R50" s="897"/>
      <c r="S50" s="897"/>
      <c r="T50" s="897"/>
      <c r="U50" s="655"/>
      <c r="V50"/>
      <c r="W50"/>
    </row>
    <row r="51" spans="15:23" ht="15">
      <c r="O51" s="865"/>
      <c r="P51" s="865"/>
      <c r="Q51" s="896"/>
      <c r="R51" s="897"/>
      <c r="S51" s="897"/>
      <c r="T51" s="897"/>
      <c r="U51" s="655"/>
      <c r="V51"/>
      <c r="W51"/>
    </row>
    <row r="52" spans="15:23" ht="15">
      <c r="O52" s="865"/>
      <c r="P52" s="865"/>
      <c r="Q52" s="896"/>
      <c r="R52" s="897"/>
      <c r="S52" s="897"/>
      <c r="T52" s="897"/>
      <c r="U52" s="655"/>
      <c r="V52"/>
      <c r="W52"/>
    </row>
    <row r="53" spans="15:23" ht="15">
      <c r="O53" s="865"/>
      <c r="P53" s="865"/>
      <c r="Q53" s="896"/>
      <c r="R53" s="897"/>
      <c r="S53" s="897"/>
      <c r="T53" s="897"/>
      <c r="U53" s="655"/>
      <c r="V53"/>
      <c r="W53"/>
    </row>
    <row r="54" spans="15:23" ht="15">
      <c r="O54" s="865"/>
      <c r="P54" s="865"/>
      <c r="Q54" s="896"/>
      <c r="R54" s="897"/>
      <c r="S54" s="897"/>
      <c r="T54" s="897"/>
      <c r="U54" s="655"/>
      <c r="V54"/>
      <c r="W54"/>
    </row>
    <row r="55" spans="15:23" ht="15">
      <c r="O55" s="865"/>
      <c r="P55" s="865"/>
      <c r="Q55" s="896"/>
      <c r="R55" s="897"/>
      <c r="S55" s="897"/>
      <c r="T55" s="897"/>
      <c r="U55" s="655"/>
      <c r="V55"/>
      <c r="W55"/>
    </row>
    <row r="56" spans="15:23" ht="15">
      <c r="O56" s="865"/>
      <c r="P56" s="865"/>
      <c r="Q56" s="896"/>
      <c r="R56" s="897"/>
      <c r="S56" s="897"/>
      <c r="T56" s="897"/>
      <c r="U56" s="655"/>
      <c r="V56"/>
      <c r="W56"/>
    </row>
    <row r="57" spans="15:23" ht="15">
      <c r="O57" s="865"/>
      <c r="P57" s="865"/>
      <c r="Q57" s="896"/>
      <c r="R57" s="897"/>
      <c r="S57" s="897"/>
      <c r="T57" s="897"/>
      <c r="U57" s="655"/>
      <c r="V57"/>
      <c r="W57"/>
    </row>
    <row r="58" spans="15:23" ht="15">
      <c r="O58" s="865"/>
      <c r="P58" s="865"/>
      <c r="Q58" s="896"/>
      <c r="R58" s="897"/>
      <c r="S58" s="897"/>
      <c r="T58" s="897"/>
      <c r="U58" s="655"/>
      <c r="V58"/>
      <c r="W58"/>
    </row>
    <row r="59" spans="15:23" ht="15">
      <c r="O59" s="865"/>
      <c r="P59" s="865"/>
      <c r="Q59" s="896"/>
      <c r="R59" s="897"/>
      <c r="S59" s="897"/>
      <c r="T59" s="897"/>
      <c r="U59" s="655"/>
      <c r="V59"/>
      <c r="W59"/>
    </row>
    <row r="60" spans="15:23" ht="15">
      <c r="O60" s="865"/>
      <c r="P60" s="865"/>
      <c r="Q60" s="896"/>
      <c r="R60" s="897"/>
      <c r="S60" s="897"/>
      <c r="T60" s="897"/>
      <c r="U60" s="655"/>
      <c r="V60"/>
      <c r="W60"/>
    </row>
    <row r="61" spans="15:23" ht="15">
      <c r="O61" s="865"/>
      <c r="P61" s="865"/>
      <c r="Q61" s="896"/>
      <c r="R61" s="897"/>
      <c r="S61" s="897"/>
      <c r="T61" s="897"/>
      <c r="U61" s="655"/>
      <c r="V61"/>
      <c r="W61"/>
    </row>
    <row r="62" spans="15:23" ht="15">
      <c r="O62" s="865"/>
      <c r="P62" s="865"/>
      <c r="Q62" s="896"/>
      <c r="R62" s="897"/>
      <c r="S62" s="897"/>
      <c r="T62" s="897"/>
      <c r="U62" s="655"/>
      <c r="V62"/>
      <c r="W62"/>
    </row>
    <row r="63" spans="15:23" ht="15">
      <c r="O63" s="865"/>
      <c r="P63" s="865"/>
      <c r="Q63" s="896"/>
      <c r="R63" s="897"/>
      <c r="S63" s="897"/>
      <c r="T63" s="897"/>
      <c r="U63" s="655"/>
      <c r="V63"/>
      <c r="W63"/>
    </row>
    <row r="64" spans="15:23" ht="15">
      <c r="O64" s="865"/>
      <c r="P64" s="865"/>
      <c r="Q64" s="896"/>
      <c r="R64" s="897"/>
      <c r="S64" s="897"/>
      <c r="T64" s="897"/>
      <c r="U64" s="655"/>
      <c r="V64"/>
      <c r="W64"/>
    </row>
    <row r="65" spans="15:21" ht="15">
      <c r="O65" s="865"/>
      <c r="P65" s="865"/>
      <c r="Q65" s="896"/>
      <c r="R65" s="897"/>
      <c r="S65" s="897"/>
      <c r="T65" s="897"/>
      <c r="U65" s="655"/>
    </row>
    <row r="66" spans="15:21" ht="15">
      <c r="O66" s="865"/>
      <c r="P66" s="865"/>
      <c r="Q66" s="896"/>
      <c r="R66" s="897"/>
      <c r="S66" s="897"/>
      <c r="T66" s="897"/>
      <c r="U66" s="655"/>
    </row>
    <row r="67" spans="15:21" ht="15">
      <c r="O67" s="865"/>
      <c r="P67" s="865"/>
      <c r="Q67" s="896"/>
      <c r="R67" s="897"/>
      <c r="S67" s="897"/>
      <c r="T67" s="897"/>
      <c r="U67" s="655"/>
    </row>
    <row r="68" spans="15:21" ht="15">
      <c r="O68" s="865"/>
      <c r="P68" s="865"/>
      <c r="Q68" s="896"/>
      <c r="R68" s="897"/>
      <c r="S68" s="897"/>
      <c r="T68" s="897"/>
      <c r="U68" s="655"/>
    </row>
    <row r="69" spans="15:21" ht="15">
      <c r="O69" s="865"/>
      <c r="P69" s="865"/>
      <c r="Q69" s="896"/>
      <c r="R69" s="897"/>
      <c r="S69" s="897"/>
      <c r="T69" s="897"/>
      <c r="U69" s="655"/>
    </row>
    <row r="70" spans="15:21" ht="15">
      <c r="O70" s="865"/>
      <c r="P70" s="865"/>
      <c r="Q70" s="896"/>
      <c r="R70" s="897"/>
      <c r="S70" s="897"/>
      <c r="T70" s="897"/>
      <c r="U70" s="655"/>
    </row>
    <row r="71" spans="15:21" ht="15">
      <c r="O71" s="865"/>
      <c r="P71" s="896"/>
      <c r="Q71" s="865"/>
      <c r="R71" s="897"/>
      <c r="S71" s="897"/>
      <c r="T71" s="897"/>
      <c r="U71" s="655"/>
    </row>
    <row r="72" spans="15:21" ht="12.75">
      <c r="O72" s="896"/>
      <c r="P72" s="896"/>
      <c r="Q72" s="896"/>
      <c r="R72" s="897"/>
      <c r="S72" s="897"/>
      <c r="T72" s="897"/>
      <c r="U72" s="655"/>
    </row>
    <row r="73" spans="15:21" ht="15">
      <c r="O73" s="865"/>
      <c r="P73" s="896"/>
      <c r="Q73" s="896"/>
      <c r="R73" s="897"/>
      <c r="S73" s="897"/>
      <c r="T73" s="897"/>
      <c r="U73" s="655"/>
    </row>
    <row r="74" spans="15:21" ht="15">
      <c r="O74" s="865"/>
      <c r="P74" s="896"/>
      <c r="Q74" s="896"/>
      <c r="R74" s="897"/>
      <c r="S74" s="897"/>
      <c r="T74" s="897"/>
      <c r="U74" s="655"/>
    </row>
    <row r="75" spans="15:21" ht="15">
      <c r="O75" s="865"/>
      <c r="P75" s="896"/>
      <c r="Q75" s="896"/>
      <c r="R75" s="897"/>
      <c r="S75" s="897"/>
      <c r="T75" s="897"/>
      <c r="U75" s="655"/>
    </row>
    <row r="76" spans="15:21" ht="15">
      <c r="O76" s="865"/>
      <c r="P76" s="896"/>
      <c r="Q76" s="896"/>
      <c r="R76" s="897"/>
      <c r="S76" s="897"/>
      <c r="T76" s="897"/>
      <c r="U76" s="655"/>
    </row>
    <row r="77" spans="15:21" ht="15">
      <c r="O77" s="865"/>
      <c r="P77" s="896"/>
      <c r="Q77" s="896"/>
      <c r="R77" s="897"/>
      <c r="S77" s="897"/>
      <c r="T77" s="897"/>
      <c r="U77" s="655"/>
    </row>
    <row r="78" spans="15:21" ht="15">
      <c r="O78" s="865"/>
      <c r="P78" s="896"/>
      <c r="Q78" s="896"/>
      <c r="R78" s="897"/>
      <c r="S78" s="897"/>
      <c r="T78" s="897"/>
      <c r="U78" s="655"/>
    </row>
    <row r="79" spans="15:21" ht="15">
      <c r="O79" s="865"/>
      <c r="P79" s="896"/>
      <c r="Q79" s="896"/>
      <c r="R79" s="897"/>
      <c r="S79" s="897"/>
      <c r="T79" s="897"/>
      <c r="U79" s="655"/>
    </row>
    <row r="80" spans="15:21" ht="15">
      <c r="O80" s="865"/>
      <c r="P80" s="896"/>
      <c r="Q80" s="896"/>
      <c r="R80" s="897"/>
      <c r="S80" s="897"/>
      <c r="T80" s="897"/>
      <c r="U80" s="655"/>
    </row>
    <row r="81" spans="15:21" ht="15">
      <c r="O81" s="865"/>
      <c r="P81" s="896"/>
      <c r="Q81" s="896"/>
      <c r="R81" s="897"/>
      <c r="S81" s="897"/>
      <c r="T81" s="897"/>
      <c r="U81" s="655"/>
    </row>
    <row r="82" spans="15:21" ht="15">
      <c r="O82" s="865"/>
      <c r="P82" s="896"/>
      <c r="Q82" s="896"/>
      <c r="R82" s="897"/>
      <c r="S82" s="897"/>
      <c r="T82" s="897"/>
      <c r="U82" s="655"/>
    </row>
    <row r="83" spans="15:21" ht="15">
      <c r="O83" s="865"/>
      <c r="P83" s="896"/>
      <c r="Q83" s="896"/>
      <c r="R83" s="897"/>
      <c r="S83" s="897"/>
      <c r="T83" s="897"/>
      <c r="U83" s="655"/>
    </row>
    <row r="84" spans="15:21" ht="15">
      <c r="O84" s="865"/>
      <c r="P84" s="896"/>
      <c r="Q84" s="896"/>
      <c r="R84" s="897"/>
      <c r="S84" s="897"/>
      <c r="T84" s="897"/>
      <c r="U84" s="655"/>
    </row>
    <row r="85" spans="15:21" ht="15">
      <c r="O85" s="865"/>
      <c r="P85" s="896"/>
      <c r="Q85" s="896"/>
      <c r="R85" s="897"/>
      <c r="S85" s="897"/>
      <c r="T85" s="897"/>
      <c r="U85" s="655"/>
    </row>
    <row r="86" spans="15:21" ht="15">
      <c r="O86" s="865"/>
      <c r="P86" s="896"/>
      <c r="Q86" s="896"/>
      <c r="R86" s="897"/>
      <c r="S86" s="897"/>
      <c r="T86" s="897"/>
      <c r="U86" s="655"/>
    </row>
    <row r="87" spans="15:21" ht="15">
      <c r="O87" s="865"/>
      <c r="P87" s="896"/>
      <c r="Q87" s="896"/>
      <c r="R87" s="897"/>
      <c r="S87" s="897"/>
      <c r="T87" s="897"/>
      <c r="U87" s="655"/>
    </row>
    <row r="88" spans="15:21" ht="15">
      <c r="O88" s="865"/>
      <c r="P88" s="896"/>
      <c r="Q88" s="896"/>
      <c r="R88" s="897"/>
      <c r="S88" s="897"/>
      <c r="T88" s="897"/>
      <c r="U88" s="655"/>
    </row>
    <row r="89" spans="15:21" ht="15">
      <c r="O89" s="865"/>
      <c r="P89" s="896"/>
      <c r="Q89" s="896"/>
      <c r="R89" s="897"/>
      <c r="S89" s="897"/>
      <c r="T89" s="897"/>
      <c r="U89" s="655"/>
    </row>
    <row r="90" spans="15:21" ht="15">
      <c r="O90" s="865"/>
      <c r="P90" s="896"/>
      <c r="Q90" s="896"/>
      <c r="R90" s="897"/>
      <c r="S90" s="897"/>
      <c r="T90" s="897"/>
      <c r="U90" s="655"/>
    </row>
    <row r="91" spans="15:21" ht="15">
      <c r="O91" s="865"/>
      <c r="P91" s="896"/>
      <c r="Q91" s="896"/>
      <c r="R91" s="897"/>
      <c r="S91" s="897"/>
      <c r="T91" s="897"/>
      <c r="U91" s="655"/>
    </row>
    <row r="92" spans="15:21" ht="15">
      <c r="O92" s="865"/>
      <c r="P92" s="896"/>
      <c r="Q92" s="896"/>
      <c r="R92" s="897"/>
      <c r="S92" s="897"/>
      <c r="T92" s="897"/>
      <c r="U92" s="655"/>
    </row>
    <row r="93" spans="15:21" ht="15">
      <c r="O93" s="865"/>
      <c r="P93" s="896"/>
      <c r="Q93" s="896"/>
      <c r="R93" s="897"/>
      <c r="S93" s="897"/>
      <c r="T93" s="897"/>
      <c r="U93" s="655"/>
    </row>
    <row r="94" spans="15:21" ht="15">
      <c r="O94" s="865"/>
      <c r="P94" s="896"/>
      <c r="Q94" s="896"/>
      <c r="R94" s="897"/>
      <c r="S94" s="897"/>
      <c r="T94" s="897"/>
      <c r="U94" s="655"/>
    </row>
    <row r="95" spans="15:21" ht="15">
      <c r="O95" s="865"/>
      <c r="P95" s="896"/>
      <c r="Q95" s="896"/>
      <c r="R95" s="897"/>
      <c r="S95" s="897"/>
      <c r="T95" s="897"/>
      <c r="U95" s="655"/>
    </row>
    <row r="96" spans="15:21" ht="15">
      <c r="O96" s="865"/>
      <c r="P96" s="896"/>
      <c r="Q96" s="896"/>
      <c r="R96" s="897"/>
      <c r="S96" s="897"/>
      <c r="T96" s="897"/>
      <c r="U96" s="655"/>
    </row>
    <row r="97" spans="15:21" ht="15">
      <c r="O97" s="865"/>
      <c r="P97" s="896"/>
      <c r="Q97" s="896"/>
      <c r="R97" s="897"/>
      <c r="S97" s="897"/>
      <c r="T97" s="897"/>
      <c r="U97" s="655"/>
    </row>
    <row r="98" spans="15:21" ht="15">
      <c r="O98" s="865"/>
      <c r="P98" s="896"/>
      <c r="Q98" s="896"/>
      <c r="R98" s="897"/>
      <c r="S98" s="897"/>
      <c r="T98" s="897"/>
      <c r="U98" s="655"/>
    </row>
    <row r="99" spans="15:21" ht="15">
      <c r="O99" s="865"/>
      <c r="P99" s="896"/>
      <c r="Q99" s="896"/>
      <c r="R99" s="897"/>
      <c r="S99" s="897"/>
      <c r="T99" s="897"/>
      <c r="U99" s="655"/>
    </row>
    <row r="100" spans="15:21" ht="15">
      <c r="O100" s="865"/>
      <c r="P100" s="896"/>
      <c r="Q100" s="896"/>
      <c r="R100" s="897"/>
      <c r="S100" s="897"/>
      <c r="T100" s="897"/>
      <c r="U100" s="655"/>
    </row>
    <row r="101" spans="15:21" ht="15">
      <c r="O101" s="865"/>
      <c r="P101" s="896"/>
      <c r="Q101" s="865"/>
      <c r="R101" s="897"/>
      <c r="S101" s="897"/>
      <c r="T101" s="897"/>
      <c r="U101" s="655"/>
    </row>
    <row r="102" spans="15:21" ht="12.75">
      <c r="O102" s="896"/>
      <c r="P102" s="896"/>
      <c r="Q102" s="896"/>
      <c r="R102" s="897"/>
      <c r="S102" s="897"/>
      <c r="T102" s="897"/>
      <c r="U102" s="655"/>
    </row>
    <row r="103" spans="15:21" ht="15">
      <c r="O103" s="865"/>
      <c r="P103" s="896"/>
      <c r="Q103" s="896"/>
      <c r="R103" s="897"/>
      <c r="S103" s="897"/>
      <c r="T103" s="897"/>
      <c r="U103" s="655"/>
    </row>
    <row r="104" spans="15:21" ht="15">
      <c r="O104" s="865"/>
      <c r="P104" s="896"/>
      <c r="Q104" s="896"/>
      <c r="R104" s="897"/>
      <c r="S104" s="897"/>
      <c r="T104" s="897"/>
      <c r="U104" s="655"/>
    </row>
    <row r="105" spans="15:21" ht="15">
      <c r="O105" s="865"/>
      <c r="P105" s="896"/>
      <c r="Q105" s="896"/>
      <c r="R105" s="897"/>
      <c r="S105" s="897"/>
      <c r="T105" s="897"/>
      <c r="U105" s="655"/>
    </row>
    <row r="106" spans="15:21" ht="15">
      <c r="O106" s="865"/>
      <c r="P106" s="896"/>
      <c r="Q106" s="896"/>
      <c r="R106" s="897"/>
      <c r="S106" s="897"/>
      <c r="T106" s="897"/>
      <c r="U106" s="655"/>
    </row>
    <row r="107" spans="15:21" ht="15">
      <c r="O107" s="865"/>
      <c r="P107" s="896"/>
      <c r="Q107" s="896"/>
      <c r="R107" s="897"/>
      <c r="S107" s="897"/>
      <c r="T107" s="897"/>
      <c r="U107" s="655"/>
    </row>
    <row r="108" spans="15:21" ht="15">
      <c r="O108" s="865"/>
      <c r="P108" s="896"/>
      <c r="Q108" s="896"/>
      <c r="R108" s="897"/>
      <c r="S108" s="897"/>
      <c r="T108" s="897"/>
      <c r="U108" s="655"/>
    </row>
    <row r="109" spans="15:21" ht="15">
      <c r="O109" s="865"/>
      <c r="P109" s="896"/>
      <c r="Q109" s="896"/>
      <c r="R109" s="897"/>
      <c r="S109" s="897"/>
      <c r="T109" s="897"/>
      <c r="U109" s="655"/>
    </row>
    <row r="110" spans="15:21" ht="15">
      <c r="O110" s="865"/>
      <c r="P110" s="896"/>
      <c r="Q110" s="896"/>
      <c r="R110" s="897"/>
      <c r="S110" s="897"/>
      <c r="T110" s="897"/>
      <c r="U110" s="655"/>
    </row>
    <row r="111" spans="15:21" ht="15">
      <c r="O111" s="865"/>
      <c r="P111" s="896"/>
      <c r="Q111" s="896"/>
      <c r="R111" s="897"/>
      <c r="S111" s="897"/>
      <c r="T111" s="897"/>
      <c r="U111" s="655"/>
    </row>
    <row r="112" spans="15:21" ht="15">
      <c r="O112" s="865"/>
      <c r="P112" s="896"/>
      <c r="Q112" s="896"/>
      <c r="R112" s="897"/>
      <c r="S112" s="897"/>
      <c r="T112" s="897"/>
      <c r="U112" s="655"/>
    </row>
    <row r="113" spans="15:21" ht="15">
      <c r="O113" s="865"/>
      <c r="P113" s="896"/>
      <c r="Q113" s="896"/>
      <c r="R113" s="897"/>
      <c r="S113" s="897"/>
      <c r="T113" s="897"/>
      <c r="U113" s="655"/>
    </row>
    <row r="114" spans="15:21" ht="15">
      <c r="O114" s="865"/>
      <c r="P114" s="896"/>
      <c r="Q114" s="896"/>
      <c r="R114" s="897"/>
      <c r="S114" s="897"/>
      <c r="T114" s="897"/>
      <c r="U114" s="655"/>
    </row>
    <row r="115" spans="15:21" ht="15">
      <c r="O115" s="865"/>
      <c r="P115" s="896"/>
      <c r="Q115" s="896"/>
      <c r="R115" s="897"/>
      <c r="S115" s="897"/>
      <c r="T115" s="897"/>
      <c r="U115" s="655"/>
    </row>
    <row r="116" spans="15:21" ht="15">
      <c r="O116" s="865"/>
      <c r="P116" s="896"/>
      <c r="Q116" s="896"/>
      <c r="R116" s="897"/>
      <c r="S116" s="897"/>
      <c r="T116" s="897"/>
      <c r="U116" s="655"/>
    </row>
    <row r="117" spans="15:21" ht="15">
      <c r="O117" s="865"/>
      <c r="P117" s="896"/>
      <c r="Q117" s="896"/>
      <c r="R117" s="897"/>
      <c r="S117" s="897"/>
      <c r="T117" s="897"/>
      <c r="U117" s="655"/>
    </row>
    <row r="118" spans="15:21" ht="15">
      <c r="O118" s="865"/>
      <c r="P118" s="896"/>
      <c r="Q118" s="896"/>
      <c r="R118" s="897"/>
      <c r="S118" s="897"/>
      <c r="T118" s="897"/>
      <c r="U118" s="655"/>
    </row>
    <row r="119" spans="15:21" ht="15">
      <c r="O119" s="865"/>
      <c r="P119" s="896"/>
      <c r="Q119" s="896"/>
      <c r="R119" s="897"/>
      <c r="S119" s="897"/>
      <c r="T119" s="897"/>
      <c r="U119" s="655"/>
    </row>
    <row r="120" spans="15:21" ht="15">
      <c r="O120" s="865"/>
      <c r="P120" s="896"/>
      <c r="Q120" s="896"/>
      <c r="R120" s="897"/>
      <c r="S120" s="897"/>
      <c r="T120" s="897"/>
      <c r="U120" s="655"/>
    </row>
    <row r="121" spans="15:21" ht="15">
      <c r="O121" s="865"/>
      <c r="P121" s="896"/>
      <c r="Q121" s="896"/>
      <c r="R121" s="897"/>
      <c r="S121" s="897"/>
      <c r="T121" s="897"/>
      <c r="U121" s="655"/>
    </row>
    <row r="122" spans="15:21" ht="15">
      <c r="O122" s="865"/>
      <c r="P122" s="896"/>
      <c r="Q122" s="896"/>
      <c r="R122" s="897"/>
      <c r="S122" s="897"/>
      <c r="T122" s="897"/>
      <c r="U122" s="655"/>
    </row>
    <row r="123" spans="15:21" ht="15">
      <c r="O123" s="865"/>
      <c r="P123" s="896"/>
      <c r="Q123" s="896"/>
      <c r="R123" s="897"/>
      <c r="S123" s="897"/>
      <c r="T123" s="897"/>
      <c r="U123" s="655"/>
    </row>
    <row r="124" spans="15:21" ht="15">
      <c r="O124" s="865"/>
      <c r="P124" s="896"/>
      <c r="Q124" s="896"/>
      <c r="R124" s="897"/>
      <c r="S124" s="897"/>
      <c r="T124" s="897"/>
      <c r="U124" s="655"/>
    </row>
    <row r="125" spans="15:21" ht="15">
      <c r="O125" s="865"/>
      <c r="P125" s="896"/>
      <c r="Q125" s="896"/>
      <c r="R125" s="897"/>
      <c r="S125" s="897"/>
      <c r="T125" s="897"/>
      <c r="U125" s="655"/>
    </row>
    <row r="126" spans="15:21" ht="15">
      <c r="O126" s="865"/>
      <c r="P126" s="896"/>
      <c r="Q126" s="896"/>
      <c r="R126" s="897"/>
      <c r="S126" s="897"/>
      <c r="T126" s="897"/>
      <c r="U126" s="655"/>
    </row>
    <row r="127" spans="15:21" ht="15">
      <c r="O127" s="865"/>
      <c r="P127" s="896"/>
      <c r="Q127" s="896"/>
      <c r="R127" s="897"/>
      <c r="S127" s="897"/>
      <c r="T127" s="897"/>
      <c r="U127" s="655"/>
    </row>
    <row r="128" spans="15:21" ht="15">
      <c r="O128" s="865"/>
      <c r="P128" s="896"/>
      <c r="Q128" s="896"/>
      <c r="R128" s="897"/>
      <c r="S128" s="897"/>
      <c r="T128" s="897"/>
      <c r="U128" s="655"/>
    </row>
    <row r="129" spans="15:21" ht="15">
      <c r="O129" s="865"/>
      <c r="P129" s="896"/>
      <c r="Q129" s="896"/>
      <c r="R129" s="897"/>
      <c r="S129" s="897"/>
      <c r="T129" s="897"/>
      <c r="U129" s="655"/>
    </row>
    <row r="130" spans="15:21" ht="15">
      <c r="O130" s="865"/>
      <c r="P130" s="896"/>
      <c r="Q130" s="896"/>
      <c r="R130" s="897"/>
      <c r="S130" s="897"/>
      <c r="T130" s="897"/>
      <c r="U130" s="655"/>
    </row>
    <row r="131" spans="15:21" ht="15">
      <c r="O131" s="865"/>
      <c r="P131" s="896"/>
      <c r="Q131" s="896"/>
      <c r="R131" s="897"/>
      <c r="S131" s="897"/>
      <c r="T131" s="897"/>
      <c r="U131" s="655"/>
    </row>
    <row r="132" spans="15:21" ht="15">
      <c r="O132" s="865"/>
      <c r="P132" s="896"/>
      <c r="Q132" s="896"/>
      <c r="R132" s="897"/>
      <c r="S132" s="897"/>
      <c r="T132" s="897"/>
      <c r="U132" s="655"/>
    </row>
    <row r="133" spans="15:21" ht="15">
      <c r="O133" s="865"/>
      <c r="P133" s="896"/>
      <c r="Q133" s="865"/>
      <c r="R133" s="897"/>
      <c r="S133" s="897"/>
      <c r="T133" s="897"/>
      <c r="U133" s="655"/>
    </row>
  </sheetData>
  <sheetProtection password="B8D9" sheet="1" objects="1" scenarios="1"/>
  <sortState ref="A4:U32">
    <sortCondition ref="U4:U32"/>
  </sortState>
  <mergeCells count="7">
    <mergeCell ref="A1:A2"/>
    <mergeCell ref="B1:H1"/>
    <mergeCell ref="O1:P1"/>
    <mergeCell ref="Q1:R1"/>
    <mergeCell ref="S1:T1"/>
    <mergeCell ref="E2:F2"/>
    <mergeCell ref="G2:H2"/>
  </mergeCells>
  <conditionalFormatting sqref="A3:A32">
    <cfRule type="expression" dxfId="23" priority="1" stopIfTrue="1">
      <formula>N3=-1</formula>
    </cfRule>
    <cfRule type="expression" dxfId="22" priority="2" stopIfTrue="1">
      <formula>N3=0</formula>
    </cfRule>
    <cfRule type="expression" dxfId="21" priority="3" stopIfTrue="1">
      <formula>N3=1</formula>
    </cfRule>
  </conditionalFormatting>
  <pageMargins left="0.70866141732283472" right="0.70866141732283472" top="0.74803149606299213" bottom="0.74803149606299213" header="0.31496062992125984" footer="0.31496062992125984"/>
  <pageSetup paperSize="9" scale="14"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29.xml><?xml version="1.0" encoding="utf-8"?>
<worksheet xmlns="http://schemas.openxmlformats.org/spreadsheetml/2006/main" xmlns:r="http://schemas.openxmlformats.org/officeDocument/2006/relationships">
  <sheetPr codeName="Sheet12">
    <pageSetUpPr fitToPage="1"/>
  </sheetPr>
  <dimension ref="B1:T37"/>
  <sheetViews>
    <sheetView workbookViewId="0"/>
  </sheetViews>
  <sheetFormatPr defaultRowHeight="12.75"/>
  <cols>
    <col min="1" max="1" width="1.7109375" style="2" customWidth="1"/>
    <col min="2" max="16384" width="9.140625" style="2"/>
  </cols>
  <sheetData>
    <row r="1" spans="2:20">
      <c r="B1" s="967" t="s">
        <v>601</v>
      </c>
      <c r="C1" s="967"/>
      <c r="D1" s="967"/>
      <c r="E1" s="967"/>
      <c r="F1" s="967"/>
      <c r="G1" s="967"/>
      <c r="H1" s="967"/>
      <c r="I1" s="967"/>
      <c r="J1" s="967"/>
      <c r="K1" s="967"/>
      <c r="L1" s="967"/>
      <c r="M1" s="967"/>
      <c r="N1" s="967"/>
      <c r="O1" s="985" t="s">
        <v>45</v>
      </c>
      <c r="R1" s="92"/>
    </row>
    <row r="2" spans="2:20">
      <c r="B2" s="967"/>
      <c r="C2" s="967"/>
      <c r="D2" s="967"/>
      <c r="E2" s="967"/>
      <c r="F2" s="967"/>
      <c r="G2" s="967"/>
      <c r="H2" s="967"/>
      <c r="I2" s="967"/>
      <c r="J2" s="967"/>
      <c r="K2" s="967"/>
      <c r="L2" s="967"/>
      <c r="M2" s="967"/>
      <c r="N2" s="967"/>
      <c r="O2" s="985"/>
      <c r="R2" s="92"/>
    </row>
    <row r="3" spans="2:20">
      <c r="B3" s="208" t="s">
        <v>577</v>
      </c>
      <c r="O3" s="985"/>
      <c r="R3" s="92"/>
    </row>
    <row r="4" spans="2:20">
      <c r="O4" s="985"/>
      <c r="R4" s="92"/>
    </row>
    <row r="6" spans="2:20">
      <c r="O6" s="1005" t="s">
        <v>415</v>
      </c>
      <c r="P6" s="1005"/>
    </row>
    <row r="13" spans="2:20" ht="15">
      <c r="O13" s="196"/>
      <c r="P13" t="s">
        <v>438</v>
      </c>
      <c r="Q13"/>
      <c r="R13"/>
      <c r="S13"/>
      <c r="T13"/>
    </row>
    <row r="14" spans="2:20" ht="15">
      <c r="O14" s="197"/>
      <c r="P14" t="s">
        <v>592</v>
      </c>
      <c r="Q14"/>
      <c r="R14"/>
      <c r="S14"/>
      <c r="T14"/>
    </row>
    <row r="15" spans="2:20" ht="15">
      <c r="O15" s="198"/>
      <c r="P15" t="s">
        <v>591</v>
      </c>
      <c r="Q15"/>
      <c r="R15"/>
      <c r="S15"/>
      <c r="T15"/>
    </row>
    <row r="16" spans="2:20" ht="15">
      <c r="O16" s="278"/>
      <c r="P16" t="s">
        <v>593</v>
      </c>
      <c r="Q16"/>
      <c r="R16"/>
      <c r="S16"/>
      <c r="T16"/>
    </row>
    <row r="17" spans="2:20" ht="15">
      <c r="O17"/>
      <c r="P17" t="s">
        <v>274</v>
      </c>
      <c r="Q17"/>
      <c r="R17"/>
      <c r="S17"/>
      <c r="T17"/>
    </row>
    <row r="31" spans="2:20">
      <c r="B31" s="202" t="s">
        <v>401</v>
      </c>
    </row>
    <row r="32" spans="2:20" ht="15">
      <c r="B32" s="1011" t="s">
        <v>531</v>
      </c>
      <c r="C32" s="971"/>
      <c r="D32" s="971"/>
      <c r="E32" s="971"/>
      <c r="F32" s="971"/>
      <c r="G32" s="971"/>
      <c r="H32" s="971"/>
      <c r="I32" s="971"/>
      <c r="J32" s="971"/>
      <c r="K32" s="971"/>
      <c r="L32" s="971"/>
      <c r="M32" s="971"/>
      <c r="N32" s="971"/>
    </row>
    <row r="33" spans="2:14" s="414" customFormat="1" ht="15">
      <c r="B33" s="205" t="s">
        <v>602</v>
      </c>
      <c r="C33" s="203"/>
      <c r="D33" s="204"/>
      <c r="E33" s="204"/>
      <c r="F33" s="204"/>
      <c r="G33" s="204"/>
      <c r="H33" s="204"/>
      <c r="I33" s="204"/>
      <c r="J33" s="203"/>
    </row>
    <row r="34" spans="2:14" s="414" customFormat="1" ht="15">
      <c r="B34" s="205" t="s">
        <v>595</v>
      </c>
      <c r="C34" s="203"/>
      <c r="D34" s="204"/>
      <c r="E34" s="204"/>
      <c r="F34" s="204"/>
      <c r="G34" s="204"/>
      <c r="H34" s="204"/>
      <c r="I34" s="204"/>
      <c r="J34" s="203"/>
    </row>
    <row r="35" spans="2:14" s="414" customFormat="1">
      <c r="B35" s="1004" t="s">
        <v>9</v>
      </c>
      <c r="C35" s="1004"/>
      <c r="D35" s="1004"/>
      <c r="E35" s="1004"/>
      <c r="F35" s="1004"/>
      <c r="G35" s="1004"/>
      <c r="H35" s="1004"/>
      <c r="I35" s="1004"/>
      <c r="J35" s="1004"/>
      <c r="K35" s="1004"/>
      <c r="L35" s="1004"/>
      <c r="M35" s="1004"/>
      <c r="N35" s="1004"/>
    </row>
    <row r="36" spans="2:14" s="414" customFormat="1">
      <c r="B36" s="1004"/>
      <c r="C36" s="1004"/>
      <c r="D36" s="1004"/>
      <c r="E36" s="1004"/>
      <c r="F36" s="1004"/>
      <c r="G36" s="1004"/>
      <c r="H36" s="1004"/>
      <c r="I36" s="1004"/>
      <c r="J36" s="1004"/>
      <c r="K36" s="1004"/>
      <c r="L36" s="1004"/>
      <c r="M36" s="1004"/>
      <c r="N36" s="1004"/>
    </row>
    <row r="37" spans="2:14" s="784" customFormat="1" ht="15">
      <c r="B37" s="205" t="s">
        <v>762</v>
      </c>
      <c r="C37" s="203"/>
      <c r="D37" s="204"/>
      <c r="E37" s="204"/>
      <c r="F37" s="204"/>
      <c r="G37" s="204"/>
      <c r="H37" s="204"/>
      <c r="I37" s="204"/>
      <c r="J37" s="203"/>
    </row>
  </sheetData>
  <sheetProtection password="B8D9" sheet="1" objects="1" scenarios="1"/>
  <mergeCells count="5">
    <mergeCell ref="B1:N2"/>
    <mergeCell ref="O1:O4"/>
    <mergeCell ref="B32:N32"/>
    <mergeCell ref="B35:N36"/>
    <mergeCell ref="O6:P6"/>
  </mergeCells>
  <hyperlinks>
    <hyperlink ref="O1" location="'List of Tables &amp; Charts'!A1" display="return to List of Tables &amp; Charts"/>
    <hyperlink ref="O6:P6" location="'Chart 2d DATA'!A1" display="view Chart 2d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3.xml><?xml version="1.0" encoding="utf-8"?>
<worksheet xmlns="http://schemas.openxmlformats.org/spreadsheetml/2006/main" xmlns:r="http://schemas.openxmlformats.org/officeDocument/2006/relationships">
  <sheetPr codeName="Sheet22">
    <pageSetUpPr fitToPage="1"/>
  </sheetPr>
  <dimension ref="B1:S55"/>
  <sheetViews>
    <sheetView workbookViewId="0"/>
  </sheetViews>
  <sheetFormatPr defaultRowHeight="12.75"/>
  <cols>
    <col min="1" max="1" width="1.7109375" style="326" customWidth="1"/>
    <col min="2" max="2" width="35.7109375" style="326" customWidth="1"/>
    <col min="3" max="4" width="8.7109375" style="326" customWidth="1"/>
    <col min="5" max="12" width="9.7109375" style="326" customWidth="1"/>
    <col min="13" max="13" width="10.7109375" style="326" customWidth="1"/>
    <col min="14" max="18" width="9.7109375" style="326" customWidth="1"/>
    <col min="19" max="23" width="10.7109375" style="326" customWidth="1"/>
    <col min="24" max="16384" width="9.140625" style="326"/>
  </cols>
  <sheetData>
    <row r="1" spans="2:19">
      <c r="B1" s="935" t="s">
        <v>641</v>
      </c>
      <c r="C1" s="935"/>
      <c r="D1" s="935"/>
      <c r="E1" s="935"/>
      <c r="F1" s="935"/>
      <c r="G1" s="935"/>
      <c r="H1" s="935"/>
      <c r="I1" s="935"/>
      <c r="J1" s="935"/>
    </row>
    <row r="2" spans="2:19">
      <c r="B2" s="935"/>
      <c r="C2" s="935"/>
      <c r="D2" s="935"/>
      <c r="E2" s="935"/>
      <c r="F2" s="935"/>
      <c r="G2" s="935"/>
      <c r="H2" s="935"/>
      <c r="I2" s="935"/>
      <c r="J2" s="935"/>
    </row>
    <row r="3" spans="2:19">
      <c r="B3" s="435" t="s">
        <v>45</v>
      </c>
    </row>
    <row r="4" spans="2:19">
      <c r="B4" s="627" t="s">
        <v>555</v>
      </c>
    </row>
    <row r="5" spans="2:19" ht="25.5" customHeight="1">
      <c r="B5" s="349"/>
      <c r="C5" s="350"/>
      <c r="D5" s="936" t="s">
        <v>322</v>
      </c>
      <c r="E5" s="937"/>
      <c r="F5" s="937"/>
      <c r="G5" s="937"/>
      <c r="H5" s="937"/>
      <c r="I5" s="937"/>
      <c r="J5" s="937"/>
      <c r="K5" s="937"/>
      <c r="L5" s="937"/>
      <c r="M5" s="937"/>
      <c r="N5" s="937"/>
      <c r="O5" s="937"/>
      <c r="P5" s="937"/>
      <c r="Q5" s="937"/>
      <c r="R5" s="937"/>
      <c r="S5" s="939"/>
    </row>
    <row r="6" spans="2:19" ht="51">
      <c r="B6" s="349" t="s">
        <v>326</v>
      </c>
      <c r="C6" s="350"/>
      <c r="D6" s="351" t="s">
        <v>178</v>
      </c>
      <c r="E6" s="351" t="s">
        <v>33</v>
      </c>
      <c r="F6" s="351" t="s">
        <v>28</v>
      </c>
      <c r="G6" s="351" t="s">
        <v>31</v>
      </c>
      <c r="H6" s="351" t="s">
        <v>30</v>
      </c>
      <c r="I6" s="351" t="s">
        <v>35</v>
      </c>
      <c r="J6" s="351" t="s">
        <v>34</v>
      </c>
      <c r="K6" s="351" t="s">
        <v>40</v>
      </c>
      <c r="L6" s="351" t="s">
        <v>36</v>
      </c>
      <c r="M6" s="351" t="s">
        <v>29</v>
      </c>
      <c r="N6" s="351" t="s">
        <v>38</v>
      </c>
      <c r="O6" s="351" t="s">
        <v>41</v>
      </c>
      <c r="P6" s="351" t="s">
        <v>39</v>
      </c>
      <c r="Q6" s="351" t="s">
        <v>32</v>
      </c>
      <c r="R6" s="351" t="s">
        <v>37</v>
      </c>
      <c r="S6" s="352" t="s">
        <v>263</v>
      </c>
    </row>
    <row r="7" spans="2:19">
      <c r="B7" s="605"/>
      <c r="C7" s="605"/>
      <c r="D7" s="606"/>
      <c r="E7" s="606"/>
      <c r="F7" s="606"/>
      <c r="G7" s="606"/>
      <c r="H7" s="606"/>
      <c r="I7" s="606"/>
      <c r="J7" s="606"/>
      <c r="K7" s="606"/>
      <c r="L7" s="606"/>
      <c r="M7" s="606"/>
      <c r="N7" s="606"/>
      <c r="O7" s="606"/>
      <c r="P7" s="606"/>
      <c r="Q7" s="606"/>
      <c r="R7" s="606"/>
      <c r="S7" s="606"/>
    </row>
    <row r="8" spans="2:19">
      <c r="B8" s="620" t="s">
        <v>321</v>
      </c>
      <c r="C8" s="621" t="s">
        <v>273</v>
      </c>
      <c r="D8" s="622">
        <f>SUM(E8:S8)</f>
        <v>9331</v>
      </c>
      <c r="E8" s="622">
        <v>848</v>
      </c>
      <c r="F8" s="622">
        <v>232</v>
      </c>
      <c r="G8" s="622">
        <v>233</v>
      </c>
      <c r="H8" s="622">
        <v>727</v>
      </c>
      <c r="I8" s="622">
        <v>506</v>
      </c>
      <c r="J8" s="622">
        <v>764</v>
      </c>
      <c r="K8" s="622">
        <v>2086</v>
      </c>
      <c r="L8" s="622">
        <v>548</v>
      </c>
      <c r="M8" s="622">
        <v>1039</v>
      </c>
      <c r="N8" s="622">
        <v>1365</v>
      </c>
      <c r="O8" s="622">
        <v>35</v>
      </c>
      <c r="P8" s="622">
        <v>37</v>
      </c>
      <c r="Q8" s="622">
        <v>639</v>
      </c>
      <c r="R8" s="622">
        <v>28</v>
      </c>
      <c r="S8" s="622">
        <v>244</v>
      </c>
    </row>
    <row r="9" spans="2:19">
      <c r="B9" s="504"/>
      <c r="C9" s="504"/>
      <c r="D9" s="608"/>
      <c r="E9" s="608"/>
      <c r="F9" s="608"/>
      <c r="G9" s="608"/>
      <c r="H9" s="608"/>
      <c r="I9" s="608"/>
      <c r="J9" s="608"/>
      <c r="K9" s="608"/>
      <c r="L9" s="608"/>
      <c r="M9" s="608"/>
      <c r="N9" s="608"/>
      <c r="O9" s="608"/>
      <c r="P9" s="608"/>
      <c r="Q9" s="608"/>
      <c r="R9" s="608"/>
      <c r="S9" s="608"/>
    </row>
    <row r="10" spans="2:19">
      <c r="B10" s="607" t="s">
        <v>305</v>
      </c>
      <c r="C10" s="504"/>
      <c r="D10" s="608"/>
      <c r="E10" s="608"/>
      <c r="F10" s="608"/>
      <c r="G10" s="608"/>
      <c r="H10" s="608"/>
      <c r="I10" s="608"/>
      <c r="J10" s="608"/>
      <c r="K10" s="608"/>
      <c r="L10" s="608"/>
      <c r="M10" s="608"/>
      <c r="N10" s="608"/>
      <c r="O10" s="608"/>
      <c r="P10" s="608"/>
      <c r="Q10" s="608"/>
      <c r="R10" s="608"/>
      <c r="S10" s="608"/>
    </row>
    <row r="11" spans="2:19">
      <c r="B11" s="623" t="s">
        <v>304</v>
      </c>
      <c r="C11" s="621" t="s">
        <v>273</v>
      </c>
      <c r="D11" s="622">
        <f>SUM(E11:S11)</f>
        <v>8005</v>
      </c>
      <c r="E11" s="622">
        <v>738</v>
      </c>
      <c r="F11" s="622">
        <v>192</v>
      </c>
      <c r="G11" s="622">
        <v>202</v>
      </c>
      <c r="H11" s="622">
        <v>642</v>
      </c>
      <c r="I11" s="622">
        <v>457</v>
      </c>
      <c r="J11" s="622">
        <v>649</v>
      </c>
      <c r="K11" s="622">
        <v>1817</v>
      </c>
      <c r="L11" s="622">
        <v>468</v>
      </c>
      <c r="M11" s="622">
        <v>894</v>
      </c>
      <c r="N11" s="622">
        <v>1121</v>
      </c>
      <c r="O11" s="622">
        <v>26</v>
      </c>
      <c r="P11" s="622">
        <v>31</v>
      </c>
      <c r="Q11" s="622">
        <v>539</v>
      </c>
      <c r="R11" s="622">
        <v>25</v>
      </c>
      <c r="S11" s="622">
        <v>204</v>
      </c>
    </row>
    <row r="12" spans="2:19">
      <c r="B12" s="504"/>
      <c r="C12" s="610" t="s">
        <v>138</v>
      </c>
      <c r="D12" s="611">
        <f>D11/D$8*100</f>
        <v>85.789304468974379</v>
      </c>
      <c r="E12" s="611">
        <f t="shared" ref="E12:S12" si="0">E11/E$8*100</f>
        <v>87.028301886792448</v>
      </c>
      <c r="F12" s="611">
        <f t="shared" si="0"/>
        <v>82.758620689655174</v>
      </c>
      <c r="G12" s="611">
        <f t="shared" si="0"/>
        <v>86.695278969957073</v>
      </c>
      <c r="H12" s="611">
        <f t="shared" si="0"/>
        <v>88.308115543328753</v>
      </c>
      <c r="I12" s="611">
        <f t="shared" si="0"/>
        <v>90.316205533596843</v>
      </c>
      <c r="J12" s="611">
        <f t="shared" si="0"/>
        <v>84.947643979057602</v>
      </c>
      <c r="K12" s="611">
        <f t="shared" si="0"/>
        <v>87.104506232023013</v>
      </c>
      <c r="L12" s="611">
        <f t="shared" si="0"/>
        <v>85.40145985401459</v>
      </c>
      <c r="M12" s="611">
        <f t="shared" si="0"/>
        <v>86.044273339749751</v>
      </c>
      <c r="N12" s="611">
        <f t="shared" si="0"/>
        <v>82.124542124542117</v>
      </c>
      <c r="O12" s="611">
        <f t="shared" si="0"/>
        <v>74.285714285714292</v>
      </c>
      <c r="P12" s="611">
        <f t="shared" si="0"/>
        <v>83.78378378378379</v>
      </c>
      <c r="Q12" s="611">
        <f t="shared" si="0"/>
        <v>84.350547730829419</v>
      </c>
      <c r="R12" s="611">
        <f t="shared" si="0"/>
        <v>89.285714285714292</v>
      </c>
      <c r="S12" s="611">
        <f t="shared" si="0"/>
        <v>83.606557377049185</v>
      </c>
    </row>
    <row r="13" spans="2:19">
      <c r="B13" s="623" t="s">
        <v>303</v>
      </c>
      <c r="C13" s="621" t="s">
        <v>273</v>
      </c>
      <c r="D13" s="622">
        <f>SUM(E13:S13)</f>
        <v>1162</v>
      </c>
      <c r="E13" s="622">
        <v>95</v>
      </c>
      <c r="F13" s="622">
        <v>37</v>
      </c>
      <c r="G13" s="622">
        <v>28</v>
      </c>
      <c r="H13" s="622">
        <v>81</v>
      </c>
      <c r="I13" s="622">
        <v>45</v>
      </c>
      <c r="J13" s="622">
        <v>101</v>
      </c>
      <c r="K13" s="622">
        <v>239</v>
      </c>
      <c r="L13" s="622">
        <v>76</v>
      </c>
      <c r="M13" s="622">
        <v>133</v>
      </c>
      <c r="N13" s="622">
        <v>206</v>
      </c>
      <c r="O13" s="622">
        <v>6</v>
      </c>
      <c r="P13" s="622">
        <v>4</v>
      </c>
      <c r="Q13" s="622">
        <v>78</v>
      </c>
      <c r="R13" s="622">
        <v>2</v>
      </c>
      <c r="S13" s="622">
        <v>31</v>
      </c>
    </row>
    <row r="14" spans="2:19">
      <c r="B14" s="504"/>
      <c r="C14" s="610" t="s">
        <v>138</v>
      </c>
      <c r="D14" s="611">
        <f t="shared" ref="D14:S14" si="1">D13/D$8*100</f>
        <v>12.453113278319581</v>
      </c>
      <c r="E14" s="611">
        <f t="shared" si="1"/>
        <v>11.202830188679245</v>
      </c>
      <c r="F14" s="611">
        <f t="shared" si="1"/>
        <v>15.948275862068966</v>
      </c>
      <c r="G14" s="611">
        <f t="shared" si="1"/>
        <v>12.017167381974248</v>
      </c>
      <c r="H14" s="611">
        <f t="shared" si="1"/>
        <v>11.141678129298487</v>
      </c>
      <c r="I14" s="611">
        <f t="shared" si="1"/>
        <v>8.8932806324110665</v>
      </c>
      <c r="J14" s="611">
        <f t="shared" si="1"/>
        <v>13.219895287958114</v>
      </c>
      <c r="K14" s="611">
        <f t="shared" si="1"/>
        <v>11.457334611697027</v>
      </c>
      <c r="L14" s="611">
        <f t="shared" si="1"/>
        <v>13.868613138686131</v>
      </c>
      <c r="M14" s="611">
        <f t="shared" si="1"/>
        <v>12.800769971126083</v>
      </c>
      <c r="N14" s="611">
        <f t="shared" si="1"/>
        <v>15.091575091575091</v>
      </c>
      <c r="O14" s="611">
        <f t="shared" si="1"/>
        <v>17.142857142857142</v>
      </c>
      <c r="P14" s="611">
        <f t="shared" si="1"/>
        <v>10.810810810810811</v>
      </c>
      <c r="Q14" s="611">
        <f t="shared" si="1"/>
        <v>12.206572769953052</v>
      </c>
      <c r="R14" s="611">
        <f t="shared" si="1"/>
        <v>7.1428571428571423</v>
      </c>
      <c r="S14" s="611">
        <f t="shared" si="1"/>
        <v>12.704918032786885</v>
      </c>
    </row>
    <row r="15" spans="2:19">
      <c r="B15" s="504"/>
      <c r="C15" s="504"/>
      <c r="D15" s="608"/>
      <c r="E15" s="608"/>
      <c r="F15" s="608"/>
      <c r="G15" s="608"/>
      <c r="H15" s="608"/>
      <c r="I15" s="608"/>
      <c r="J15" s="608"/>
      <c r="K15" s="608"/>
      <c r="L15" s="608"/>
      <c r="M15" s="608"/>
      <c r="N15" s="608"/>
      <c r="O15" s="608"/>
      <c r="P15" s="608"/>
      <c r="Q15" s="608"/>
      <c r="R15" s="608"/>
      <c r="S15" s="608"/>
    </row>
    <row r="16" spans="2:19">
      <c r="B16" s="607" t="s">
        <v>320</v>
      </c>
      <c r="C16" s="504"/>
      <c r="D16" s="608"/>
      <c r="E16" s="608"/>
      <c r="F16" s="608"/>
      <c r="G16" s="608"/>
      <c r="H16" s="608"/>
      <c r="I16" s="608"/>
      <c r="J16" s="608"/>
      <c r="K16" s="608"/>
      <c r="L16" s="608"/>
      <c r="M16" s="608"/>
      <c r="N16" s="608"/>
      <c r="O16" s="608"/>
      <c r="P16" s="608"/>
      <c r="Q16" s="608"/>
      <c r="R16" s="608"/>
      <c r="S16" s="608"/>
    </row>
    <row r="17" spans="2:19">
      <c r="B17" s="623" t="s">
        <v>302</v>
      </c>
      <c r="C17" s="621" t="s">
        <v>273</v>
      </c>
      <c r="D17" s="622">
        <f>SUM(E17:S17)</f>
        <v>4703</v>
      </c>
      <c r="E17" s="622">
        <v>463</v>
      </c>
      <c r="F17" s="622">
        <v>126</v>
      </c>
      <c r="G17" s="622">
        <v>125</v>
      </c>
      <c r="H17" s="622">
        <v>365</v>
      </c>
      <c r="I17" s="622">
        <v>257</v>
      </c>
      <c r="J17" s="622">
        <v>396</v>
      </c>
      <c r="K17" s="622">
        <v>1024</v>
      </c>
      <c r="L17" s="622">
        <v>259</v>
      </c>
      <c r="M17" s="622">
        <v>529</v>
      </c>
      <c r="N17" s="622">
        <v>667</v>
      </c>
      <c r="O17" s="622">
        <v>15</v>
      </c>
      <c r="P17" s="622">
        <v>20</v>
      </c>
      <c r="Q17" s="622">
        <v>299</v>
      </c>
      <c r="R17" s="622">
        <v>13</v>
      </c>
      <c r="S17" s="622">
        <v>145</v>
      </c>
    </row>
    <row r="18" spans="2:19">
      <c r="B18" s="504"/>
      <c r="C18" s="610" t="s">
        <v>138</v>
      </c>
      <c r="D18" s="611">
        <f t="shared" ref="D18:S18" si="2">D17/D$8*100</f>
        <v>50.401886185832169</v>
      </c>
      <c r="E18" s="611">
        <f t="shared" si="2"/>
        <v>54.59905660377359</v>
      </c>
      <c r="F18" s="611">
        <f t="shared" si="2"/>
        <v>54.310344827586206</v>
      </c>
      <c r="G18" s="611">
        <f t="shared" si="2"/>
        <v>53.648068669527895</v>
      </c>
      <c r="H18" s="611">
        <f t="shared" si="2"/>
        <v>50.20632737276479</v>
      </c>
      <c r="I18" s="611">
        <f t="shared" si="2"/>
        <v>50.790513833992094</v>
      </c>
      <c r="J18" s="611">
        <f t="shared" si="2"/>
        <v>51.832460732984295</v>
      </c>
      <c r="K18" s="611">
        <f t="shared" si="2"/>
        <v>49.089165867689353</v>
      </c>
      <c r="L18" s="611">
        <f t="shared" si="2"/>
        <v>47.262773722627735</v>
      </c>
      <c r="M18" s="611">
        <f t="shared" si="2"/>
        <v>50.914340712223293</v>
      </c>
      <c r="N18" s="611">
        <f t="shared" si="2"/>
        <v>48.864468864468861</v>
      </c>
      <c r="O18" s="611">
        <f t="shared" si="2"/>
        <v>42.857142857142854</v>
      </c>
      <c r="P18" s="611">
        <f t="shared" si="2"/>
        <v>54.054054054054056</v>
      </c>
      <c r="Q18" s="611">
        <f t="shared" si="2"/>
        <v>46.791862284820027</v>
      </c>
      <c r="R18" s="611">
        <f t="shared" si="2"/>
        <v>46.428571428571431</v>
      </c>
      <c r="S18" s="611">
        <f t="shared" si="2"/>
        <v>59.426229508196727</v>
      </c>
    </row>
    <row r="19" spans="2:19">
      <c r="B19" s="504"/>
      <c r="C19" s="612"/>
      <c r="D19" s="611"/>
      <c r="E19" s="611"/>
      <c r="F19" s="611"/>
      <c r="G19" s="611"/>
      <c r="H19" s="611"/>
      <c r="I19" s="611"/>
      <c r="J19" s="611"/>
      <c r="K19" s="611"/>
      <c r="L19" s="611"/>
      <c r="M19" s="611"/>
      <c r="N19" s="611"/>
      <c r="O19" s="611"/>
      <c r="P19" s="611"/>
      <c r="Q19" s="611"/>
      <c r="R19" s="611"/>
      <c r="S19" s="611"/>
    </row>
    <row r="20" spans="2:19">
      <c r="B20" s="623" t="s">
        <v>323</v>
      </c>
      <c r="C20" s="621" t="s">
        <v>302</v>
      </c>
      <c r="D20" s="624">
        <v>70.601956198171379</v>
      </c>
      <c r="E20" s="624">
        <v>71.215982721382289</v>
      </c>
      <c r="F20" s="624">
        <v>72.484126984126988</v>
      </c>
      <c r="G20" s="624">
        <v>73.567999999999998</v>
      </c>
      <c r="H20" s="624">
        <v>71.0054794520548</v>
      </c>
      <c r="I20" s="624">
        <v>71.124513618677042</v>
      </c>
      <c r="J20" s="624">
        <v>71.893939393939391</v>
      </c>
      <c r="K20" s="624">
        <v>68.7724609375</v>
      </c>
      <c r="L20" s="624">
        <v>72.590733590733592</v>
      </c>
      <c r="M20" s="624">
        <v>68.939508506616264</v>
      </c>
      <c r="N20" s="624">
        <v>71.061469265367322</v>
      </c>
      <c r="O20" s="624">
        <v>74</v>
      </c>
      <c r="P20" s="624">
        <v>74.849999999999994</v>
      </c>
      <c r="Q20" s="624">
        <v>72.474916387959865</v>
      </c>
      <c r="R20" s="624">
        <v>75</v>
      </c>
      <c r="S20" s="624">
        <v>67.103448275862064</v>
      </c>
    </row>
    <row r="21" spans="2:19">
      <c r="B21" s="609"/>
      <c r="C21" s="608" t="s">
        <v>301</v>
      </c>
      <c r="D21" s="613">
        <v>75.398876404494388</v>
      </c>
      <c r="E21" s="613">
        <v>74.298701298701303</v>
      </c>
      <c r="F21" s="613">
        <v>79.754716981132077</v>
      </c>
      <c r="G21" s="613">
        <v>75.444444444444443</v>
      </c>
      <c r="H21" s="613">
        <v>74.364640883977899</v>
      </c>
      <c r="I21" s="613">
        <v>74.915662650602414</v>
      </c>
      <c r="J21" s="613">
        <v>77.081521739130437</v>
      </c>
      <c r="K21" s="613">
        <v>73.507532956685495</v>
      </c>
      <c r="L21" s="613">
        <v>76.152249134948093</v>
      </c>
      <c r="M21" s="613">
        <v>74.180392156862752</v>
      </c>
      <c r="N21" s="613">
        <v>77.621776504297998</v>
      </c>
      <c r="O21" s="613">
        <v>73.2</v>
      </c>
      <c r="P21" s="613">
        <v>82</v>
      </c>
      <c r="Q21" s="613">
        <v>77.647058823529406</v>
      </c>
      <c r="R21" s="613">
        <v>73.933333333333337</v>
      </c>
      <c r="S21" s="613">
        <v>74.212121212121218</v>
      </c>
    </row>
    <row r="22" spans="2:19">
      <c r="B22" s="609"/>
      <c r="C22" s="608"/>
      <c r="D22" s="613"/>
      <c r="E22" s="613"/>
      <c r="F22" s="613"/>
      <c r="G22" s="613"/>
      <c r="H22" s="613"/>
      <c r="I22" s="613"/>
      <c r="J22" s="613"/>
      <c r="K22" s="613"/>
      <c r="L22" s="613"/>
      <c r="M22" s="613"/>
      <c r="N22" s="613"/>
      <c r="O22" s="613"/>
      <c r="P22" s="613"/>
      <c r="Q22" s="613"/>
      <c r="R22" s="613"/>
      <c r="S22" s="613"/>
    </row>
    <row r="23" spans="2:19">
      <c r="B23" s="607" t="s">
        <v>319</v>
      </c>
      <c r="C23" s="504"/>
      <c r="D23" s="608"/>
      <c r="E23" s="608"/>
      <c r="F23" s="608"/>
      <c r="G23" s="608"/>
      <c r="H23" s="608"/>
      <c r="I23" s="608"/>
      <c r="J23" s="608"/>
      <c r="K23" s="608"/>
      <c r="L23" s="608"/>
      <c r="M23" s="608"/>
      <c r="N23" s="608"/>
      <c r="O23" s="608"/>
      <c r="P23" s="608"/>
      <c r="Q23" s="608"/>
      <c r="R23" s="608"/>
      <c r="S23" s="608"/>
    </row>
    <row r="24" spans="2:19" ht="25.5" customHeight="1">
      <c r="B24" s="623" t="s">
        <v>315</v>
      </c>
      <c r="C24" s="621" t="s">
        <v>273</v>
      </c>
      <c r="D24" s="622">
        <f>SUM(E24:S24)</f>
        <v>1555</v>
      </c>
      <c r="E24" s="622">
        <v>132</v>
      </c>
      <c r="F24" s="622">
        <v>26</v>
      </c>
      <c r="G24" s="622">
        <v>33</v>
      </c>
      <c r="H24" s="622">
        <v>143</v>
      </c>
      <c r="I24" s="622">
        <v>82</v>
      </c>
      <c r="J24" s="622">
        <v>90</v>
      </c>
      <c r="K24" s="622">
        <v>439</v>
      </c>
      <c r="L24" s="622">
        <v>70</v>
      </c>
      <c r="M24" s="622">
        <v>194</v>
      </c>
      <c r="N24" s="622">
        <v>195</v>
      </c>
      <c r="O24" s="622">
        <v>5</v>
      </c>
      <c r="P24" s="622">
        <v>2</v>
      </c>
      <c r="Q24" s="622">
        <v>86</v>
      </c>
      <c r="R24" s="622">
        <v>4</v>
      </c>
      <c r="S24" s="622">
        <v>54</v>
      </c>
    </row>
    <row r="25" spans="2:19">
      <c r="B25" s="614"/>
      <c r="C25" s="610" t="s">
        <v>138</v>
      </c>
      <c r="D25" s="611">
        <f t="shared" ref="D25:S25" si="3">D24/D$8*100</f>
        <v>16.664880505840745</v>
      </c>
      <c r="E25" s="611">
        <f t="shared" si="3"/>
        <v>15.566037735849056</v>
      </c>
      <c r="F25" s="611">
        <f t="shared" si="3"/>
        <v>11.206896551724139</v>
      </c>
      <c r="G25" s="611">
        <f t="shared" si="3"/>
        <v>14.163090128755366</v>
      </c>
      <c r="H25" s="611">
        <f t="shared" si="3"/>
        <v>19.669876203576344</v>
      </c>
      <c r="I25" s="611">
        <f t="shared" si="3"/>
        <v>16.205533596837945</v>
      </c>
      <c r="J25" s="611">
        <f t="shared" si="3"/>
        <v>11.780104712041885</v>
      </c>
      <c r="K25" s="611">
        <f t="shared" si="3"/>
        <v>21.045062320230105</v>
      </c>
      <c r="L25" s="611">
        <f t="shared" si="3"/>
        <v>12.773722627737227</v>
      </c>
      <c r="M25" s="611">
        <f t="shared" si="3"/>
        <v>18.67179980750722</v>
      </c>
      <c r="N25" s="611">
        <f t="shared" si="3"/>
        <v>14.285714285714285</v>
      </c>
      <c r="O25" s="611">
        <f t="shared" si="3"/>
        <v>14.285714285714285</v>
      </c>
      <c r="P25" s="611">
        <f t="shared" si="3"/>
        <v>5.4054054054054053</v>
      </c>
      <c r="Q25" s="611">
        <f t="shared" si="3"/>
        <v>13.458528951486699</v>
      </c>
      <c r="R25" s="611">
        <f t="shared" si="3"/>
        <v>14.285714285714285</v>
      </c>
      <c r="S25" s="611">
        <f t="shared" si="3"/>
        <v>22.131147540983605</v>
      </c>
    </row>
    <row r="26" spans="2:19" ht="25.5" customHeight="1">
      <c r="B26" s="623" t="s">
        <v>316</v>
      </c>
      <c r="C26" s="621" t="s">
        <v>273</v>
      </c>
      <c r="D26" s="622">
        <f>SUM(E26:S26)</f>
        <v>4720</v>
      </c>
      <c r="E26" s="622">
        <v>451</v>
      </c>
      <c r="F26" s="622">
        <v>106</v>
      </c>
      <c r="G26" s="622">
        <v>114</v>
      </c>
      <c r="H26" s="622">
        <v>338</v>
      </c>
      <c r="I26" s="622">
        <v>278</v>
      </c>
      <c r="J26" s="622">
        <v>389</v>
      </c>
      <c r="K26" s="622">
        <v>1046</v>
      </c>
      <c r="L26" s="622">
        <v>277</v>
      </c>
      <c r="M26" s="622">
        <v>573</v>
      </c>
      <c r="N26" s="622">
        <v>652</v>
      </c>
      <c r="O26" s="622">
        <v>22</v>
      </c>
      <c r="P26" s="622">
        <v>19</v>
      </c>
      <c r="Q26" s="622">
        <v>300</v>
      </c>
      <c r="R26" s="622">
        <v>14</v>
      </c>
      <c r="S26" s="622">
        <v>141</v>
      </c>
    </row>
    <row r="27" spans="2:19">
      <c r="B27" s="614"/>
      <c r="C27" s="610" t="s">
        <v>138</v>
      </c>
      <c r="D27" s="611">
        <f t="shared" ref="D27:S27" si="4">D26/D$8*100</f>
        <v>50.584074590076092</v>
      </c>
      <c r="E27" s="611">
        <f t="shared" si="4"/>
        <v>53.183962264150942</v>
      </c>
      <c r="F27" s="611">
        <f t="shared" si="4"/>
        <v>45.689655172413794</v>
      </c>
      <c r="G27" s="611">
        <f t="shared" si="4"/>
        <v>48.927038626609445</v>
      </c>
      <c r="H27" s="611">
        <f t="shared" si="4"/>
        <v>46.492434662998619</v>
      </c>
      <c r="I27" s="611">
        <f t="shared" si="4"/>
        <v>54.940711462450601</v>
      </c>
      <c r="J27" s="611">
        <f t="shared" si="4"/>
        <v>50.916230366492144</v>
      </c>
      <c r="K27" s="611">
        <f t="shared" si="4"/>
        <v>50.143815915627997</v>
      </c>
      <c r="L27" s="611">
        <f t="shared" si="4"/>
        <v>50.547445255474457</v>
      </c>
      <c r="M27" s="611">
        <f t="shared" si="4"/>
        <v>55.149181905678532</v>
      </c>
      <c r="N27" s="611">
        <f t="shared" si="4"/>
        <v>47.765567765567766</v>
      </c>
      <c r="O27" s="611">
        <f t="shared" si="4"/>
        <v>62.857142857142854</v>
      </c>
      <c r="P27" s="611">
        <f t="shared" si="4"/>
        <v>51.351351351351347</v>
      </c>
      <c r="Q27" s="611">
        <f t="shared" si="4"/>
        <v>46.948356807511736</v>
      </c>
      <c r="R27" s="611">
        <f t="shared" si="4"/>
        <v>50</v>
      </c>
      <c r="S27" s="611">
        <f t="shared" si="4"/>
        <v>57.786885245901644</v>
      </c>
    </row>
    <row r="28" spans="2:19" ht="25.5" customHeight="1">
      <c r="B28" s="623" t="s">
        <v>317</v>
      </c>
      <c r="C28" s="621" t="s">
        <v>273</v>
      </c>
      <c r="D28" s="622">
        <f>SUM(E28:S28)</f>
        <v>3056</v>
      </c>
      <c r="E28" s="622">
        <v>265</v>
      </c>
      <c r="F28" s="622">
        <v>100</v>
      </c>
      <c r="G28" s="622">
        <v>86</v>
      </c>
      <c r="H28" s="622">
        <v>246</v>
      </c>
      <c r="I28" s="622">
        <v>146</v>
      </c>
      <c r="J28" s="622">
        <v>285</v>
      </c>
      <c r="K28" s="622">
        <v>601</v>
      </c>
      <c r="L28" s="622">
        <v>201</v>
      </c>
      <c r="M28" s="622">
        <v>272</v>
      </c>
      <c r="N28" s="622">
        <v>518</v>
      </c>
      <c r="O28" s="622">
        <v>8</v>
      </c>
      <c r="P28" s="622">
        <v>16</v>
      </c>
      <c r="Q28" s="622">
        <v>253</v>
      </c>
      <c r="R28" s="622">
        <v>10</v>
      </c>
      <c r="S28" s="622">
        <v>49</v>
      </c>
    </row>
    <row r="29" spans="2:19">
      <c r="B29" s="504"/>
      <c r="C29" s="610" t="s">
        <v>138</v>
      </c>
      <c r="D29" s="611">
        <f t="shared" ref="D29:S29" si="5">D28/D$8*100</f>
        <v>32.751044904083166</v>
      </c>
      <c r="E29" s="611">
        <f t="shared" si="5"/>
        <v>31.25</v>
      </c>
      <c r="F29" s="611">
        <f t="shared" si="5"/>
        <v>43.103448275862064</v>
      </c>
      <c r="G29" s="611">
        <f t="shared" si="5"/>
        <v>36.909871244635198</v>
      </c>
      <c r="H29" s="611">
        <f t="shared" si="5"/>
        <v>33.837689133425037</v>
      </c>
      <c r="I29" s="611">
        <f t="shared" si="5"/>
        <v>28.853754940711461</v>
      </c>
      <c r="J29" s="611">
        <f t="shared" si="5"/>
        <v>37.303664921465966</v>
      </c>
      <c r="K29" s="611">
        <f t="shared" si="5"/>
        <v>28.811121764141902</v>
      </c>
      <c r="L29" s="611">
        <f t="shared" si="5"/>
        <v>36.678832116788321</v>
      </c>
      <c r="M29" s="611">
        <f t="shared" si="5"/>
        <v>26.179018286814244</v>
      </c>
      <c r="N29" s="611">
        <f t="shared" si="5"/>
        <v>37.948717948717949</v>
      </c>
      <c r="O29" s="611">
        <f t="shared" si="5"/>
        <v>22.857142857142858</v>
      </c>
      <c r="P29" s="611">
        <f t="shared" si="5"/>
        <v>43.243243243243242</v>
      </c>
      <c r="Q29" s="611">
        <f t="shared" si="5"/>
        <v>39.593114241001565</v>
      </c>
      <c r="R29" s="611">
        <f t="shared" si="5"/>
        <v>35.714285714285715</v>
      </c>
      <c r="S29" s="611">
        <f t="shared" si="5"/>
        <v>20.081967213114755</v>
      </c>
    </row>
    <row r="30" spans="2:19">
      <c r="B30" s="504"/>
      <c r="C30" s="504"/>
      <c r="D30" s="608"/>
      <c r="E30" s="608"/>
      <c r="F30" s="608"/>
      <c r="G30" s="608"/>
      <c r="H30" s="608"/>
      <c r="I30" s="608"/>
      <c r="J30" s="608"/>
      <c r="K30" s="608"/>
      <c r="L30" s="608"/>
      <c r="M30" s="608"/>
      <c r="N30" s="608"/>
      <c r="O30" s="608"/>
      <c r="P30" s="608"/>
      <c r="Q30" s="608"/>
      <c r="R30" s="608"/>
      <c r="S30" s="608"/>
    </row>
    <row r="31" spans="2:19">
      <c r="B31" s="607" t="s">
        <v>318</v>
      </c>
      <c r="C31" s="504"/>
      <c r="D31" s="608"/>
      <c r="E31" s="608"/>
      <c r="F31" s="608"/>
      <c r="G31" s="608"/>
      <c r="H31" s="608"/>
      <c r="I31" s="608"/>
      <c r="J31" s="608"/>
      <c r="K31" s="608"/>
      <c r="L31" s="608"/>
      <c r="M31" s="608"/>
      <c r="N31" s="608"/>
      <c r="O31" s="608"/>
      <c r="P31" s="608"/>
      <c r="Q31" s="608"/>
      <c r="R31" s="608"/>
      <c r="S31" s="608"/>
    </row>
    <row r="32" spans="2:19" ht="25.5">
      <c r="B32" s="623" t="s">
        <v>341</v>
      </c>
      <c r="C32" s="625" t="s">
        <v>273</v>
      </c>
      <c r="D32" s="622">
        <f>SUM(E32:S32)</f>
        <v>7640</v>
      </c>
      <c r="E32" s="622">
        <v>689</v>
      </c>
      <c r="F32" s="622">
        <v>180</v>
      </c>
      <c r="G32" s="622">
        <v>202</v>
      </c>
      <c r="H32" s="622">
        <v>599</v>
      </c>
      <c r="I32" s="622">
        <v>419</v>
      </c>
      <c r="J32" s="622">
        <v>644</v>
      </c>
      <c r="K32" s="622">
        <v>1681</v>
      </c>
      <c r="L32" s="622">
        <v>437</v>
      </c>
      <c r="M32" s="622">
        <v>822</v>
      </c>
      <c r="N32" s="622">
        <v>1136</v>
      </c>
      <c r="O32" s="622">
        <v>32</v>
      </c>
      <c r="P32" s="622">
        <v>28</v>
      </c>
      <c r="Q32" s="622">
        <v>538</v>
      </c>
      <c r="R32" s="622">
        <v>20</v>
      </c>
      <c r="S32" s="622">
        <v>213</v>
      </c>
    </row>
    <row r="33" spans="2:19">
      <c r="B33" s="614"/>
      <c r="C33" s="610" t="s">
        <v>138</v>
      </c>
      <c r="D33" s="611">
        <f t="shared" ref="D33:S33" si="6">D32/D$8*100</f>
        <v>81.877612260207911</v>
      </c>
      <c r="E33" s="611">
        <f t="shared" si="6"/>
        <v>81.25</v>
      </c>
      <c r="F33" s="611">
        <f t="shared" si="6"/>
        <v>77.58620689655173</v>
      </c>
      <c r="G33" s="611">
        <f t="shared" si="6"/>
        <v>86.695278969957073</v>
      </c>
      <c r="H33" s="611">
        <f t="shared" si="6"/>
        <v>82.393397524071531</v>
      </c>
      <c r="I33" s="611">
        <f t="shared" si="6"/>
        <v>82.806324110671937</v>
      </c>
      <c r="J33" s="611">
        <f t="shared" si="6"/>
        <v>84.293193717277475</v>
      </c>
      <c r="K33" s="611">
        <f t="shared" si="6"/>
        <v>80.584851390220507</v>
      </c>
      <c r="L33" s="611">
        <f t="shared" si="6"/>
        <v>79.744525547445249</v>
      </c>
      <c r="M33" s="611">
        <f t="shared" si="6"/>
        <v>79.114533205004818</v>
      </c>
      <c r="N33" s="611">
        <f t="shared" si="6"/>
        <v>83.223443223443226</v>
      </c>
      <c r="O33" s="611">
        <f t="shared" si="6"/>
        <v>91.428571428571431</v>
      </c>
      <c r="P33" s="611">
        <f t="shared" si="6"/>
        <v>75.675675675675677</v>
      </c>
      <c r="Q33" s="611">
        <f t="shared" si="6"/>
        <v>84.194053208137717</v>
      </c>
      <c r="R33" s="611">
        <f t="shared" si="6"/>
        <v>71.428571428571431</v>
      </c>
      <c r="S33" s="611">
        <f t="shared" si="6"/>
        <v>87.295081967213122</v>
      </c>
    </row>
    <row r="34" spans="2:19" ht="25.5">
      <c r="B34" s="623" t="s">
        <v>340</v>
      </c>
      <c r="C34" s="621" t="s">
        <v>273</v>
      </c>
      <c r="D34" s="622">
        <f>SUM(E34:S34)</f>
        <v>3513</v>
      </c>
      <c r="E34" s="622">
        <v>307</v>
      </c>
      <c r="F34" s="622">
        <v>97</v>
      </c>
      <c r="G34" s="622">
        <v>92</v>
      </c>
      <c r="H34" s="622">
        <v>258</v>
      </c>
      <c r="I34" s="622">
        <v>177</v>
      </c>
      <c r="J34" s="622">
        <v>297</v>
      </c>
      <c r="K34" s="622">
        <v>820</v>
      </c>
      <c r="L34" s="622">
        <v>209</v>
      </c>
      <c r="M34" s="622">
        <v>355</v>
      </c>
      <c r="N34" s="622">
        <v>530</v>
      </c>
      <c r="O34" s="622">
        <v>10</v>
      </c>
      <c r="P34" s="622">
        <v>16</v>
      </c>
      <c r="Q34" s="622">
        <v>252</v>
      </c>
      <c r="R34" s="622">
        <v>13</v>
      </c>
      <c r="S34" s="622">
        <v>80</v>
      </c>
    </row>
    <row r="35" spans="2:19">
      <c r="B35" s="614"/>
      <c r="C35" s="610" t="s">
        <v>138</v>
      </c>
      <c r="D35" s="611">
        <f t="shared" ref="D35:S35" si="7">D34/D$8*100</f>
        <v>37.648697888757901</v>
      </c>
      <c r="E35" s="611">
        <f t="shared" si="7"/>
        <v>36.202830188679243</v>
      </c>
      <c r="F35" s="611">
        <f t="shared" si="7"/>
        <v>41.810344827586206</v>
      </c>
      <c r="G35" s="611">
        <f t="shared" si="7"/>
        <v>39.484978540772531</v>
      </c>
      <c r="H35" s="611">
        <f t="shared" si="7"/>
        <v>35.488308115543326</v>
      </c>
      <c r="I35" s="611">
        <f t="shared" si="7"/>
        <v>34.980237154150196</v>
      </c>
      <c r="J35" s="611">
        <f t="shared" si="7"/>
        <v>38.874345549738223</v>
      </c>
      <c r="K35" s="611">
        <f t="shared" si="7"/>
        <v>39.309683604985615</v>
      </c>
      <c r="L35" s="611">
        <f t="shared" si="7"/>
        <v>38.138686131386862</v>
      </c>
      <c r="M35" s="611">
        <f t="shared" si="7"/>
        <v>34.167468719923008</v>
      </c>
      <c r="N35" s="611">
        <f t="shared" si="7"/>
        <v>38.827838827838832</v>
      </c>
      <c r="O35" s="611">
        <f t="shared" si="7"/>
        <v>28.571428571428569</v>
      </c>
      <c r="P35" s="611">
        <f t="shared" si="7"/>
        <v>43.243243243243242</v>
      </c>
      <c r="Q35" s="611">
        <f t="shared" si="7"/>
        <v>39.436619718309856</v>
      </c>
      <c r="R35" s="611">
        <f t="shared" si="7"/>
        <v>46.428571428571431</v>
      </c>
      <c r="S35" s="611">
        <f t="shared" si="7"/>
        <v>32.786885245901637</v>
      </c>
    </row>
    <row r="36" spans="2:19" ht="25.5" customHeight="1">
      <c r="B36" s="623" t="s">
        <v>339</v>
      </c>
      <c r="C36" s="621" t="s">
        <v>273</v>
      </c>
      <c r="D36" s="622">
        <f>SUM(E36:S36)</f>
        <v>7132</v>
      </c>
      <c r="E36" s="622">
        <v>677</v>
      </c>
      <c r="F36" s="622">
        <v>155</v>
      </c>
      <c r="G36" s="622">
        <v>149</v>
      </c>
      <c r="H36" s="622">
        <v>611</v>
      </c>
      <c r="I36" s="622">
        <v>393</v>
      </c>
      <c r="J36" s="622">
        <v>531</v>
      </c>
      <c r="K36" s="622">
        <v>1632</v>
      </c>
      <c r="L36" s="622">
        <v>406</v>
      </c>
      <c r="M36" s="622">
        <v>768</v>
      </c>
      <c r="N36" s="622">
        <v>1047</v>
      </c>
      <c r="O36" s="622">
        <v>24</v>
      </c>
      <c r="P36" s="622">
        <v>31</v>
      </c>
      <c r="Q36" s="622">
        <v>504</v>
      </c>
      <c r="R36" s="622">
        <v>18</v>
      </c>
      <c r="S36" s="622">
        <v>186</v>
      </c>
    </row>
    <row r="37" spans="2:19">
      <c r="B37" s="614"/>
      <c r="C37" s="610" t="s">
        <v>138</v>
      </c>
      <c r="D37" s="611">
        <f t="shared" ref="D37:S37" si="8">D36/D$8*100</f>
        <v>76.433394062801412</v>
      </c>
      <c r="E37" s="611">
        <f t="shared" si="8"/>
        <v>79.834905660377359</v>
      </c>
      <c r="F37" s="611">
        <f t="shared" si="8"/>
        <v>66.810344827586206</v>
      </c>
      <c r="G37" s="611">
        <f t="shared" si="8"/>
        <v>63.94849785407726</v>
      </c>
      <c r="H37" s="611">
        <f t="shared" si="8"/>
        <v>84.04401650618982</v>
      </c>
      <c r="I37" s="611">
        <f t="shared" si="8"/>
        <v>77.667984189723313</v>
      </c>
      <c r="J37" s="611">
        <f t="shared" si="8"/>
        <v>69.502617801047123</v>
      </c>
      <c r="K37" s="611">
        <f t="shared" si="8"/>
        <v>78.235858101629915</v>
      </c>
      <c r="L37" s="611">
        <f t="shared" si="8"/>
        <v>74.087591240875923</v>
      </c>
      <c r="M37" s="611">
        <f t="shared" si="8"/>
        <v>73.917228103946101</v>
      </c>
      <c r="N37" s="611">
        <f t="shared" si="8"/>
        <v>76.703296703296715</v>
      </c>
      <c r="O37" s="611">
        <f t="shared" si="8"/>
        <v>68.571428571428569</v>
      </c>
      <c r="P37" s="611">
        <f t="shared" si="8"/>
        <v>83.78378378378379</v>
      </c>
      <c r="Q37" s="611">
        <f t="shared" si="8"/>
        <v>78.873239436619713</v>
      </c>
      <c r="R37" s="611">
        <f t="shared" si="8"/>
        <v>64.285714285714292</v>
      </c>
      <c r="S37" s="611">
        <f t="shared" si="8"/>
        <v>76.229508196721312</v>
      </c>
    </row>
    <row r="38" spans="2:19" ht="25.5">
      <c r="B38" s="623" t="s">
        <v>338</v>
      </c>
      <c r="C38" s="621" t="s">
        <v>273</v>
      </c>
      <c r="D38" s="622">
        <f>SUM(E38:S38)</f>
        <v>6075</v>
      </c>
      <c r="E38" s="622">
        <v>612</v>
      </c>
      <c r="F38" s="622">
        <v>116</v>
      </c>
      <c r="G38" s="622">
        <v>149</v>
      </c>
      <c r="H38" s="622">
        <v>461</v>
      </c>
      <c r="I38" s="622">
        <v>358</v>
      </c>
      <c r="J38" s="622">
        <v>496</v>
      </c>
      <c r="K38" s="622">
        <v>1380</v>
      </c>
      <c r="L38" s="622">
        <v>356</v>
      </c>
      <c r="M38" s="622">
        <v>669</v>
      </c>
      <c r="N38" s="622">
        <v>792</v>
      </c>
      <c r="O38" s="622">
        <v>25</v>
      </c>
      <c r="P38" s="622">
        <v>24</v>
      </c>
      <c r="Q38" s="622">
        <v>458</v>
      </c>
      <c r="R38" s="622">
        <v>11</v>
      </c>
      <c r="S38" s="622">
        <v>168</v>
      </c>
    </row>
    <row r="39" spans="2:19">
      <c r="B39" s="614"/>
      <c r="C39" s="610" t="s">
        <v>138</v>
      </c>
      <c r="D39" s="611">
        <f t="shared" ref="D39:S39" si="9">D38/D$8*100</f>
        <v>65.105562104811924</v>
      </c>
      <c r="E39" s="611">
        <f t="shared" si="9"/>
        <v>72.169811320754718</v>
      </c>
      <c r="F39" s="611">
        <f t="shared" si="9"/>
        <v>50</v>
      </c>
      <c r="G39" s="611">
        <f t="shared" si="9"/>
        <v>63.94849785407726</v>
      </c>
      <c r="H39" s="611">
        <f t="shared" si="9"/>
        <v>63.411279229711134</v>
      </c>
      <c r="I39" s="611">
        <f t="shared" si="9"/>
        <v>70.750988142292499</v>
      </c>
      <c r="J39" s="611">
        <f t="shared" si="9"/>
        <v>64.921465968586389</v>
      </c>
      <c r="K39" s="611">
        <f t="shared" si="9"/>
        <v>66.155321188878233</v>
      </c>
      <c r="L39" s="611">
        <f t="shared" si="9"/>
        <v>64.96350364963503</v>
      </c>
      <c r="M39" s="611">
        <f t="shared" si="9"/>
        <v>64.388835418671803</v>
      </c>
      <c r="N39" s="611">
        <f t="shared" si="9"/>
        <v>58.021978021978029</v>
      </c>
      <c r="O39" s="611">
        <f t="shared" si="9"/>
        <v>71.428571428571431</v>
      </c>
      <c r="P39" s="611">
        <f t="shared" si="9"/>
        <v>64.86486486486487</v>
      </c>
      <c r="Q39" s="611">
        <f t="shared" si="9"/>
        <v>71.674491392801258</v>
      </c>
      <c r="R39" s="611">
        <f t="shared" si="9"/>
        <v>39.285714285714285</v>
      </c>
      <c r="S39" s="611">
        <f t="shared" si="9"/>
        <v>68.852459016393439</v>
      </c>
    </row>
    <row r="40" spans="2:19" ht="25.5">
      <c r="B40" s="623" t="s">
        <v>337</v>
      </c>
      <c r="C40" s="621" t="s">
        <v>273</v>
      </c>
      <c r="D40" s="622">
        <f>SUM(E40:S40)</f>
        <v>5897</v>
      </c>
      <c r="E40" s="622">
        <v>529</v>
      </c>
      <c r="F40" s="622">
        <v>155</v>
      </c>
      <c r="G40" s="622">
        <v>142</v>
      </c>
      <c r="H40" s="622">
        <v>489</v>
      </c>
      <c r="I40" s="622">
        <v>250</v>
      </c>
      <c r="J40" s="622">
        <v>446</v>
      </c>
      <c r="K40" s="622">
        <v>1493</v>
      </c>
      <c r="L40" s="622">
        <v>300</v>
      </c>
      <c r="M40" s="622">
        <v>682</v>
      </c>
      <c r="N40" s="622">
        <v>875</v>
      </c>
      <c r="O40" s="622">
        <v>15</v>
      </c>
      <c r="P40" s="622">
        <v>26</v>
      </c>
      <c r="Q40" s="622">
        <v>330</v>
      </c>
      <c r="R40" s="622">
        <v>14</v>
      </c>
      <c r="S40" s="622">
        <v>151</v>
      </c>
    </row>
    <row r="41" spans="2:19">
      <c r="B41" s="614"/>
      <c r="C41" s="610" t="s">
        <v>138</v>
      </c>
      <c r="D41" s="611">
        <f t="shared" ref="D41:S41" si="10">D40/D$8*100</f>
        <v>63.197942342728538</v>
      </c>
      <c r="E41" s="611">
        <f t="shared" si="10"/>
        <v>62.382075471698116</v>
      </c>
      <c r="F41" s="611">
        <f t="shared" si="10"/>
        <v>66.810344827586206</v>
      </c>
      <c r="G41" s="611">
        <f t="shared" si="10"/>
        <v>60.944206008583691</v>
      </c>
      <c r="H41" s="611">
        <f t="shared" si="10"/>
        <v>67.262723521320495</v>
      </c>
      <c r="I41" s="611">
        <f t="shared" si="10"/>
        <v>49.40711462450593</v>
      </c>
      <c r="J41" s="611">
        <f t="shared" si="10"/>
        <v>58.376963350785338</v>
      </c>
      <c r="K41" s="611">
        <f t="shared" si="10"/>
        <v>71.572387344199427</v>
      </c>
      <c r="L41" s="611">
        <f t="shared" si="10"/>
        <v>54.744525547445257</v>
      </c>
      <c r="M41" s="611">
        <f t="shared" si="10"/>
        <v>65.640038498556308</v>
      </c>
      <c r="N41" s="611">
        <f t="shared" si="10"/>
        <v>64.102564102564102</v>
      </c>
      <c r="O41" s="611">
        <f t="shared" si="10"/>
        <v>42.857142857142854</v>
      </c>
      <c r="P41" s="611">
        <f t="shared" si="10"/>
        <v>70.270270270270274</v>
      </c>
      <c r="Q41" s="611">
        <f t="shared" si="10"/>
        <v>51.643192488262912</v>
      </c>
      <c r="R41" s="611">
        <f t="shared" si="10"/>
        <v>50</v>
      </c>
      <c r="S41" s="611">
        <f t="shared" si="10"/>
        <v>61.885245901639344</v>
      </c>
    </row>
    <row r="42" spans="2:19" ht="25.5">
      <c r="B42" s="623" t="s">
        <v>336</v>
      </c>
      <c r="C42" s="621" t="s">
        <v>273</v>
      </c>
      <c r="D42" s="622">
        <f>SUM(E42:S42)</f>
        <v>4556</v>
      </c>
      <c r="E42" s="622">
        <v>406</v>
      </c>
      <c r="F42" s="622">
        <v>138</v>
      </c>
      <c r="G42" s="622">
        <v>67</v>
      </c>
      <c r="H42" s="622">
        <v>322</v>
      </c>
      <c r="I42" s="622">
        <v>193</v>
      </c>
      <c r="J42" s="622">
        <v>310</v>
      </c>
      <c r="K42" s="622">
        <v>1402</v>
      </c>
      <c r="L42" s="622">
        <v>224</v>
      </c>
      <c r="M42" s="622">
        <v>563</v>
      </c>
      <c r="N42" s="622">
        <v>533</v>
      </c>
      <c r="O42" s="622">
        <v>16</v>
      </c>
      <c r="P42" s="622">
        <v>15</v>
      </c>
      <c r="Q42" s="622">
        <v>241</v>
      </c>
      <c r="R42" s="622">
        <v>11</v>
      </c>
      <c r="S42" s="622">
        <v>115</v>
      </c>
    </row>
    <row r="43" spans="2:19">
      <c r="B43" s="504"/>
      <c r="C43" s="610" t="s">
        <v>138</v>
      </c>
      <c r="D43" s="611">
        <f t="shared" ref="D43:S43" si="11">D42/D$8*100</f>
        <v>48.826492337370055</v>
      </c>
      <c r="E43" s="611">
        <f t="shared" si="11"/>
        <v>47.877358490566039</v>
      </c>
      <c r="F43" s="611">
        <f t="shared" si="11"/>
        <v>59.482758620689658</v>
      </c>
      <c r="G43" s="611">
        <f t="shared" si="11"/>
        <v>28.75536480686695</v>
      </c>
      <c r="H43" s="611">
        <f t="shared" si="11"/>
        <v>44.291609353507567</v>
      </c>
      <c r="I43" s="611">
        <f t="shared" si="11"/>
        <v>38.142292490118578</v>
      </c>
      <c r="J43" s="611">
        <f t="shared" si="11"/>
        <v>40.575916230366495</v>
      </c>
      <c r="K43" s="611">
        <f t="shared" si="11"/>
        <v>67.209971236816884</v>
      </c>
      <c r="L43" s="611">
        <f t="shared" si="11"/>
        <v>40.875912408759127</v>
      </c>
      <c r="M43" s="611">
        <f t="shared" si="11"/>
        <v>54.186717998075075</v>
      </c>
      <c r="N43" s="611">
        <f t="shared" si="11"/>
        <v>39.047619047619051</v>
      </c>
      <c r="O43" s="611">
        <f t="shared" si="11"/>
        <v>45.714285714285715</v>
      </c>
      <c r="P43" s="611">
        <f t="shared" si="11"/>
        <v>40.54054054054054</v>
      </c>
      <c r="Q43" s="611">
        <f t="shared" si="11"/>
        <v>37.715179968701094</v>
      </c>
      <c r="R43" s="611">
        <f t="shared" si="11"/>
        <v>39.285714285714285</v>
      </c>
      <c r="S43" s="611">
        <f t="shared" si="11"/>
        <v>47.131147540983612</v>
      </c>
    </row>
    <row r="44" spans="2:19">
      <c r="B44" s="504"/>
      <c r="C44" s="504"/>
      <c r="D44" s="608"/>
      <c r="E44" s="608"/>
      <c r="F44" s="608"/>
      <c r="G44" s="608"/>
      <c r="H44" s="608"/>
      <c r="I44" s="608"/>
      <c r="J44" s="608"/>
      <c r="K44" s="608"/>
      <c r="L44" s="608"/>
      <c r="M44" s="608"/>
      <c r="N44" s="608"/>
      <c r="O44" s="608"/>
      <c r="P44" s="608"/>
      <c r="Q44" s="608"/>
      <c r="R44" s="608"/>
      <c r="S44" s="608"/>
    </row>
    <row r="45" spans="2:19" ht="25.5">
      <c r="B45" s="607" t="s">
        <v>461</v>
      </c>
      <c r="C45" s="504"/>
      <c r="D45" s="608"/>
      <c r="E45" s="608"/>
      <c r="F45" s="608"/>
      <c r="G45" s="608"/>
      <c r="H45" s="608"/>
      <c r="I45" s="608"/>
      <c r="J45" s="608"/>
      <c r="K45" s="608"/>
      <c r="L45" s="608"/>
      <c r="M45" s="608"/>
      <c r="N45" s="608"/>
      <c r="O45" s="608"/>
      <c r="P45" s="608"/>
      <c r="Q45" s="608"/>
      <c r="R45" s="608"/>
      <c r="S45" s="608"/>
    </row>
    <row r="46" spans="2:19">
      <c r="B46" s="623" t="s">
        <v>465</v>
      </c>
      <c r="C46" s="625" t="s">
        <v>273</v>
      </c>
      <c r="D46" s="622">
        <f>SUM(E46:S46)</f>
        <v>2242</v>
      </c>
      <c r="E46" s="622">
        <v>299</v>
      </c>
      <c r="F46" s="622">
        <v>15</v>
      </c>
      <c r="G46" s="622">
        <v>20</v>
      </c>
      <c r="H46" s="622">
        <v>170</v>
      </c>
      <c r="I46" s="622">
        <v>97</v>
      </c>
      <c r="J46" s="622">
        <v>44</v>
      </c>
      <c r="K46" s="622">
        <v>916</v>
      </c>
      <c r="L46" s="622">
        <v>36</v>
      </c>
      <c r="M46" s="622">
        <v>315</v>
      </c>
      <c r="N46" s="622">
        <v>220</v>
      </c>
      <c r="O46" s="622">
        <v>0</v>
      </c>
      <c r="P46" s="622">
        <v>0</v>
      </c>
      <c r="Q46" s="622">
        <v>110</v>
      </c>
      <c r="R46" s="622">
        <v>0</v>
      </c>
      <c r="S46" s="626">
        <v>0</v>
      </c>
    </row>
    <row r="47" spans="2:19">
      <c r="B47" s="614"/>
      <c r="C47" s="610" t="s">
        <v>138</v>
      </c>
      <c r="D47" s="611">
        <f t="shared" ref="D47:S47" si="12">D46/D$8*100</f>
        <v>24.027435430286143</v>
      </c>
      <c r="E47" s="611">
        <f t="shared" si="12"/>
        <v>35.259433962264154</v>
      </c>
      <c r="F47" s="611">
        <f t="shared" si="12"/>
        <v>6.4655172413793105</v>
      </c>
      <c r="G47" s="611">
        <f t="shared" si="12"/>
        <v>8.5836909871244629</v>
      </c>
      <c r="H47" s="611">
        <f t="shared" si="12"/>
        <v>23.383768913342504</v>
      </c>
      <c r="I47" s="611">
        <f t="shared" si="12"/>
        <v>19.169960474308301</v>
      </c>
      <c r="J47" s="611">
        <f t="shared" si="12"/>
        <v>5.7591623036649215</v>
      </c>
      <c r="K47" s="611">
        <f t="shared" si="12"/>
        <v>43.911792905081498</v>
      </c>
      <c r="L47" s="611">
        <f t="shared" si="12"/>
        <v>6.5693430656934311</v>
      </c>
      <c r="M47" s="611">
        <f t="shared" si="12"/>
        <v>30.317613089509145</v>
      </c>
      <c r="N47" s="611">
        <f t="shared" si="12"/>
        <v>16.117216117216117</v>
      </c>
      <c r="O47" s="611">
        <f t="shared" si="12"/>
        <v>0</v>
      </c>
      <c r="P47" s="611">
        <f t="shared" si="12"/>
        <v>0</v>
      </c>
      <c r="Q47" s="611">
        <f t="shared" si="12"/>
        <v>17.214397496087635</v>
      </c>
      <c r="R47" s="611">
        <f t="shared" si="12"/>
        <v>0</v>
      </c>
      <c r="S47" s="615">
        <f t="shared" si="12"/>
        <v>0</v>
      </c>
    </row>
    <row r="48" spans="2:19">
      <c r="B48" s="623" t="s">
        <v>464</v>
      </c>
      <c r="C48" s="621" t="s">
        <v>273</v>
      </c>
      <c r="D48" s="622">
        <f>SUM(E48:S48)</f>
        <v>2079</v>
      </c>
      <c r="E48" s="622">
        <v>221</v>
      </c>
      <c r="F48" s="622">
        <v>43</v>
      </c>
      <c r="G48" s="622">
        <v>69</v>
      </c>
      <c r="H48" s="622">
        <v>192</v>
      </c>
      <c r="I48" s="622">
        <v>140</v>
      </c>
      <c r="J48" s="622">
        <v>142</v>
      </c>
      <c r="K48" s="622">
        <v>346</v>
      </c>
      <c r="L48" s="622">
        <v>138</v>
      </c>
      <c r="M48" s="622">
        <v>322</v>
      </c>
      <c r="N48" s="622">
        <v>331</v>
      </c>
      <c r="O48" s="622">
        <v>6</v>
      </c>
      <c r="P48" s="622">
        <v>1</v>
      </c>
      <c r="Q48" s="622">
        <v>122</v>
      </c>
      <c r="R48" s="622">
        <v>6</v>
      </c>
      <c r="S48" s="626">
        <v>0</v>
      </c>
    </row>
    <row r="49" spans="2:19">
      <c r="B49" s="614"/>
      <c r="C49" s="610" t="s">
        <v>138</v>
      </c>
      <c r="D49" s="611">
        <f t="shared" ref="D49:S49" si="13">D48/D$8*100</f>
        <v>22.280570142535634</v>
      </c>
      <c r="E49" s="611">
        <f t="shared" si="13"/>
        <v>26.061320754716981</v>
      </c>
      <c r="F49" s="611">
        <f t="shared" si="13"/>
        <v>18.53448275862069</v>
      </c>
      <c r="G49" s="611">
        <f t="shared" si="13"/>
        <v>29.613733905579398</v>
      </c>
      <c r="H49" s="611">
        <f t="shared" si="13"/>
        <v>26.409903713892707</v>
      </c>
      <c r="I49" s="611">
        <f t="shared" si="13"/>
        <v>27.66798418972332</v>
      </c>
      <c r="J49" s="611">
        <f t="shared" si="13"/>
        <v>18.586387434554975</v>
      </c>
      <c r="K49" s="611">
        <f t="shared" si="13"/>
        <v>16.586768935762226</v>
      </c>
      <c r="L49" s="611">
        <f t="shared" si="13"/>
        <v>25.18248175182482</v>
      </c>
      <c r="M49" s="611">
        <f t="shared" si="13"/>
        <v>30.991337824831568</v>
      </c>
      <c r="N49" s="611">
        <f t="shared" si="13"/>
        <v>24.249084249084248</v>
      </c>
      <c r="O49" s="611">
        <f t="shared" si="13"/>
        <v>17.142857142857142</v>
      </c>
      <c r="P49" s="611">
        <f t="shared" si="13"/>
        <v>2.7027027027027026</v>
      </c>
      <c r="Q49" s="611">
        <f t="shared" si="13"/>
        <v>19.092331768388107</v>
      </c>
      <c r="R49" s="611">
        <f t="shared" si="13"/>
        <v>21.428571428571427</v>
      </c>
      <c r="S49" s="615">
        <f t="shared" si="13"/>
        <v>0</v>
      </c>
    </row>
    <row r="50" spans="2:19">
      <c r="B50" s="623" t="s">
        <v>462</v>
      </c>
      <c r="C50" s="621" t="s">
        <v>273</v>
      </c>
      <c r="D50" s="622">
        <f>SUM(E50:S50)</f>
        <v>1766</v>
      </c>
      <c r="E50" s="622">
        <v>134</v>
      </c>
      <c r="F50" s="622">
        <v>78</v>
      </c>
      <c r="G50" s="622">
        <v>78</v>
      </c>
      <c r="H50" s="622">
        <v>161</v>
      </c>
      <c r="I50" s="622">
        <v>88</v>
      </c>
      <c r="J50" s="622">
        <v>157</v>
      </c>
      <c r="K50" s="622">
        <v>266</v>
      </c>
      <c r="L50" s="622">
        <v>191</v>
      </c>
      <c r="M50" s="622">
        <v>191</v>
      </c>
      <c r="N50" s="622">
        <v>229</v>
      </c>
      <c r="O50" s="622">
        <v>12</v>
      </c>
      <c r="P50" s="622">
        <v>14</v>
      </c>
      <c r="Q50" s="622">
        <v>146</v>
      </c>
      <c r="R50" s="622">
        <v>21</v>
      </c>
      <c r="S50" s="626">
        <v>0</v>
      </c>
    </row>
    <row r="51" spans="2:19">
      <c r="B51" s="614"/>
      <c r="C51" s="610" t="s">
        <v>138</v>
      </c>
      <c r="D51" s="611">
        <f t="shared" ref="D51:S51" si="14">D50/D$8*100</f>
        <v>18.926160111456436</v>
      </c>
      <c r="E51" s="611">
        <f t="shared" si="14"/>
        <v>15.80188679245283</v>
      </c>
      <c r="F51" s="611">
        <f t="shared" si="14"/>
        <v>33.620689655172413</v>
      </c>
      <c r="G51" s="611">
        <f t="shared" si="14"/>
        <v>33.476394849785407</v>
      </c>
      <c r="H51" s="611">
        <f t="shared" si="14"/>
        <v>22.145804676753784</v>
      </c>
      <c r="I51" s="611">
        <f t="shared" si="14"/>
        <v>17.391304347826086</v>
      </c>
      <c r="J51" s="611">
        <f t="shared" si="14"/>
        <v>20.549738219895289</v>
      </c>
      <c r="K51" s="611">
        <f t="shared" si="14"/>
        <v>12.751677852348994</v>
      </c>
      <c r="L51" s="611">
        <f t="shared" si="14"/>
        <v>34.854014598540147</v>
      </c>
      <c r="M51" s="611">
        <f t="shared" si="14"/>
        <v>18.38306063522618</v>
      </c>
      <c r="N51" s="611">
        <f t="shared" si="14"/>
        <v>16.776556776556774</v>
      </c>
      <c r="O51" s="611">
        <f t="shared" si="14"/>
        <v>34.285714285714285</v>
      </c>
      <c r="P51" s="611">
        <f t="shared" si="14"/>
        <v>37.837837837837839</v>
      </c>
      <c r="Q51" s="611">
        <f t="shared" si="14"/>
        <v>22.848200312989047</v>
      </c>
      <c r="R51" s="611">
        <f t="shared" si="14"/>
        <v>75</v>
      </c>
      <c r="S51" s="615">
        <f t="shared" si="14"/>
        <v>0</v>
      </c>
    </row>
    <row r="52" spans="2:19">
      <c r="B52" s="623" t="s">
        <v>463</v>
      </c>
      <c r="C52" s="621" t="s">
        <v>273</v>
      </c>
      <c r="D52" s="622">
        <f>SUM(E52:S52)</f>
        <v>1536</v>
      </c>
      <c r="E52" s="622">
        <v>85</v>
      </c>
      <c r="F52" s="622">
        <v>80</v>
      </c>
      <c r="G52" s="622">
        <v>47</v>
      </c>
      <c r="H52" s="622">
        <v>116</v>
      </c>
      <c r="I52" s="622">
        <v>101</v>
      </c>
      <c r="J52" s="622">
        <v>207</v>
      </c>
      <c r="K52" s="622">
        <v>230</v>
      </c>
      <c r="L52" s="622">
        <v>135</v>
      </c>
      <c r="M52" s="622">
        <v>128</v>
      </c>
      <c r="N52" s="622">
        <v>203</v>
      </c>
      <c r="O52" s="622">
        <v>15</v>
      </c>
      <c r="P52" s="622">
        <v>22</v>
      </c>
      <c r="Q52" s="622">
        <v>166</v>
      </c>
      <c r="R52" s="622">
        <v>1</v>
      </c>
      <c r="S52" s="626">
        <v>0</v>
      </c>
    </row>
    <row r="53" spans="2:19">
      <c r="B53" s="614"/>
      <c r="C53" s="610" t="s">
        <v>138</v>
      </c>
      <c r="D53" s="611">
        <f t="shared" ref="D53:S53" si="15">D52/D$8*100</f>
        <v>16.461258171685778</v>
      </c>
      <c r="E53" s="611">
        <f t="shared" si="15"/>
        <v>10.023584905660378</v>
      </c>
      <c r="F53" s="611">
        <f t="shared" si="15"/>
        <v>34.482758620689658</v>
      </c>
      <c r="G53" s="611">
        <f t="shared" si="15"/>
        <v>20.171673819742487</v>
      </c>
      <c r="H53" s="611">
        <f t="shared" si="15"/>
        <v>15.955983493810177</v>
      </c>
      <c r="I53" s="611">
        <f t="shared" si="15"/>
        <v>19.960474308300398</v>
      </c>
      <c r="J53" s="611">
        <f t="shared" si="15"/>
        <v>27.094240837696336</v>
      </c>
      <c r="K53" s="611">
        <f t="shared" si="15"/>
        <v>11.025886864813039</v>
      </c>
      <c r="L53" s="611">
        <f t="shared" si="15"/>
        <v>24.635036496350367</v>
      </c>
      <c r="M53" s="611">
        <f t="shared" si="15"/>
        <v>12.319538017324351</v>
      </c>
      <c r="N53" s="611">
        <f t="shared" si="15"/>
        <v>14.871794871794872</v>
      </c>
      <c r="O53" s="611">
        <f t="shared" si="15"/>
        <v>42.857142857142854</v>
      </c>
      <c r="P53" s="611">
        <f t="shared" si="15"/>
        <v>59.45945945945946</v>
      </c>
      <c r="Q53" s="611">
        <f t="shared" si="15"/>
        <v>25.978090766823158</v>
      </c>
      <c r="R53" s="611">
        <f t="shared" si="15"/>
        <v>3.5714285714285712</v>
      </c>
      <c r="S53" s="615">
        <f t="shared" si="15"/>
        <v>0</v>
      </c>
    </row>
    <row r="54" spans="2:19">
      <c r="B54" s="623" t="s">
        <v>466</v>
      </c>
      <c r="C54" s="621" t="s">
        <v>273</v>
      </c>
      <c r="D54" s="622">
        <f>SUM(E54:S54)</f>
        <v>1464</v>
      </c>
      <c r="E54" s="622">
        <v>109</v>
      </c>
      <c r="F54" s="622">
        <v>16</v>
      </c>
      <c r="G54" s="622">
        <v>19</v>
      </c>
      <c r="H54" s="622">
        <v>88</v>
      </c>
      <c r="I54" s="622">
        <v>80</v>
      </c>
      <c r="J54" s="622">
        <v>214</v>
      </c>
      <c r="K54" s="622">
        <v>328</v>
      </c>
      <c r="L54" s="622">
        <v>48</v>
      </c>
      <c r="M54" s="622">
        <v>83</v>
      </c>
      <c r="N54" s="622">
        <v>382</v>
      </c>
      <c r="O54" s="622">
        <v>2</v>
      </c>
      <c r="P54" s="622">
        <v>0</v>
      </c>
      <c r="Q54" s="622">
        <v>95</v>
      </c>
      <c r="R54" s="622">
        <v>0</v>
      </c>
      <c r="S54" s="626">
        <v>0</v>
      </c>
    </row>
    <row r="55" spans="2:19">
      <c r="B55" s="616"/>
      <c r="C55" s="617" t="s">
        <v>138</v>
      </c>
      <c r="D55" s="618">
        <f t="shared" ref="D55:S55" si="16">D54/D$8*100</f>
        <v>15.689636694888007</v>
      </c>
      <c r="E55" s="618">
        <f t="shared" si="16"/>
        <v>12.853773584905662</v>
      </c>
      <c r="F55" s="618">
        <f t="shared" si="16"/>
        <v>6.8965517241379306</v>
      </c>
      <c r="G55" s="618">
        <f t="shared" si="16"/>
        <v>8.1545064377682408</v>
      </c>
      <c r="H55" s="618">
        <f t="shared" si="16"/>
        <v>12.104539202200826</v>
      </c>
      <c r="I55" s="618">
        <f t="shared" si="16"/>
        <v>15.810276679841898</v>
      </c>
      <c r="J55" s="618">
        <f t="shared" si="16"/>
        <v>28.01047120418848</v>
      </c>
      <c r="K55" s="618">
        <f t="shared" si="16"/>
        <v>15.723873441994247</v>
      </c>
      <c r="L55" s="618">
        <f t="shared" si="16"/>
        <v>8.7591240875912408</v>
      </c>
      <c r="M55" s="618">
        <f t="shared" si="16"/>
        <v>7.988450433108758</v>
      </c>
      <c r="N55" s="618">
        <f t="shared" si="16"/>
        <v>27.985347985347985</v>
      </c>
      <c r="O55" s="618">
        <f t="shared" si="16"/>
        <v>5.7142857142857144</v>
      </c>
      <c r="P55" s="618">
        <f t="shared" si="16"/>
        <v>0</v>
      </c>
      <c r="Q55" s="618">
        <f t="shared" si="16"/>
        <v>14.866979655712051</v>
      </c>
      <c r="R55" s="618">
        <f t="shared" si="16"/>
        <v>0</v>
      </c>
      <c r="S55" s="619">
        <f t="shared" si="16"/>
        <v>0</v>
      </c>
    </row>
  </sheetData>
  <sheetProtection password="B8D9" sheet="1" objects="1" scenarios="1"/>
  <mergeCells count="2">
    <mergeCell ref="B1:J2"/>
    <mergeCell ref="D5:S5"/>
  </mergeCells>
  <hyperlinks>
    <hyperlink ref="B3" location="'List of Tables &amp; Charts'!A1" display="return to List of Tables &amp; Charts"/>
  </hyperlinks>
  <pageMargins left="0.70866141732283472" right="0.70866141732283472" top="0.74803149606299213" bottom="0.74803149606299213" header="0.31496062992125984" footer="0.31496062992125984"/>
  <pageSetup paperSize="9" scale="57"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30.xml><?xml version="1.0" encoding="utf-8"?>
<worksheet xmlns="http://schemas.openxmlformats.org/spreadsheetml/2006/main" xmlns:r="http://schemas.openxmlformats.org/officeDocument/2006/relationships">
  <sheetPr codeName="Sheet14">
    <pageSetUpPr fitToPage="1"/>
  </sheetPr>
  <dimension ref="A1:X129"/>
  <sheetViews>
    <sheetView workbookViewId="0">
      <selection sqref="A1:A2"/>
    </sheetView>
  </sheetViews>
  <sheetFormatPr defaultRowHeight="11.25"/>
  <cols>
    <col min="1" max="1" width="15.7109375" style="207" customWidth="1"/>
    <col min="2" max="8" width="9.140625" style="207"/>
    <col min="9" max="14" width="9.7109375" style="207" customWidth="1"/>
    <col min="15" max="15" width="10.42578125" style="207" bestFit="1" customWidth="1"/>
    <col min="16" max="16" width="45.7109375" style="207" customWidth="1"/>
    <col min="17" max="20" width="11.7109375" style="310" customWidth="1"/>
    <col min="21" max="16384" width="9.140625" style="207"/>
  </cols>
  <sheetData>
    <row r="1" spans="1:21" ht="15" customHeight="1">
      <c r="A1" s="988" t="s">
        <v>25</v>
      </c>
      <c r="B1" s="1001" t="s">
        <v>42</v>
      </c>
      <c r="C1" s="991"/>
      <c r="D1" s="991"/>
      <c r="E1" s="991"/>
      <c r="F1" s="991"/>
      <c r="G1" s="991"/>
      <c r="H1" s="991"/>
      <c r="I1" s="290"/>
      <c r="J1" s="316"/>
      <c r="K1" s="316"/>
      <c r="L1" s="291"/>
      <c r="M1" s="291"/>
      <c r="N1" s="291"/>
      <c r="O1" s="992" t="s">
        <v>20</v>
      </c>
      <c r="P1" s="993"/>
      <c r="Q1" s="992">
        <v>2015</v>
      </c>
      <c r="R1" s="992"/>
      <c r="S1" s="992">
        <v>2016</v>
      </c>
      <c r="T1" s="992"/>
    </row>
    <row r="2" spans="1:21" ht="23.25" customHeight="1">
      <c r="A2" s="989"/>
      <c r="B2" s="292" t="s">
        <v>438</v>
      </c>
      <c r="C2" s="292" t="s">
        <v>586</v>
      </c>
      <c r="D2" s="293" t="s">
        <v>21</v>
      </c>
      <c r="E2" s="994" t="s">
        <v>449</v>
      </c>
      <c r="F2" s="994"/>
      <c r="G2" s="994" t="s">
        <v>587</v>
      </c>
      <c r="H2" s="995"/>
      <c r="I2" s="294" t="s">
        <v>446</v>
      </c>
      <c r="J2" s="295" t="s">
        <v>589</v>
      </c>
      <c r="K2" s="295" t="s">
        <v>22</v>
      </c>
      <c r="L2" s="297" t="s">
        <v>16</v>
      </c>
      <c r="M2" s="297" t="s">
        <v>15</v>
      </c>
      <c r="N2" s="298" t="s">
        <v>23</v>
      </c>
      <c r="O2" s="299" t="s">
        <v>24</v>
      </c>
      <c r="P2" s="300" t="s">
        <v>25</v>
      </c>
      <c r="Q2" s="300" t="s">
        <v>26</v>
      </c>
      <c r="R2" s="300" t="s">
        <v>27</v>
      </c>
      <c r="S2" s="300" t="s">
        <v>26</v>
      </c>
      <c r="T2" s="300" t="s">
        <v>27</v>
      </c>
      <c r="U2" s="856" t="s">
        <v>792</v>
      </c>
    </row>
    <row r="3" spans="1:21" ht="12">
      <c r="A3" s="301" t="str">
        <f t="shared" ref="A3:A31" si="0">O3</f>
        <v>Scotland</v>
      </c>
      <c r="B3" s="302">
        <f t="shared" ref="B3" si="1">Q3/R3*100</f>
        <v>90</v>
      </c>
      <c r="C3" s="302">
        <f t="shared" ref="C3" si="2">S3/T3*100</f>
        <v>90.436854646544873</v>
      </c>
      <c r="D3" s="302">
        <f>95</f>
        <v>95</v>
      </c>
      <c r="E3" s="16">
        <f t="shared" ref="E3" si="3">SUM(1*MID(I3,1,FIND(" - ",I3)-1))</f>
        <v>89</v>
      </c>
      <c r="F3" s="303">
        <f t="shared" ref="F3" si="4">SUM(1*MID(I3,FIND(" - ",I3)+2,LEN(I3)))</f>
        <v>91</v>
      </c>
      <c r="G3" s="303">
        <f t="shared" ref="G3" si="5">SUM(1*MID(J3,1,FIND(" - ",J3)-1))</f>
        <v>90</v>
      </c>
      <c r="H3" s="303">
        <f t="shared" ref="H3" si="6">SUM(1*MID(J3,FIND(" - ",J3)+2,LEN(J3)))</f>
        <v>91</v>
      </c>
      <c r="I3" s="304"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89 - 91</v>
      </c>
      <c r="J3" s="305"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90 - 91</v>
      </c>
      <c r="K3" s="306">
        <f t="shared" ref="K3" si="9">C3-B3</f>
        <v>0.43685464654487305</v>
      </c>
      <c r="L3" s="314">
        <f t="shared" ref="L3" si="10">((S3/T3)-(Q3/R3))-(NORMSINV(1-(0.05/COUNTA($O$3:$O$31)))*(SQRT((((Q3/R3)*(1-(Q3/R3)))/R3)+(((S3/T3)*(1-(S3/T3)))/T3))))</f>
        <v>-1.1296580787673337E-2</v>
      </c>
      <c r="M3" s="314">
        <f t="shared" ref="M3" si="11">((S3/T3)-(Q3/R3))+(NORMSINV(1-(0.05/COUNTA($O$3:$O$31)))*(SQRT((((Q3/R3)*(1-(Q3/R3)))/R3)+(((S3/T3)*(1-(S3/T3)))/T3))))</f>
        <v>2.0033673718570753E-2</v>
      </c>
      <c r="N3" s="308">
        <f t="shared" ref="N3" si="12">IF(ISERR(IF(AND(((S3/T3)-(Q3/R3))-(NORMSINV(1-(0.05/COUNTA($P$3:$P$31)))*(SQRT((((Q3/R3)*(1-(Q3/R3)))/R3)+(((S3/T3)*(1-(S3/T3)))/T3))))&gt;0,((S3/T3)-(Q3/R3))+(NORMSINV(1-(0.05/COUNTA($P$3:$P$31)))*(SQRT((((Q3/R3)*(1-(Q3/R3)))/R3)+(((S3/T3)*(1-(S3/T3)))/T3))))&gt;0),1,IF(AND(((S3/T3)-(Q3/R3))-(NORMSINV(1-(0.05/COUNTA($P$3:$P$31)))*(SQRT((((Q3/R3)*(1-(Q3/R3)))/R3)+(((S3/T3)*(1-(S3/T3)))/T3))))&lt;0,((S3/T3)-(Q3/R3))+(NORMSINV(1-(0.05/COUNTA($P$3:$P$31)))*(SQRT((((Q3/R3)*(1-(Q3/R3)))/R3)+(((S3/T3)*(1-(S3/T3)))/T3))))&lt;0),-1,0))),"",IF(AND(((S3/T3)-(Q3/R3))-(NORMSINV(1-(0.05/COUNTA($P$3:$P$31)))*(SQRT((((Q3/R3)*(1-(Q3/R3)))/R3)+(((S3/T3)*(1-(S3/T3)))/T3))))&gt;0,((S3/T3)-(Q3/R3))+(NORMSINV(1-(0.05/COUNTA($P$3:$P$31)))*(SQRT((((Q3/R3)*(1-(Q3/R3)))/R3)+(((S3/T3)*(1-(S3/T3)))/T3))))&gt;0),1,IF(AND(((S3/T3)-(Q3/R3))-(NORMSINV(1-(0.05/COUNTA($P$3:$P$31)))*(SQRT((((Q3/R3)*(1-(Q3/R3)))/R3)+(((S3/T3)*(1-(S3/T3)))/T3))))&lt;0,((S3/T3)-(Q3/R3))+(NORMSINV(1-(0.05/COUNTA($P$3:$P$31)))*(SQRT((((Q3/R3)*(1-(Q3/R3)))/R3)+(((S3/T3)*(1-(S3/T3)))/T3))))&lt;0),-1,0)))</f>
        <v>0</v>
      </c>
      <c r="O3" s="301" t="str">
        <f t="shared" ref="O3" si="13">VLOOKUP(P3,Hospitals,3,FALSE)</f>
        <v>Scotland</v>
      </c>
      <c r="P3" s="301" t="s">
        <v>280</v>
      </c>
      <c r="Q3" s="403">
        <f>SUM(Q4:Q32)</f>
        <v>5418</v>
      </c>
      <c r="R3" s="403">
        <f t="shared" ref="R3:T3" si="14">SUM(R4:R32)</f>
        <v>6020</v>
      </c>
      <c r="S3" s="403">
        <f t="shared" si="14"/>
        <v>5693</v>
      </c>
      <c r="T3" s="403">
        <f t="shared" si="14"/>
        <v>6295</v>
      </c>
      <c r="U3" s="856">
        <v>0</v>
      </c>
    </row>
    <row r="4" spans="1:21" ht="12">
      <c r="A4" s="301" t="str">
        <f t="shared" si="0"/>
        <v>Borders</v>
      </c>
      <c r="B4" s="302">
        <f t="shared" ref="B4:B31" si="15">Q4/R4*100</f>
        <v>97.945205479452056</v>
      </c>
      <c r="C4" s="302">
        <f t="shared" ref="C4:C31" si="16">S4/T4*100</f>
        <v>100</v>
      </c>
      <c r="D4" s="302">
        <f>95</f>
        <v>95</v>
      </c>
      <c r="E4" s="303">
        <f t="shared" ref="E4:E31" si="17">SUM(1*MID(I4,1,FIND(" - ",I4)-1))</f>
        <v>94</v>
      </c>
      <c r="F4" s="303">
        <f t="shared" ref="F4:F31" si="18">SUM(1*MID(I4,FIND(" - ",I4)+2,LEN(I4)))</f>
        <v>99</v>
      </c>
      <c r="G4" s="303">
        <f t="shared" ref="G4:G31" si="19">SUM(1*MID(J4,1,FIND(" - ",J4)-1))</f>
        <v>98</v>
      </c>
      <c r="H4" s="303">
        <f t="shared" ref="H4:H31" si="20">SUM(1*MID(J4,FIND(" - ",J4)+2,LEN(J4)))</f>
        <v>100</v>
      </c>
      <c r="I4" s="309" t="str">
        <f t="shared" ref="I4:I31" si="21">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94 - 99</v>
      </c>
      <c r="J4" s="305" t="str">
        <f t="shared" ref="J4:J31" si="22">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98 - 100</v>
      </c>
      <c r="K4" s="306">
        <f t="shared" ref="K4:K31" si="23">C4-B4</f>
        <v>2.0547945205479436</v>
      </c>
      <c r="L4" s="314">
        <f t="shared" ref="L4:L31" si="24">((S4/T4)-(Q4/R4))-(NORMSINV(1-(0.05/COUNTA($O$3:$O$31)))*(SQRT((((Q4/R4)*(1-(Q4/R4)))/R4)+(((S4/T4)*(1-(S4/T4)))/T4))))</f>
        <v>-1.3790089945114901E-2</v>
      </c>
      <c r="M4" s="314">
        <f t="shared" ref="M4:M31" si="25">((S4/T4)-(Q4/R4))+(NORMSINV(1-(0.05/COUNTA($O$3:$O$31)))*(SQRT((((Q4/R4)*(1-(Q4/R4)))/R4)+(((S4/T4)*(1-(S4/T4)))/T4))))</f>
        <v>5.4885980356073748E-2</v>
      </c>
      <c r="N4" s="308">
        <f t="shared" ref="N4:N31" si="26">IF(ISERR(IF(AND(((S4/T4)-(Q4/R4))-(NORMSINV(1-(0.05/COUNTA($P$3:$P$31)))*(SQRT((((Q4/R4)*(1-(Q4/R4)))/R4)+(((S4/T4)*(1-(S4/T4)))/T4))))&gt;0,((S4/T4)-(Q4/R4))+(NORMSINV(1-(0.05/COUNTA($P$3:$P$31)))*(SQRT((((Q4/R4)*(1-(Q4/R4)))/R4)+(((S4/T4)*(1-(S4/T4)))/T4))))&gt;0),1,IF(AND(((S4/T4)-(Q4/R4))-(NORMSINV(1-(0.05/COUNTA($P$3:$P$31)))*(SQRT((((Q4/R4)*(1-(Q4/R4)))/R4)+(((S4/T4)*(1-(S4/T4)))/T4))))&lt;0,((S4/T4)-(Q4/R4))+(NORMSINV(1-(0.05/COUNTA($P$3:$P$31)))*(SQRT((((Q4/R4)*(1-(Q4/R4)))/R4)+(((S4/T4)*(1-(S4/T4)))/T4))))&lt;0),-1,0))),"",IF(AND(((S4/T4)-(Q4/R4))-(NORMSINV(1-(0.05/COUNTA($P$3:$P$31)))*(SQRT((((Q4/R4)*(1-(Q4/R4)))/R4)+(((S4/T4)*(1-(S4/T4)))/T4))))&gt;0,((S4/T4)-(Q4/R4))+(NORMSINV(1-(0.05/COUNTA($P$3:$P$31)))*(SQRT((((Q4/R4)*(1-(Q4/R4)))/R4)+(((S4/T4)*(1-(S4/T4)))/T4))))&gt;0),1,IF(AND(((S4/T4)-(Q4/R4))-(NORMSINV(1-(0.05/COUNTA($P$3:$P$31)))*(SQRT((((Q4/R4)*(1-(Q4/R4)))/R4)+(((S4/T4)*(1-(S4/T4)))/T4))))&lt;0,((S4/T4)-(Q4/R4))+(NORMSINV(1-(0.05/COUNTA($P$3:$P$31)))*(SQRT((((Q4/R4)*(1-(Q4/R4)))/R4)+(((S4/T4)*(1-(S4/T4)))/T4))))&lt;0),-1,0)))</f>
        <v>0</v>
      </c>
      <c r="O4" s="301" t="str">
        <f t="shared" ref="O4:O31" si="27">VLOOKUP(P4,Hospitals,3,FALSE)</f>
        <v>Borders</v>
      </c>
      <c r="P4" s="301" t="s">
        <v>62</v>
      </c>
      <c r="Q4" s="403">
        <v>143</v>
      </c>
      <c r="R4" s="403">
        <v>146</v>
      </c>
      <c r="S4" s="403">
        <v>150</v>
      </c>
      <c r="T4" s="403">
        <v>150</v>
      </c>
      <c r="U4" s="856">
        <v>1</v>
      </c>
    </row>
    <row r="5" spans="1:21" ht="12">
      <c r="A5" s="301" t="str">
        <f t="shared" si="0"/>
        <v>Wishaw</v>
      </c>
      <c r="B5" s="302">
        <f t="shared" si="15"/>
        <v>94.73684210526315</v>
      </c>
      <c r="C5" s="302">
        <f t="shared" si="16"/>
        <v>94.360902255639104</v>
      </c>
      <c r="D5" s="302">
        <f>95</f>
        <v>95</v>
      </c>
      <c r="E5" s="303">
        <f t="shared" si="17"/>
        <v>91</v>
      </c>
      <c r="F5" s="303">
        <f t="shared" si="18"/>
        <v>97</v>
      </c>
      <c r="G5" s="303">
        <f t="shared" si="19"/>
        <v>91</v>
      </c>
      <c r="H5" s="303">
        <f t="shared" si="20"/>
        <v>97</v>
      </c>
      <c r="I5" s="309" t="str">
        <f t="shared" si="21"/>
        <v>91 - 97</v>
      </c>
      <c r="J5" s="305" t="str">
        <f t="shared" si="22"/>
        <v>91 - 97</v>
      </c>
      <c r="K5" s="306">
        <f t="shared" si="23"/>
        <v>-0.37593984962404647</v>
      </c>
      <c r="L5" s="314">
        <f t="shared" si="24"/>
        <v>-6.3606660625924419E-2</v>
      </c>
      <c r="M5" s="314">
        <f t="shared" si="25"/>
        <v>5.6087863633443383E-2</v>
      </c>
      <c r="N5" s="308">
        <f t="shared" si="26"/>
        <v>0</v>
      </c>
      <c r="O5" s="301" t="str">
        <f t="shared" si="27"/>
        <v>Wishaw</v>
      </c>
      <c r="P5" s="301" t="s">
        <v>106</v>
      </c>
      <c r="Q5" s="403">
        <v>216</v>
      </c>
      <c r="R5" s="403">
        <v>228</v>
      </c>
      <c r="S5" s="403">
        <v>251</v>
      </c>
      <c r="T5" s="403">
        <v>266</v>
      </c>
      <c r="U5" s="856">
        <v>2</v>
      </c>
    </row>
    <row r="6" spans="1:21" ht="12">
      <c r="A6" s="301" t="str">
        <f t="shared" si="0"/>
        <v>Belford</v>
      </c>
      <c r="B6" s="302">
        <f t="shared" si="15"/>
        <v>86.666666666666671</v>
      </c>
      <c r="C6" s="302">
        <f t="shared" si="16"/>
        <v>94.117647058823522</v>
      </c>
      <c r="D6" s="302">
        <f>95</f>
        <v>95</v>
      </c>
      <c r="E6" s="303">
        <f t="shared" si="17"/>
        <v>62</v>
      </c>
      <c r="F6" s="303">
        <f t="shared" si="18"/>
        <v>96</v>
      </c>
      <c r="G6" s="303">
        <f t="shared" si="19"/>
        <v>73</v>
      </c>
      <c r="H6" s="303">
        <f t="shared" si="20"/>
        <v>99</v>
      </c>
      <c r="I6" s="309" t="str">
        <f t="shared" si="21"/>
        <v>62 - 96</v>
      </c>
      <c r="J6" s="305" t="str">
        <f t="shared" si="22"/>
        <v>73 - 99</v>
      </c>
      <c r="K6" s="306">
        <f t="shared" si="23"/>
        <v>7.4509803921568505</v>
      </c>
      <c r="L6" s="314">
        <f t="shared" si="24"/>
        <v>-0.23167855845965296</v>
      </c>
      <c r="M6" s="314">
        <f t="shared" si="25"/>
        <v>0.38069816630279013</v>
      </c>
      <c r="N6" s="308">
        <f t="shared" si="26"/>
        <v>0</v>
      </c>
      <c r="O6" s="301" t="str">
        <f t="shared" si="27"/>
        <v>Belford</v>
      </c>
      <c r="P6" s="301" t="s">
        <v>88</v>
      </c>
      <c r="Q6" s="403">
        <v>13</v>
      </c>
      <c r="R6" s="403">
        <v>15</v>
      </c>
      <c r="S6" s="403">
        <v>16</v>
      </c>
      <c r="T6" s="403">
        <v>17</v>
      </c>
      <c r="U6" s="856">
        <v>3</v>
      </c>
    </row>
    <row r="7" spans="1:21" ht="12">
      <c r="A7" s="301" t="str">
        <f t="shared" si="0"/>
        <v>IRH</v>
      </c>
      <c r="B7" s="302">
        <f t="shared" si="15"/>
        <v>94.444444444444443</v>
      </c>
      <c r="C7" s="302">
        <f t="shared" si="16"/>
        <v>94.082840236686394</v>
      </c>
      <c r="D7" s="302">
        <f>95</f>
        <v>95</v>
      </c>
      <c r="E7" s="303">
        <f t="shared" si="17"/>
        <v>90</v>
      </c>
      <c r="F7" s="303">
        <f t="shared" si="18"/>
        <v>97</v>
      </c>
      <c r="G7" s="303">
        <f t="shared" si="19"/>
        <v>89</v>
      </c>
      <c r="H7" s="303">
        <f t="shared" si="20"/>
        <v>97</v>
      </c>
      <c r="I7" s="309" t="str">
        <f t="shared" si="21"/>
        <v>90 - 97</v>
      </c>
      <c r="J7" s="305" t="str">
        <f t="shared" si="22"/>
        <v>89 - 97</v>
      </c>
      <c r="K7" s="306">
        <f t="shared" si="23"/>
        <v>-0.3616042077580488</v>
      </c>
      <c r="L7" s="314">
        <f t="shared" si="24"/>
        <v>-7.8369334159350809E-2</v>
      </c>
      <c r="M7" s="314">
        <f t="shared" si="25"/>
        <v>7.1137250004189842E-2</v>
      </c>
      <c r="N7" s="308">
        <f t="shared" si="26"/>
        <v>0</v>
      </c>
      <c r="O7" s="301" t="str">
        <f t="shared" si="27"/>
        <v>IRH</v>
      </c>
      <c r="P7" s="301" t="s">
        <v>81</v>
      </c>
      <c r="Q7" s="403">
        <v>153</v>
      </c>
      <c r="R7" s="403">
        <v>162</v>
      </c>
      <c r="S7" s="403">
        <v>159</v>
      </c>
      <c r="T7" s="403">
        <v>169</v>
      </c>
      <c r="U7" s="856">
        <v>4</v>
      </c>
    </row>
    <row r="8" spans="1:21" ht="12">
      <c r="A8" s="301" t="str">
        <f t="shared" si="0"/>
        <v>Gilbert Bain</v>
      </c>
      <c r="B8" s="302">
        <f t="shared" si="15"/>
        <v>92.592592592592595</v>
      </c>
      <c r="C8" s="302">
        <f t="shared" si="16"/>
        <v>93.75</v>
      </c>
      <c r="D8" s="302">
        <f>95</f>
        <v>95</v>
      </c>
      <c r="E8" s="303">
        <f t="shared" si="17"/>
        <v>77</v>
      </c>
      <c r="F8" s="303">
        <f t="shared" si="18"/>
        <v>98</v>
      </c>
      <c r="G8" s="303">
        <f t="shared" si="19"/>
        <v>80</v>
      </c>
      <c r="H8" s="303">
        <f t="shared" si="20"/>
        <v>98</v>
      </c>
      <c r="I8" s="309" t="str">
        <f t="shared" si="21"/>
        <v>77 - 98</v>
      </c>
      <c r="J8" s="305" t="str">
        <f t="shared" si="22"/>
        <v>80 - 98</v>
      </c>
      <c r="K8" s="306">
        <f t="shared" si="23"/>
        <v>1.1574074074074048</v>
      </c>
      <c r="L8" s="314">
        <f t="shared" si="24"/>
        <v>-0.18179288703234459</v>
      </c>
      <c r="M8" s="314">
        <f t="shared" si="25"/>
        <v>0.20494103518049273</v>
      </c>
      <c r="N8" s="308">
        <f t="shared" si="26"/>
        <v>0</v>
      </c>
      <c r="O8" s="301" t="str">
        <f t="shared" si="27"/>
        <v>Gilbert Bain</v>
      </c>
      <c r="P8" s="301" t="s">
        <v>120</v>
      </c>
      <c r="Q8" s="403">
        <v>25</v>
      </c>
      <c r="R8" s="403">
        <v>27</v>
      </c>
      <c r="S8" s="403">
        <v>30</v>
      </c>
      <c r="T8" s="403">
        <v>32</v>
      </c>
      <c r="U8" s="856">
        <v>5</v>
      </c>
    </row>
    <row r="9" spans="1:21" ht="12">
      <c r="A9" s="301" t="str">
        <f t="shared" si="0"/>
        <v>Raigmore</v>
      </c>
      <c r="B9" s="302">
        <f t="shared" si="15"/>
        <v>92.951541850220266</v>
      </c>
      <c r="C9" s="302">
        <f t="shared" si="16"/>
        <v>93.582887700534755</v>
      </c>
      <c r="D9" s="302">
        <f>95</f>
        <v>95</v>
      </c>
      <c r="E9" s="303">
        <f t="shared" si="17"/>
        <v>89</v>
      </c>
      <c r="F9" s="303">
        <f t="shared" si="18"/>
        <v>96</v>
      </c>
      <c r="G9" s="303">
        <f t="shared" si="19"/>
        <v>89</v>
      </c>
      <c r="H9" s="303">
        <f t="shared" si="20"/>
        <v>96</v>
      </c>
      <c r="I9" s="309" t="str">
        <f t="shared" si="21"/>
        <v>89 - 96</v>
      </c>
      <c r="J9" s="305" t="str">
        <f t="shared" si="22"/>
        <v>89 - 96</v>
      </c>
      <c r="K9" s="306">
        <f t="shared" si="23"/>
        <v>0.63134585031448864</v>
      </c>
      <c r="L9" s="314">
        <f t="shared" si="24"/>
        <v>-6.5906160821693802E-2</v>
      </c>
      <c r="M9" s="314">
        <f t="shared" si="25"/>
        <v>7.8533077827983619E-2</v>
      </c>
      <c r="N9" s="308">
        <f t="shared" si="26"/>
        <v>0</v>
      </c>
      <c r="O9" s="301" t="str">
        <f t="shared" si="27"/>
        <v>Raigmore</v>
      </c>
      <c r="P9" s="301" t="s">
        <v>97</v>
      </c>
      <c r="Q9" s="403">
        <v>211</v>
      </c>
      <c r="R9" s="403">
        <v>227</v>
      </c>
      <c r="S9" s="403">
        <v>175</v>
      </c>
      <c r="T9" s="403">
        <v>187</v>
      </c>
      <c r="U9" s="856">
        <v>6</v>
      </c>
    </row>
    <row r="10" spans="1:21" ht="12">
      <c r="A10" s="301" t="str">
        <f t="shared" si="0"/>
        <v>GRI</v>
      </c>
      <c r="B10" s="302">
        <f t="shared" si="15"/>
        <v>91.041162227602896</v>
      </c>
      <c r="C10" s="302">
        <f t="shared" si="16"/>
        <v>93.251533742331276</v>
      </c>
      <c r="D10" s="302">
        <f>95</f>
        <v>95</v>
      </c>
      <c r="E10" s="303">
        <f t="shared" si="17"/>
        <v>88</v>
      </c>
      <c r="F10" s="303">
        <f t="shared" si="18"/>
        <v>93</v>
      </c>
      <c r="G10" s="303">
        <f t="shared" si="19"/>
        <v>91</v>
      </c>
      <c r="H10" s="303">
        <f t="shared" si="20"/>
        <v>95</v>
      </c>
      <c r="I10" s="309" t="str">
        <f t="shared" si="21"/>
        <v>88 - 93</v>
      </c>
      <c r="J10" s="305" t="str">
        <f t="shared" si="22"/>
        <v>91 - 95</v>
      </c>
      <c r="K10" s="306">
        <f t="shared" si="23"/>
        <v>2.2103715147283793</v>
      </c>
      <c r="L10" s="314">
        <f t="shared" si="24"/>
        <v>-3.0717024582539713E-2</v>
      </c>
      <c r="M10" s="314">
        <f t="shared" si="25"/>
        <v>7.492445487710736E-2</v>
      </c>
      <c r="N10" s="308">
        <f t="shared" si="26"/>
        <v>0</v>
      </c>
      <c r="O10" s="301" t="str">
        <f t="shared" si="27"/>
        <v>GRI</v>
      </c>
      <c r="P10" s="301" t="s">
        <v>79</v>
      </c>
      <c r="Q10" s="403">
        <v>376</v>
      </c>
      <c r="R10" s="403">
        <v>413</v>
      </c>
      <c r="S10" s="403">
        <v>456</v>
      </c>
      <c r="T10" s="403">
        <v>489</v>
      </c>
      <c r="U10" s="856">
        <v>7</v>
      </c>
    </row>
    <row r="11" spans="1:21" ht="12">
      <c r="A11" s="301" t="str">
        <f t="shared" si="0"/>
        <v>Caithness</v>
      </c>
      <c r="B11" s="302">
        <f t="shared" si="15"/>
        <v>95.555555555555557</v>
      </c>
      <c r="C11" s="302">
        <f t="shared" si="16"/>
        <v>93.181818181818173</v>
      </c>
      <c r="D11" s="302">
        <f>95</f>
        <v>95</v>
      </c>
      <c r="E11" s="303">
        <f t="shared" si="17"/>
        <v>85</v>
      </c>
      <c r="F11" s="303">
        <f t="shared" si="18"/>
        <v>99</v>
      </c>
      <c r="G11" s="303">
        <f t="shared" si="19"/>
        <v>82</v>
      </c>
      <c r="H11" s="303">
        <f t="shared" si="20"/>
        <v>98</v>
      </c>
      <c r="I11" s="309" t="str">
        <f t="shared" si="21"/>
        <v>85 - 99</v>
      </c>
      <c r="J11" s="305" t="str">
        <f t="shared" si="22"/>
        <v>82 - 98</v>
      </c>
      <c r="K11" s="306">
        <f t="shared" si="23"/>
        <v>-2.3737373737373844</v>
      </c>
      <c r="L11" s="314">
        <f t="shared" si="24"/>
        <v>-0.16664822425997905</v>
      </c>
      <c r="M11" s="314">
        <f t="shared" si="25"/>
        <v>0.11917347678523138</v>
      </c>
      <c r="N11" s="308">
        <f t="shared" si="26"/>
        <v>0</v>
      </c>
      <c r="O11" s="301" t="str">
        <f t="shared" si="27"/>
        <v>Caithness</v>
      </c>
      <c r="P11" s="301" t="s">
        <v>91</v>
      </c>
      <c r="Q11" s="403">
        <v>43</v>
      </c>
      <c r="R11" s="403">
        <v>45</v>
      </c>
      <c r="S11" s="403">
        <v>41</v>
      </c>
      <c r="T11" s="403">
        <v>44</v>
      </c>
      <c r="U11" s="856">
        <v>8</v>
      </c>
    </row>
    <row r="12" spans="1:21" ht="12">
      <c r="A12" s="301" t="str">
        <f t="shared" si="0"/>
        <v>Hairmyres</v>
      </c>
      <c r="B12" s="302">
        <f t="shared" si="15"/>
        <v>89.380530973451329</v>
      </c>
      <c r="C12" s="302">
        <f t="shared" si="16"/>
        <v>92.825112107623326</v>
      </c>
      <c r="D12" s="302">
        <f>95</f>
        <v>95</v>
      </c>
      <c r="E12" s="303">
        <f t="shared" si="17"/>
        <v>85</v>
      </c>
      <c r="F12" s="303">
        <f t="shared" si="18"/>
        <v>93</v>
      </c>
      <c r="G12" s="303">
        <f t="shared" si="19"/>
        <v>89</v>
      </c>
      <c r="H12" s="303">
        <f t="shared" si="20"/>
        <v>96</v>
      </c>
      <c r="I12" s="309" t="str">
        <f t="shared" si="21"/>
        <v>85 - 93</v>
      </c>
      <c r="J12" s="305" t="str">
        <f t="shared" si="22"/>
        <v>89 - 96</v>
      </c>
      <c r="K12" s="306">
        <f t="shared" si="23"/>
        <v>3.4445811341719974</v>
      </c>
      <c r="L12" s="314">
        <f t="shared" si="24"/>
        <v>-4.3957433097577325E-2</v>
      </c>
      <c r="M12" s="314">
        <f t="shared" si="25"/>
        <v>0.11284905578101728</v>
      </c>
      <c r="N12" s="308">
        <f t="shared" si="26"/>
        <v>0</v>
      </c>
      <c r="O12" s="301" t="str">
        <f t="shared" si="27"/>
        <v>Hairmyres</v>
      </c>
      <c r="P12" s="301" t="s">
        <v>100</v>
      </c>
      <c r="Q12" s="403">
        <v>202</v>
      </c>
      <c r="R12" s="403">
        <v>226</v>
      </c>
      <c r="S12" s="403">
        <v>207</v>
      </c>
      <c r="T12" s="403">
        <v>223</v>
      </c>
      <c r="U12" s="856">
        <v>9</v>
      </c>
    </row>
    <row r="13" spans="1:21" ht="12">
      <c r="A13" s="301" t="str">
        <f t="shared" si="0"/>
        <v>ARI</v>
      </c>
      <c r="B13" s="302">
        <f t="shared" si="15"/>
        <v>88.328912466843505</v>
      </c>
      <c r="C13" s="302">
        <f t="shared" si="16"/>
        <v>91.64556962025317</v>
      </c>
      <c r="D13" s="302">
        <f>95</f>
        <v>95</v>
      </c>
      <c r="E13" s="303">
        <f t="shared" si="17"/>
        <v>85</v>
      </c>
      <c r="F13" s="303">
        <f t="shared" si="18"/>
        <v>91</v>
      </c>
      <c r="G13" s="303">
        <f t="shared" si="19"/>
        <v>88</v>
      </c>
      <c r="H13" s="303">
        <f t="shared" si="20"/>
        <v>94</v>
      </c>
      <c r="I13" s="309" t="str">
        <f t="shared" si="21"/>
        <v>85 - 91</v>
      </c>
      <c r="J13" s="305" t="str">
        <f t="shared" si="22"/>
        <v>88 - 94</v>
      </c>
      <c r="K13" s="306">
        <f t="shared" si="23"/>
        <v>3.3166571534096647</v>
      </c>
      <c r="L13" s="314">
        <f t="shared" si="24"/>
        <v>-3.0055003819666207E-2</v>
      </c>
      <c r="M13" s="314">
        <f t="shared" si="25"/>
        <v>9.6388146887859474E-2</v>
      </c>
      <c r="N13" s="308">
        <f t="shared" si="26"/>
        <v>0</v>
      </c>
      <c r="O13" s="301" t="str">
        <f t="shared" si="27"/>
        <v>ARI</v>
      </c>
      <c r="P13" s="301" t="s">
        <v>74</v>
      </c>
      <c r="Q13" s="403">
        <v>333</v>
      </c>
      <c r="R13" s="403">
        <v>377</v>
      </c>
      <c r="S13" s="403">
        <v>362</v>
      </c>
      <c r="T13" s="403">
        <v>395</v>
      </c>
      <c r="U13" s="856">
        <v>10</v>
      </c>
    </row>
    <row r="14" spans="1:21" ht="12">
      <c r="A14" s="301" t="str">
        <f t="shared" si="0"/>
        <v>DGRI</v>
      </c>
      <c r="B14" s="302">
        <f t="shared" si="15"/>
        <v>93.150684931506845</v>
      </c>
      <c r="C14" s="302">
        <f t="shared" si="16"/>
        <v>91.452991452991455</v>
      </c>
      <c r="D14" s="302">
        <f>95</f>
        <v>95</v>
      </c>
      <c r="E14" s="303">
        <f t="shared" si="17"/>
        <v>88</v>
      </c>
      <c r="F14" s="303">
        <f t="shared" si="18"/>
        <v>96</v>
      </c>
      <c r="G14" s="303">
        <f t="shared" si="19"/>
        <v>85</v>
      </c>
      <c r="H14" s="303">
        <f t="shared" si="20"/>
        <v>95</v>
      </c>
      <c r="I14" s="309" t="str">
        <f t="shared" si="21"/>
        <v>88 - 96</v>
      </c>
      <c r="J14" s="305" t="str">
        <f t="shared" si="22"/>
        <v>85 - 95</v>
      </c>
      <c r="K14" s="306">
        <f t="shared" si="23"/>
        <v>-1.6976934785153901</v>
      </c>
      <c r="L14" s="314">
        <f t="shared" si="24"/>
        <v>-0.11420060966663549</v>
      </c>
      <c r="M14" s="314">
        <f t="shared" si="25"/>
        <v>8.024674009632761E-2</v>
      </c>
      <c r="N14" s="308">
        <f t="shared" si="26"/>
        <v>0</v>
      </c>
      <c r="O14" s="301" t="str">
        <f t="shared" si="27"/>
        <v>DGRI</v>
      </c>
      <c r="P14" s="301" t="s">
        <v>64</v>
      </c>
      <c r="Q14" s="403">
        <v>136</v>
      </c>
      <c r="R14" s="403">
        <v>146</v>
      </c>
      <c r="S14" s="403">
        <v>107</v>
      </c>
      <c r="T14" s="403">
        <v>117</v>
      </c>
      <c r="U14" s="856">
        <v>11</v>
      </c>
    </row>
    <row r="15" spans="1:21" ht="12">
      <c r="A15" s="301" t="str">
        <f t="shared" si="0"/>
        <v>VHK</v>
      </c>
      <c r="B15" s="302">
        <f t="shared" si="15"/>
        <v>94.407158836689035</v>
      </c>
      <c r="C15" s="302">
        <f t="shared" si="16"/>
        <v>91.416309012875544</v>
      </c>
      <c r="D15" s="302">
        <f>95</f>
        <v>95</v>
      </c>
      <c r="E15" s="303">
        <f t="shared" si="17"/>
        <v>92</v>
      </c>
      <c r="F15" s="303">
        <f t="shared" si="18"/>
        <v>96</v>
      </c>
      <c r="G15" s="303">
        <f t="shared" si="19"/>
        <v>89</v>
      </c>
      <c r="H15" s="303">
        <f t="shared" si="20"/>
        <v>94</v>
      </c>
      <c r="I15" s="309" t="str">
        <f t="shared" si="21"/>
        <v>92 - 96</v>
      </c>
      <c r="J15" s="305" t="str">
        <f t="shared" si="22"/>
        <v>89 - 94</v>
      </c>
      <c r="K15" s="306">
        <f t="shared" si="23"/>
        <v>-2.9908498238134911</v>
      </c>
      <c r="L15" s="314">
        <f t="shared" si="24"/>
        <v>-7.9413147869447615E-2</v>
      </c>
      <c r="M15" s="314">
        <f t="shared" si="25"/>
        <v>1.9596151393177573E-2</v>
      </c>
      <c r="N15" s="308">
        <f t="shared" si="26"/>
        <v>0</v>
      </c>
      <c r="O15" s="301" t="str">
        <f t="shared" si="27"/>
        <v>VHK</v>
      </c>
      <c r="P15" s="301" t="s">
        <v>281</v>
      </c>
      <c r="Q15" s="403">
        <v>422</v>
      </c>
      <c r="R15" s="403">
        <v>447</v>
      </c>
      <c r="S15" s="403">
        <v>426</v>
      </c>
      <c r="T15" s="403">
        <v>466</v>
      </c>
      <c r="U15" s="856">
        <v>12</v>
      </c>
    </row>
    <row r="16" spans="1:21" ht="12">
      <c r="A16" s="301" t="str">
        <f t="shared" si="0"/>
        <v>QEUH</v>
      </c>
      <c r="B16" s="302">
        <f t="shared" si="15"/>
        <v>87.38601823708207</v>
      </c>
      <c r="C16" s="302">
        <f t="shared" si="16"/>
        <v>91.246290801186944</v>
      </c>
      <c r="D16" s="302">
        <f>95</f>
        <v>95</v>
      </c>
      <c r="E16" s="303">
        <f t="shared" si="17"/>
        <v>85</v>
      </c>
      <c r="F16" s="303">
        <f t="shared" si="18"/>
        <v>90</v>
      </c>
      <c r="G16" s="303">
        <f t="shared" si="19"/>
        <v>89</v>
      </c>
      <c r="H16" s="303">
        <f t="shared" si="20"/>
        <v>93</v>
      </c>
      <c r="I16" s="309" t="str">
        <f t="shared" si="21"/>
        <v>85 - 90</v>
      </c>
      <c r="J16" s="305" t="str">
        <f t="shared" si="22"/>
        <v>89 - 93</v>
      </c>
      <c r="K16" s="306">
        <f t="shared" si="23"/>
        <v>3.860272564104875</v>
      </c>
      <c r="L16" s="314">
        <f t="shared" si="24"/>
        <v>-1.0860310584085264E-2</v>
      </c>
      <c r="M16" s="314">
        <f t="shared" si="25"/>
        <v>8.8065761866182923E-2</v>
      </c>
      <c r="N16" s="308">
        <f t="shared" si="26"/>
        <v>0</v>
      </c>
      <c r="O16" s="301" t="str">
        <f t="shared" si="27"/>
        <v>QEUH</v>
      </c>
      <c r="P16" s="301" t="s">
        <v>447</v>
      </c>
      <c r="Q16" s="403">
        <v>575</v>
      </c>
      <c r="R16" s="403">
        <v>658</v>
      </c>
      <c r="S16" s="403">
        <v>615</v>
      </c>
      <c r="T16" s="403">
        <v>674</v>
      </c>
      <c r="U16" s="856">
        <v>13</v>
      </c>
    </row>
    <row r="17" spans="1:21" ht="12">
      <c r="A17" s="301" t="str">
        <f t="shared" si="0"/>
        <v>SJH</v>
      </c>
      <c r="B17" s="302">
        <f t="shared" si="15"/>
        <v>95.555555555555557</v>
      </c>
      <c r="C17" s="302">
        <f t="shared" si="16"/>
        <v>91.111111111111114</v>
      </c>
      <c r="D17" s="302">
        <f>95</f>
        <v>95</v>
      </c>
      <c r="E17" s="303">
        <f t="shared" si="17"/>
        <v>91</v>
      </c>
      <c r="F17" s="303">
        <f t="shared" si="18"/>
        <v>98</v>
      </c>
      <c r="G17" s="303">
        <f t="shared" si="19"/>
        <v>86</v>
      </c>
      <c r="H17" s="303">
        <f t="shared" si="20"/>
        <v>94</v>
      </c>
      <c r="I17" s="309" t="str">
        <f t="shared" si="21"/>
        <v>91 - 98</v>
      </c>
      <c r="J17" s="305" t="str">
        <f t="shared" si="22"/>
        <v>86 - 94</v>
      </c>
      <c r="K17" s="306">
        <f t="shared" si="23"/>
        <v>-4.4444444444444429</v>
      </c>
      <c r="L17" s="314">
        <f t="shared" si="24"/>
        <v>-0.12103889699655318</v>
      </c>
      <c r="M17" s="314">
        <f t="shared" si="25"/>
        <v>3.2150008107664163E-2</v>
      </c>
      <c r="N17" s="308">
        <f t="shared" si="26"/>
        <v>0</v>
      </c>
      <c r="O17" s="301" t="str">
        <f t="shared" si="27"/>
        <v>SJH</v>
      </c>
      <c r="P17" s="301" t="s">
        <v>111</v>
      </c>
      <c r="Q17" s="403">
        <v>172</v>
      </c>
      <c r="R17" s="403">
        <v>180</v>
      </c>
      <c r="S17" s="403">
        <v>164</v>
      </c>
      <c r="T17" s="403">
        <v>180</v>
      </c>
      <c r="U17" s="856">
        <v>14</v>
      </c>
    </row>
    <row r="18" spans="1:21" ht="12">
      <c r="A18" s="301" t="str">
        <f t="shared" si="0"/>
        <v>FVRH</v>
      </c>
      <c r="B18" s="302">
        <f t="shared" si="15"/>
        <v>93.137254901960787</v>
      </c>
      <c r="C18" s="302">
        <f t="shared" si="16"/>
        <v>90.862944162436548</v>
      </c>
      <c r="D18" s="302">
        <f>95</f>
        <v>95</v>
      </c>
      <c r="E18" s="303">
        <f t="shared" si="17"/>
        <v>90</v>
      </c>
      <c r="F18" s="303">
        <f t="shared" si="18"/>
        <v>95</v>
      </c>
      <c r="G18" s="303">
        <f t="shared" si="19"/>
        <v>88</v>
      </c>
      <c r="H18" s="303">
        <f t="shared" si="20"/>
        <v>93</v>
      </c>
      <c r="I18" s="309" t="str">
        <f t="shared" si="21"/>
        <v>90 - 95</v>
      </c>
      <c r="J18" s="305" t="str">
        <f t="shared" si="22"/>
        <v>88 - 93</v>
      </c>
      <c r="K18" s="306">
        <f t="shared" si="23"/>
        <v>-2.274310739524239</v>
      </c>
      <c r="L18" s="314">
        <f t="shared" si="24"/>
        <v>-7.8800375026079533E-2</v>
      </c>
      <c r="M18" s="314">
        <f t="shared" si="25"/>
        <v>3.3314160235594657E-2</v>
      </c>
      <c r="N18" s="308">
        <f t="shared" si="26"/>
        <v>0</v>
      </c>
      <c r="O18" s="301" t="str">
        <f t="shared" si="27"/>
        <v>FVRH</v>
      </c>
      <c r="P18" s="301" t="s">
        <v>72</v>
      </c>
      <c r="Q18" s="403">
        <v>380</v>
      </c>
      <c r="R18" s="403">
        <v>408</v>
      </c>
      <c r="S18" s="403">
        <v>358</v>
      </c>
      <c r="T18" s="403">
        <v>394</v>
      </c>
      <c r="U18" s="856">
        <v>15</v>
      </c>
    </row>
    <row r="19" spans="1:21" ht="12">
      <c r="A19" s="301" t="str">
        <f t="shared" si="0"/>
        <v>Crosshouse</v>
      </c>
      <c r="B19" s="302">
        <f t="shared" si="15"/>
        <v>88.059701492537314</v>
      </c>
      <c r="C19" s="302">
        <f t="shared" si="16"/>
        <v>90.598290598290603</v>
      </c>
      <c r="D19" s="302">
        <f>95</f>
        <v>95</v>
      </c>
      <c r="E19" s="303">
        <f t="shared" si="17"/>
        <v>84</v>
      </c>
      <c r="F19" s="303">
        <f t="shared" si="18"/>
        <v>91</v>
      </c>
      <c r="G19" s="303">
        <f t="shared" si="19"/>
        <v>88</v>
      </c>
      <c r="H19" s="303">
        <f t="shared" si="20"/>
        <v>93</v>
      </c>
      <c r="I19" s="309" t="str">
        <f t="shared" si="21"/>
        <v>84 - 91</v>
      </c>
      <c r="J19" s="305" t="str">
        <f t="shared" si="22"/>
        <v>88 - 93</v>
      </c>
      <c r="K19" s="306">
        <f t="shared" si="23"/>
        <v>2.5385891057532888</v>
      </c>
      <c r="L19" s="314">
        <f t="shared" si="24"/>
        <v>-4.2447335604327396E-2</v>
      </c>
      <c r="M19" s="314">
        <f t="shared" si="25"/>
        <v>9.3219117719393119E-2</v>
      </c>
      <c r="N19" s="308">
        <f t="shared" si="26"/>
        <v>0</v>
      </c>
      <c r="O19" s="301" t="str">
        <f t="shared" si="27"/>
        <v>Crosshouse</v>
      </c>
      <c r="P19" s="301" t="s">
        <v>59</v>
      </c>
      <c r="Q19" s="403">
        <v>236</v>
      </c>
      <c r="R19" s="403">
        <v>268</v>
      </c>
      <c r="S19" s="403">
        <v>530</v>
      </c>
      <c r="T19" s="403">
        <v>585</v>
      </c>
      <c r="U19" s="856">
        <v>16</v>
      </c>
    </row>
    <row r="20" spans="1:21" ht="12">
      <c r="A20" s="301" t="str">
        <f t="shared" si="0"/>
        <v>PRI</v>
      </c>
      <c r="B20" s="302">
        <f t="shared" si="15"/>
        <v>91.379310344827587</v>
      </c>
      <c r="C20" s="302">
        <f t="shared" si="16"/>
        <v>90.131578947368425</v>
      </c>
      <c r="D20" s="302">
        <f>95</f>
        <v>95</v>
      </c>
      <c r="E20" s="303">
        <f t="shared" si="17"/>
        <v>85</v>
      </c>
      <c r="F20" s="303">
        <f t="shared" si="18"/>
        <v>95</v>
      </c>
      <c r="G20" s="303">
        <f t="shared" si="19"/>
        <v>84</v>
      </c>
      <c r="H20" s="303">
        <f t="shared" si="20"/>
        <v>94</v>
      </c>
      <c r="I20" s="309" t="str">
        <f t="shared" si="21"/>
        <v>85 - 95</v>
      </c>
      <c r="J20" s="305" t="str">
        <f t="shared" si="22"/>
        <v>84 - 94</v>
      </c>
      <c r="K20" s="306">
        <f t="shared" si="23"/>
        <v>-1.2477313974591624</v>
      </c>
      <c r="L20" s="314">
        <f t="shared" si="24"/>
        <v>-0.11646819874154028</v>
      </c>
      <c r="M20" s="314">
        <f t="shared" si="25"/>
        <v>9.1513570792356821E-2</v>
      </c>
      <c r="N20" s="308">
        <f t="shared" si="26"/>
        <v>0</v>
      </c>
      <c r="O20" s="301" t="str">
        <f t="shared" si="27"/>
        <v>PRI</v>
      </c>
      <c r="P20" s="301" t="s">
        <v>126</v>
      </c>
      <c r="Q20" s="403">
        <v>106</v>
      </c>
      <c r="R20" s="403">
        <v>116</v>
      </c>
      <c r="S20" s="403">
        <v>137</v>
      </c>
      <c r="T20" s="403">
        <v>152</v>
      </c>
      <c r="U20" s="856">
        <v>17</v>
      </c>
    </row>
    <row r="21" spans="1:21" ht="12">
      <c r="A21" s="301" t="str">
        <f t="shared" si="0"/>
        <v>Dr Grays</v>
      </c>
      <c r="B21" s="302">
        <f t="shared" si="15"/>
        <v>93.406593406593402</v>
      </c>
      <c r="C21" s="302">
        <f t="shared" si="16"/>
        <v>89.87341772151899</v>
      </c>
      <c r="D21" s="302">
        <f>95</f>
        <v>95</v>
      </c>
      <c r="E21" s="303">
        <f t="shared" si="17"/>
        <v>86</v>
      </c>
      <c r="F21" s="303">
        <f t="shared" si="18"/>
        <v>97</v>
      </c>
      <c r="G21" s="303">
        <f t="shared" si="19"/>
        <v>81</v>
      </c>
      <c r="H21" s="303">
        <f t="shared" si="20"/>
        <v>95</v>
      </c>
      <c r="I21" s="309" t="str">
        <f t="shared" si="21"/>
        <v>86 - 97</v>
      </c>
      <c r="J21" s="305" t="str">
        <f t="shared" si="22"/>
        <v>81 - 95</v>
      </c>
      <c r="K21" s="306">
        <f t="shared" si="23"/>
        <v>-3.5331756850744114</v>
      </c>
      <c r="L21" s="314">
        <f t="shared" si="24"/>
        <v>-0.16040405289938137</v>
      </c>
      <c r="M21" s="314">
        <f t="shared" si="25"/>
        <v>8.9740539197892988E-2</v>
      </c>
      <c r="N21" s="308">
        <f t="shared" si="26"/>
        <v>0</v>
      </c>
      <c r="O21" s="301" t="str">
        <f t="shared" si="27"/>
        <v>Dr Grays</v>
      </c>
      <c r="P21" s="301" t="s">
        <v>76</v>
      </c>
      <c r="Q21" s="403">
        <v>85</v>
      </c>
      <c r="R21" s="403">
        <v>91</v>
      </c>
      <c r="S21" s="403">
        <v>71</v>
      </c>
      <c r="T21" s="403">
        <v>79</v>
      </c>
      <c r="U21" s="856">
        <v>18</v>
      </c>
    </row>
    <row r="22" spans="1:21" ht="12">
      <c r="A22" s="301" t="str">
        <f t="shared" si="0"/>
        <v>Ninewells</v>
      </c>
      <c r="B22" s="302">
        <f t="shared" si="15"/>
        <v>90.322580645161281</v>
      </c>
      <c r="C22" s="302">
        <f t="shared" si="16"/>
        <v>89.296636085626915</v>
      </c>
      <c r="D22" s="302">
        <f>95</f>
        <v>95</v>
      </c>
      <c r="E22" s="303">
        <f t="shared" si="17"/>
        <v>86</v>
      </c>
      <c r="F22" s="303">
        <f t="shared" si="18"/>
        <v>93</v>
      </c>
      <c r="G22" s="303">
        <f t="shared" si="19"/>
        <v>85</v>
      </c>
      <c r="H22" s="303">
        <f t="shared" si="20"/>
        <v>92</v>
      </c>
      <c r="I22" s="309" t="str">
        <f t="shared" si="21"/>
        <v>86 - 93</v>
      </c>
      <c r="J22" s="305" t="str">
        <f t="shared" si="22"/>
        <v>85 - 92</v>
      </c>
      <c r="K22" s="306">
        <f t="shared" si="23"/>
        <v>-1.0259445595343664</v>
      </c>
      <c r="L22" s="314">
        <f t="shared" si="24"/>
        <v>-8.223112729079822E-2</v>
      </c>
      <c r="M22" s="314">
        <f t="shared" si="25"/>
        <v>6.1712236100110715E-2</v>
      </c>
      <c r="N22" s="308">
        <f t="shared" si="26"/>
        <v>0</v>
      </c>
      <c r="O22" s="301" t="str">
        <f t="shared" si="27"/>
        <v>Ninewells</v>
      </c>
      <c r="P22" s="301" t="s">
        <v>123</v>
      </c>
      <c r="Q22" s="403">
        <v>252</v>
      </c>
      <c r="R22" s="403">
        <v>279</v>
      </c>
      <c r="S22" s="403">
        <v>292</v>
      </c>
      <c r="T22" s="403">
        <v>327</v>
      </c>
      <c r="U22" s="856">
        <v>19</v>
      </c>
    </row>
    <row r="23" spans="1:21" ht="12">
      <c r="A23" s="301" t="str">
        <f t="shared" si="0"/>
        <v>Monklands</v>
      </c>
      <c r="B23" s="302">
        <f t="shared" si="15"/>
        <v>88.235294117647058</v>
      </c>
      <c r="C23" s="302">
        <f t="shared" si="16"/>
        <v>89.237668161434982</v>
      </c>
      <c r="D23" s="302">
        <f>95</f>
        <v>95</v>
      </c>
      <c r="E23" s="303">
        <f t="shared" si="17"/>
        <v>84</v>
      </c>
      <c r="F23" s="303">
        <f t="shared" si="18"/>
        <v>92</v>
      </c>
      <c r="G23" s="303">
        <f t="shared" si="19"/>
        <v>84</v>
      </c>
      <c r="H23" s="303">
        <f t="shared" si="20"/>
        <v>93</v>
      </c>
      <c r="I23" s="309" t="str">
        <f t="shared" si="21"/>
        <v>84 - 92</v>
      </c>
      <c r="J23" s="305" t="str">
        <f t="shared" si="22"/>
        <v>84 - 93</v>
      </c>
      <c r="K23" s="306">
        <f t="shared" si="23"/>
        <v>1.0023740437879241</v>
      </c>
      <c r="L23" s="314">
        <f t="shared" si="24"/>
        <v>-7.6084451532509062E-2</v>
      </c>
      <c r="M23" s="314">
        <f t="shared" si="25"/>
        <v>9.6131932408267534E-2</v>
      </c>
      <c r="N23" s="308">
        <f t="shared" si="26"/>
        <v>0</v>
      </c>
      <c r="O23" s="301" t="str">
        <f t="shared" si="27"/>
        <v>Monklands</v>
      </c>
      <c r="P23" s="301" t="s">
        <v>103</v>
      </c>
      <c r="Q23" s="403">
        <v>210</v>
      </c>
      <c r="R23" s="403">
        <v>238</v>
      </c>
      <c r="S23" s="403">
        <v>199</v>
      </c>
      <c r="T23" s="403">
        <v>223</v>
      </c>
      <c r="U23" s="856">
        <v>20</v>
      </c>
    </row>
    <row r="24" spans="1:21" ht="12">
      <c r="A24" s="301" t="str">
        <f t="shared" si="0"/>
        <v>L&amp;I</v>
      </c>
      <c r="B24" s="302">
        <f t="shared" si="15"/>
        <v>89.473684210526315</v>
      </c>
      <c r="C24" s="302">
        <f t="shared" si="16"/>
        <v>87.878787878787875</v>
      </c>
      <c r="D24" s="302">
        <f>95</f>
        <v>95</v>
      </c>
      <c r="E24" s="303">
        <f t="shared" si="17"/>
        <v>69</v>
      </c>
      <c r="F24" s="303">
        <f t="shared" si="18"/>
        <v>97</v>
      </c>
      <c r="G24" s="303">
        <f t="shared" si="19"/>
        <v>73</v>
      </c>
      <c r="H24" s="303">
        <f t="shared" si="20"/>
        <v>95</v>
      </c>
      <c r="I24" s="309" t="str">
        <f t="shared" si="21"/>
        <v>69 - 97</v>
      </c>
      <c r="J24" s="305" t="str">
        <f t="shared" si="22"/>
        <v>73 - 95</v>
      </c>
      <c r="K24" s="306">
        <f t="shared" si="23"/>
        <v>-1.5948963317384397</v>
      </c>
      <c r="L24" s="314">
        <f t="shared" si="24"/>
        <v>-0.28054403704392528</v>
      </c>
      <c r="M24" s="314">
        <f t="shared" si="25"/>
        <v>0.24864611040915652</v>
      </c>
      <c r="N24" s="308">
        <f t="shared" si="26"/>
        <v>0</v>
      </c>
      <c r="O24" s="301" t="str">
        <f t="shared" si="27"/>
        <v>L&amp;I</v>
      </c>
      <c r="P24" s="301" t="s">
        <v>94</v>
      </c>
      <c r="Q24" s="403">
        <v>17</v>
      </c>
      <c r="R24" s="403">
        <v>19</v>
      </c>
      <c r="S24" s="403">
        <v>29</v>
      </c>
      <c r="T24" s="403">
        <v>33</v>
      </c>
      <c r="U24" s="856">
        <v>21</v>
      </c>
    </row>
    <row r="25" spans="1:21" ht="12">
      <c r="A25" s="301" t="str">
        <f t="shared" si="0"/>
        <v>RAH</v>
      </c>
      <c r="B25" s="302">
        <f t="shared" si="15"/>
        <v>86.131386861313857</v>
      </c>
      <c r="C25" s="302">
        <f t="shared" si="16"/>
        <v>87.306501547987608</v>
      </c>
      <c r="D25" s="302">
        <f>95</f>
        <v>95</v>
      </c>
      <c r="E25" s="303">
        <f t="shared" si="17"/>
        <v>82</v>
      </c>
      <c r="F25" s="303">
        <f t="shared" si="18"/>
        <v>90</v>
      </c>
      <c r="G25" s="303">
        <f t="shared" si="19"/>
        <v>83</v>
      </c>
      <c r="H25" s="303">
        <f t="shared" si="20"/>
        <v>91</v>
      </c>
      <c r="I25" s="309" t="str">
        <f t="shared" si="21"/>
        <v>82 - 90</v>
      </c>
      <c r="J25" s="305" t="str">
        <f t="shared" si="22"/>
        <v>83 - 91</v>
      </c>
      <c r="K25" s="306">
        <f t="shared" si="23"/>
        <v>1.1751146866737514</v>
      </c>
      <c r="L25" s="314">
        <f t="shared" si="24"/>
        <v>-6.9881108897995856E-2</v>
      </c>
      <c r="M25" s="314">
        <f t="shared" si="25"/>
        <v>9.3383402631470866E-2</v>
      </c>
      <c r="N25" s="308">
        <f t="shared" si="26"/>
        <v>0</v>
      </c>
      <c r="O25" s="301" t="str">
        <f t="shared" si="27"/>
        <v>RAH</v>
      </c>
      <c r="P25" s="301" t="s">
        <v>84</v>
      </c>
      <c r="Q25" s="403">
        <v>236</v>
      </c>
      <c r="R25" s="403">
        <v>274</v>
      </c>
      <c r="S25" s="403">
        <v>282</v>
      </c>
      <c r="T25" s="403">
        <v>323</v>
      </c>
      <c r="U25" s="856">
        <v>22</v>
      </c>
    </row>
    <row r="26" spans="1:21" ht="12">
      <c r="A26" s="301" t="str">
        <f t="shared" si="0"/>
        <v>RIE</v>
      </c>
      <c r="B26" s="302">
        <f t="shared" si="15"/>
        <v>87.166666666666671</v>
      </c>
      <c r="C26" s="302">
        <f t="shared" si="16"/>
        <v>85.090909090909093</v>
      </c>
      <c r="D26" s="302">
        <f>95</f>
        <v>95</v>
      </c>
      <c r="E26" s="303">
        <f t="shared" si="17"/>
        <v>84</v>
      </c>
      <c r="F26" s="303">
        <f t="shared" si="18"/>
        <v>90</v>
      </c>
      <c r="G26" s="303">
        <f t="shared" si="19"/>
        <v>82</v>
      </c>
      <c r="H26" s="303">
        <f t="shared" si="20"/>
        <v>88</v>
      </c>
      <c r="I26" s="309" t="str">
        <f t="shared" si="21"/>
        <v>84 - 90</v>
      </c>
      <c r="J26" s="305" t="str">
        <f t="shared" si="22"/>
        <v>82 - 88</v>
      </c>
      <c r="K26" s="306">
        <f t="shared" si="23"/>
        <v>-2.0757575757575779</v>
      </c>
      <c r="L26" s="314">
        <f t="shared" si="24"/>
        <v>-8.0488040936986194E-2</v>
      </c>
      <c r="M26" s="314">
        <f t="shared" si="25"/>
        <v>3.8972889421834696E-2</v>
      </c>
      <c r="N26" s="308">
        <f t="shared" si="26"/>
        <v>0</v>
      </c>
      <c r="O26" s="301" t="str">
        <f t="shared" si="27"/>
        <v>RIE</v>
      </c>
      <c r="P26" s="301" t="s">
        <v>108</v>
      </c>
      <c r="Q26" s="403">
        <v>523</v>
      </c>
      <c r="R26" s="403">
        <v>600</v>
      </c>
      <c r="S26" s="403">
        <v>468</v>
      </c>
      <c r="T26" s="403">
        <v>550</v>
      </c>
      <c r="U26" s="856">
        <v>23</v>
      </c>
    </row>
    <row r="27" spans="1:21" ht="12">
      <c r="A27" s="301" t="str">
        <f t="shared" si="0"/>
        <v>WGH</v>
      </c>
      <c r="B27" s="302">
        <f t="shared" si="15"/>
        <v>82.941176470588246</v>
      </c>
      <c r="C27" s="302">
        <f t="shared" si="16"/>
        <v>83.333333333333343</v>
      </c>
      <c r="D27" s="302">
        <f>95</f>
        <v>95</v>
      </c>
      <c r="E27" s="303">
        <f t="shared" si="17"/>
        <v>77</v>
      </c>
      <c r="F27" s="303">
        <f t="shared" si="18"/>
        <v>88</v>
      </c>
      <c r="G27" s="303">
        <f t="shared" si="19"/>
        <v>76</v>
      </c>
      <c r="H27" s="303">
        <f t="shared" si="20"/>
        <v>89</v>
      </c>
      <c r="I27" s="309" t="str">
        <f t="shared" si="21"/>
        <v>77 - 88</v>
      </c>
      <c r="J27" s="305" t="str">
        <f t="shared" si="22"/>
        <v>76 - 89</v>
      </c>
      <c r="K27" s="306">
        <f t="shared" si="23"/>
        <v>0.39215686274509665</v>
      </c>
      <c r="L27" s="314">
        <f t="shared" si="24"/>
        <v>-0.12471629078459953</v>
      </c>
      <c r="M27" s="314">
        <f t="shared" si="25"/>
        <v>0.13255942803950146</v>
      </c>
      <c r="N27" s="308">
        <f t="shared" si="26"/>
        <v>0</v>
      </c>
      <c r="O27" s="301" t="str">
        <f t="shared" si="27"/>
        <v>WGH</v>
      </c>
      <c r="P27" s="301" t="s">
        <v>114</v>
      </c>
      <c r="Q27" s="403">
        <v>141</v>
      </c>
      <c r="R27" s="403">
        <v>170</v>
      </c>
      <c r="S27" s="403">
        <v>105</v>
      </c>
      <c r="T27" s="403">
        <v>126</v>
      </c>
      <c r="U27" s="856">
        <v>24</v>
      </c>
    </row>
    <row r="28" spans="1:21" ht="12">
      <c r="A28" s="301" t="str">
        <f t="shared" si="0"/>
        <v>Western Isles</v>
      </c>
      <c r="B28" s="302">
        <f t="shared" si="15"/>
        <v>95</v>
      </c>
      <c r="C28" s="302">
        <f t="shared" si="16"/>
        <v>80.952380952380949</v>
      </c>
      <c r="D28" s="302">
        <f>95</f>
        <v>95</v>
      </c>
      <c r="E28" s="303">
        <f t="shared" si="17"/>
        <v>76</v>
      </c>
      <c r="F28" s="303">
        <f t="shared" si="18"/>
        <v>99</v>
      </c>
      <c r="G28" s="303">
        <f t="shared" si="19"/>
        <v>60</v>
      </c>
      <c r="H28" s="303">
        <f t="shared" si="20"/>
        <v>92</v>
      </c>
      <c r="I28" s="309" t="str">
        <f t="shared" si="21"/>
        <v>76 - 99</v>
      </c>
      <c r="J28" s="305" t="str">
        <f t="shared" si="22"/>
        <v>60 - 92</v>
      </c>
      <c r="K28" s="306">
        <f t="shared" si="23"/>
        <v>-14.047619047619051</v>
      </c>
      <c r="L28" s="314">
        <f t="shared" si="24"/>
        <v>-0.42878374701056021</v>
      </c>
      <c r="M28" s="314">
        <f t="shared" si="25"/>
        <v>0.14783136605817937</v>
      </c>
      <c r="N28" s="308">
        <f t="shared" si="26"/>
        <v>0</v>
      </c>
      <c r="O28" s="301" t="str">
        <f t="shared" si="27"/>
        <v>Western Isles</v>
      </c>
      <c r="P28" s="301" t="s">
        <v>132</v>
      </c>
      <c r="Q28" s="403">
        <v>19</v>
      </c>
      <c r="R28" s="403">
        <v>20</v>
      </c>
      <c r="S28" s="403">
        <v>17</v>
      </c>
      <c r="T28" s="403">
        <v>21</v>
      </c>
      <c r="U28" s="856">
        <v>25</v>
      </c>
    </row>
    <row r="29" spans="1:21" ht="12">
      <c r="A29" s="301" t="str">
        <f t="shared" si="0"/>
        <v>GCH</v>
      </c>
      <c r="B29" s="302">
        <f t="shared" si="15"/>
        <v>92.307692307692307</v>
      </c>
      <c r="C29" s="302">
        <f t="shared" si="16"/>
        <v>80</v>
      </c>
      <c r="D29" s="302">
        <f>95</f>
        <v>95</v>
      </c>
      <c r="E29" s="303">
        <f t="shared" si="17"/>
        <v>76</v>
      </c>
      <c r="F29" s="303">
        <f t="shared" si="18"/>
        <v>98</v>
      </c>
      <c r="G29" s="303">
        <f t="shared" si="19"/>
        <v>58</v>
      </c>
      <c r="H29" s="303">
        <f t="shared" si="20"/>
        <v>92</v>
      </c>
      <c r="I29" s="309" t="str">
        <f t="shared" si="21"/>
        <v>76 - 98</v>
      </c>
      <c r="J29" s="305" t="str">
        <f t="shared" si="22"/>
        <v>58 - 92</v>
      </c>
      <c r="K29" s="306">
        <f t="shared" si="23"/>
        <v>-12.307692307692307</v>
      </c>
      <c r="L29" s="314">
        <f t="shared" si="24"/>
        <v>-0.42604447061631784</v>
      </c>
      <c r="M29" s="314">
        <f t="shared" si="25"/>
        <v>0.17989062446247167</v>
      </c>
      <c r="N29" s="308">
        <f t="shared" si="26"/>
        <v>0</v>
      </c>
      <c r="O29" s="301" t="str">
        <f t="shared" si="27"/>
        <v>GCH</v>
      </c>
      <c r="P29" s="301" t="s">
        <v>67</v>
      </c>
      <c r="Q29" s="403">
        <v>24</v>
      </c>
      <c r="R29" s="403">
        <v>26</v>
      </c>
      <c r="S29" s="403">
        <v>16</v>
      </c>
      <c r="T29" s="403">
        <v>20</v>
      </c>
      <c r="U29" s="856">
        <v>26</v>
      </c>
    </row>
    <row r="30" spans="1:21" ht="12">
      <c r="A30" s="301" t="str">
        <f t="shared" si="0"/>
        <v>Balfour</v>
      </c>
      <c r="B30" s="302">
        <f t="shared" si="15"/>
        <v>80.769230769230774</v>
      </c>
      <c r="C30" s="302">
        <f t="shared" si="16"/>
        <v>77.777777777777786</v>
      </c>
      <c r="D30" s="302">
        <f>95</f>
        <v>95</v>
      </c>
      <c r="E30" s="303">
        <f t="shared" si="17"/>
        <v>62</v>
      </c>
      <c r="F30" s="303">
        <f t="shared" si="18"/>
        <v>91</v>
      </c>
      <c r="G30" s="303">
        <f t="shared" si="19"/>
        <v>55</v>
      </c>
      <c r="H30" s="303">
        <f t="shared" si="20"/>
        <v>91</v>
      </c>
      <c r="I30" s="309" t="str">
        <f t="shared" si="21"/>
        <v>62 - 91</v>
      </c>
      <c r="J30" s="305" t="str">
        <f t="shared" si="22"/>
        <v>55 - 91</v>
      </c>
      <c r="K30" s="306">
        <f t="shared" si="23"/>
        <v>-2.9914529914529879</v>
      </c>
      <c r="L30" s="314">
        <f t="shared" si="24"/>
        <v>-0.39492686189533854</v>
      </c>
      <c r="M30" s="314">
        <f t="shared" si="25"/>
        <v>0.3350978020662787</v>
      </c>
      <c r="N30" s="308">
        <f t="shared" si="26"/>
        <v>0</v>
      </c>
      <c r="O30" s="301" t="str">
        <f t="shared" si="27"/>
        <v>Balfour</v>
      </c>
      <c r="P30" s="301" t="s">
        <v>117</v>
      </c>
      <c r="Q30" s="403">
        <v>21</v>
      </c>
      <c r="R30" s="403">
        <v>26</v>
      </c>
      <c r="S30" s="403">
        <v>14</v>
      </c>
      <c r="T30" s="403">
        <v>18</v>
      </c>
      <c r="U30" s="856">
        <v>27</v>
      </c>
    </row>
    <row r="31" spans="1:21" ht="12">
      <c r="A31" s="301" t="str">
        <f t="shared" si="0"/>
        <v>Ayr</v>
      </c>
      <c r="B31" s="302">
        <f t="shared" si="15"/>
        <v>78.723404255319153</v>
      </c>
      <c r="C31" s="302">
        <f t="shared" si="16"/>
        <v>45.714285714285715</v>
      </c>
      <c r="D31" s="302">
        <f>95</f>
        <v>95</v>
      </c>
      <c r="E31" s="303">
        <f t="shared" si="17"/>
        <v>72</v>
      </c>
      <c r="F31" s="303">
        <f t="shared" si="18"/>
        <v>84</v>
      </c>
      <c r="G31" s="303">
        <f t="shared" si="19"/>
        <v>30</v>
      </c>
      <c r="H31" s="303">
        <f t="shared" si="20"/>
        <v>62</v>
      </c>
      <c r="I31" s="309" t="str">
        <f t="shared" si="21"/>
        <v>72 - 84</v>
      </c>
      <c r="J31" s="305" t="str">
        <f t="shared" si="22"/>
        <v>30 - 62</v>
      </c>
      <c r="K31" s="306">
        <f t="shared" si="23"/>
        <v>-33.009118541033438</v>
      </c>
      <c r="L31" s="314">
        <f t="shared" si="24"/>
        <v>-0.59137553468104498</v>
      </c>
      <c r="M31" s="314">
        <f t="shared" si="25"/>
        <v>-6.8806836139623795E-2</v>
      </c>
      <c r="N31" s="308">
        <f t="shared" si="26"/>
        <v>-1</v>
      </c>
      <c r="O31" s="301" t="str">
        <f t="shared" si="27"/>
        <v>Ayr</v>
      </c>
      <c r="P31" s="301" t="s">
        <v>57</v>
      </c>
      <c r="Q31" s="403">
        <v>148</v>
      </c>
      <c r="R31" s="403">
        <v>188</v>
      </c>
      <c r="S31" s="403">
        <v>16</v>
      </c>
      <c r="T31" s="403">
        <v>35</v>
      </c>
      <c r="U31" s="856">
        <v>28</v>
      </c>
    </row>
    <row r="33" spans="15:24" ht="15">
      <c r="O33"/>
      <c r="P33"/>
      <c r="Q33"/>
      <c r="R33"/>
      <c r="S33"/>
      <c r="T33"/>
      <c r="U33"/>
      <c r="V33"/>
      <c r="W33"/>
      <c r="X33"/>
    </row>
    <row r="34" spans="15:24" ht="15">
      <c r="O34"/>
      <c r="P34"/>
      <c r="Q34"/>
      <c r="R34"/>
      <c r="S34"/>
      <c r="T34"/>
      <c r="U34"/>
      <c r="V34"/>
      <c r="W34"/>
      <c r="X34"/>
    </row>
    <row r="35" spans="15:24" ht="15">
      <c r="O35"/>
      <c r="P35"/>
      <c r="Q35"/>
      <c r="R35"/>
      <c r="S35"/>
      <c r="T35"/>
      <c r="U35"/>
      <c r="V35"/>
      <c r="W35"/>
      <c r="X35"/>
    </row>
    <row r="36" spans="15:24" ht="15" customHeight="1">
      <c r="O36" s="898"/>
      <c r="P36" s="898"/>
      <c r="Q36" s="898"/>
      <c r="R36" s="898"/>
      <c r="S36" s="898"/>
      <c r="T36" s="898"/>
      <c r="U36" s="656"/>
      <c r="V36"/>
      <c r="W36"/>
      <c r="X36"/>
    </row>
    <row r="37" spans="15:24" ht="15">
      <c r="O37" s="899"/>
      <c r="P37" s="900"/>
      <c r="Q37" s="900"/>
      <c r="R37" s="900"/>
      <c r="S37" s="900"/>
      <c r="T37" s="900"/>
      <c r="U37" s="656"/>
      <c r="V37"/>
      <c r="W37"/>
      <c r="X37"/>
    </row>
    <row r="38" spans="15:24" ht="15.75" customHeight="1">
      <c r="O38" s="901"/>
      <c r="P38" s="901"/>
      <c r="Q38" s="901"/>
      <c r="R38" s="902"/>
      <c r="S38" s="902"/>
      <c r="T38" s="902"/>
      <c r="U38" s="656"/>
      <c r="V38"/>
      <c r="W38"/>
      <c r="X38"/>
    </row>
    <row r="39" spans="15:24" ht="15">
      <c r="O39" s="901"/>
      <c r="P39" s="901"/>
      <c r="Q39" s="901"/>
      <c r="R39" s="902"/>
      <c r="S39" s="902"/>
      <c r="T39" s="902"/>
      <c r="U39" s="656"/>
      <c r="V39"/>
      <c r="W39"/>
      <c r="X39"/>
    </row>
    <row r="40" spans="15:24" ht="15">
      <c r="O40" s="903"/>
      <c r="P40" s="903"/>
      <c r="Q40" s="903"/>
      <c r="R40" s="904"/>
      <c r="S40" s="904"/>
      <c r="T40" s="904"/>
      <c r="U40" s="656"/>
      <c r="V40"/>
      <c r="W40"/>
      <c r="X40"/>
    </row>
    <row r="41" spans="15:24" ht="15">
      <c r="O41" s="903"/>
      <c r="P41" s="903"/>
      <c r="Q41" s="903"/>
      <c r="R41" s="904"/>
      <c r="S41" s="904"/>
      <c r="T41" s="904"/>
      <c r="U41" s="656"/>
      <c r="V41"/>
      <c r="W41"/>
      <c r="X41"/>
    </row>
    <row r="42" spans="15:24" ht="15">
      <c r="O42" s="903"/>
      <c r="P42" s="903"/>
      <c r="Q42" s="903"/>
      <c r="R42" s="904"/>
      <c r="S42" s="904"/>
      <c r="T42" s="904"/>
      <c r="U42" s="656"/>
      <c r="V42"/>
      <c r="W42"/>
      <c r="X42"/>
    </row>
    <row r="43" spans="15:24" ht="15">
      <c r="O43" s="903"/>
      <c r="P43" s="903"/>
      <c r="Q43" s="903"/>
      <c r="R43" s="904"/>
      <c r="S43" s="904"/>
      <c r="T43" s="904"/>
      <c r="U43" s="656"/>
      <c r="V43"/>
      <c r="W43"/>
      <c r="X43"/>
    </row>
    <row r="44" spans="15:24" ht="15">
      <c r="O44" s="903"/>
      <c r="P44" s="903"/>
      <c r="Q44" s="903"/>
      <c r="R44" s="904"/>
      <c r="S44" s="904"/>
      <c r="T44" s="904"/>
      <c r="U44" s="656"/>
      <c r="V44"/>
      <c r="W44"/>
      <c r="X44"/>
    </row>
    <row r="45" spans="15:24" ht="15">
      <c r="O45" s="903"/>
      <c r="P45" s="903"/>
      <c r="Q45" s="903"/>
      <c r="R45" s="904"/>
      <c r="S45" s="904"/>
      <c r="T45" s="904"/>
      <c r="U45" s="656"/>
      <c r="V45"/>
      <c r="W45"/>
      <c r="X45"/>
    </row>
    <row r="46" spans="15:24" ht="15">
      <c r="O46" s="903"/>
      <c r="P46" s="903"/>
      <c r="Q46" s="903"/>
      <c r="R46" s="904"/>
      <c r="S46" s="904"/>
      <c r="T46" s="904"/>
      <c r="U46" s="656"/>
      <c r="V46"/>
      <c r="W46"/>
      <c r="X46"/>
    </row>
    <row r="47" spans="15:24" ht="15">
      <c r="O47" s="903"/>
      <c r="P47" s="903"/>
      <c r="Q47" s="903"/>
      <c r="R47" s="904"/>
      <c r="S47" s="904"/>
      <c r="T47" s="904"/>
      <c r="U47" s="656"/>
      <c r="V47"/>
      <c r="W47"/>
      <c r="X47"/>
    </row>
    <row r="48" spans="15:24" ht="15">
      <c r="O48" s="903"/>
      <c r="P48" s="903"/>
      <c r="Q48" s="903"/>
      <c r="R48" s="904"/>
      <c r="S48" s="904"/>
      <c r="T48" s="904"/>
      <c r="U48" s="656"/>
      <c r="V48"/>
      <c r="W48"/>
      <c r="X48"/>
    </row>
    <row r="49" spans="15:24" ht="15">
      <c r="O49" s="903"/>
      <c r="P49" s="903"/>
      <c r="Q49" s="903"/>
      <c r="R49" s="904"/>
      <c r="S49" s="904"/>
      <c r="T49" s="904"/>
      <c r="U49" s="656"/>
      <c r="V49"/>
      <c r="W49"/>
      <c r="X49"/>
    </row>
    <row r="50" spans="15:24" ht="15">
      <c r="O50" s="903"/>
      <c r="P50" s="903"/>
      <c r="Q50" s="903"/>
      <c r="R50" s="904"/>
      <c r="S50" s="904"/>
      <c r="T50" s="904"/>
      <c r="U50" s="656"/>
      <c r="V50"/>
      <c r="W50"/>
      <c r="X50"/>
    </row>
    <row r="51" spans="15:24" ht="15">
      <c r="O51" s="903"/>
      <c r="P51" s="903"/>
      <c r="Q51" s="903"/>
      <c r="R51" s="904"/>
      <c r="S51" s="904"/>
      <c r="T51" s="904"/>
      <c r="U51" s="656"/>
      <c r="V51"/>
      <c r="W51"/>
      <c r="X51"/>
    </row>
    <row r="52" spans="15:24" ht="15">
      <c r="O52" s="903"/>
      <c r="P52" s="903"/>
      <c r="Q52" s="903"/>
      <c r="R52" s="904"/>
      <c r="S52" s="904"/>
      <c r="T52" s="904"/>
      <c r="U52" s="656"/>
      <c r="V52"/>
      <c r="W52"/>
      <c r="X52"/>
    </row>
    <row r="53" spans="15:24" ht="15">
      <c r="O53" s="903"/>
      <c r="P53" s="903"/>
      <c r="Q53" s="903"/>
      <c r="R53" s="904"/>
      <c r="S53" s="904"/>
      <c r="T53" s="904"/>
      <c r="U53" s="656"/>
      <c r="V53"/>
      <c r="W53"/>
      <c r="X53"/>
    </row>
    <row r="54" spans="15:24" ht="15">
      <c r="O54" s="903"/>
      <c r="P54" s="903"/>
      <c r="Q54" s="903"/>
      <c r="R54" s="904"/>
      <c r="S54" s="904"/>
      <c r="T54" s="904"/>
      <c r="U54" s="656"/>
      <c r="V54"/>
      <c r="W54"/>
      <c r="X54"/>
    </row>
    <row r="55" spans="15:24" ht="15">
      <c r="O55" s="903"/>
      <c r="P55" s="903"/>
      <c r="Q55" s="903"/>
      <c r="R55" s="904"/>
      <c r="S55" s="904"/>
      <c r="T55" s="904"/>
      <c r="U55" s="656"/>
      <c r="V55"/>
      <c r="W55"/>
      <c r="X55"/>
    </row>
    <row r="56" spans="15:24" ht="15">
      <c r="O56" s="903"/>
      <c r="P56" s="903"/>
      <c r="Q56" s="903"/>
      <c r="R56" s="904"/>
      <c r="S56" s="904"/>
      <c r="T56" s="904"/>
      <c r="U56" s="656"/>
      <c r="V56"/>
      <c r="W56"/>
      <c r="X56"/>
    </row>
    <row r="57" spans="15:24" ht="15">
      <c r="O57" s="903"/>
      <c r="P57" s="903"/>
      <c r="Q57" s="903"/>
      <c r="R57" s="904"/>
      <c r="S57" s="904"/>
      <c r="T57" s="904"/>
      <c r="U57" s="656"/>
      <c r="V57"/>
      <c r="W57"/>
      <c r="X57"/>
    </row>
    <row r="58" spans="15:24" ht="15">
      <c r="O58" s="903"/>
      <c r="P58" s="903"/>
      <c r="Q58" s="903"/>
      <c r="R58" s="904"/>
      <c r="S58" s="904"/>
      <c r="T58" s="904"/>
      <c r="U58" s="656"/>
      <c r="V58"/>
      <c r="W58"/>
      <c r="X58"/>
    </row>
    <row r="59" spans="15:24" ht="15">
      <c r="O59" s="903"/>
      <c r="P59" s="903"/>
      <c r="Q59" s="903"/>
      <c r="R59" s="904"/>
      <c r="S59" s="904"/>
      <c r="T59" s="904"/>
      <c r="U59" s="656"/>
      <c r="V59"/>
      <c r="W59"/>
      <c r="X59"/>
    </row>
    <row r="60" spans="15:24" ht="15">
      <c r="O60" s="903"/>
      <c r="P60" s="903"/>
      <c r="Q60" s="903"/>
      <c r="R60" s="904"/>
      <c r="S60" s="904"/>
      <c r="T60" s="904"/>
      <c r="U60" s="656"/>
      <c r="V60"/>
      <c r="W60"/>
      <c r="X60"/>
    </row>
    <row r="61" spans="15:24" ht="15">
      <c r="O61" s="903"/>
      <c r="P61" s="903"/>
      <c r="Q61" s="903"/>
      <c r="R61" s="904"/>
      <c r="S61" s="904"/>
      <c r="T61" s="904"/>
      <c r="U61" s="656"/>
      <c r="V61"/>
      <c r="W61"/>
      <c r="X61"/>
    </row>
    <row r="62" spans="15:24" ht="15">
      <c r="O62" s="903"/>
      <c r="P62" s="903"/>
      <c r="Q62" s="903"/>
      <c r="R62" s="904"/>
      <c r="S62" s="904"/>
      <c r="T62" s="904"/>
      <c r="U62" s="656"/>
      <c r="V62"/>
      <c r="W62"/>
      <c r="X62"/>
    </row>
    <row r="63" spans="15:24" ht="12.75">
      <c r="O63" s="903"/>
      <c r="P63" s="903"/>
      <c r="Q63" s="903"/>
      <c r="R63" s="904"/>
      <c r="S63" s="904"/>
      <c r="T63" s="904"/>
      <c r="U63" s="656"/>
    </row>
    <row r="64" spans="15:24" ht="12.75">
      <c r="O64" s="903"/>
      <c r="P64" s="903"/>
      <c r="Q64" s="903"/>
      <c r="R64" s="904"/>
      <c r="S64" s="904"/>
      <c r="T64" s="904"/>
      <c r="U64" s="656"/>
    </row>
    <row r="65" spans="15:21" ht="12.75">
      <c r="O65" s="903"/>
      <c r="P65" s="903"/>
      <c r="Q65" s="903"/>
      <c r="R65" s="904"/>
      <c r="S65" s="904"/>
      <c r="T65" s="904"/>
      <c r="U65" s="656"/>
    </row>
    <row r="66" spans="15:21" ht="12.75">
      <c r="O66" s="903"/>
      <c r="P66" s="903"/>
      <c r="Q66" s="903"/>
      <c r="R66" s="904"/>
      <c r="S66" s="904"/>
      <c r="T66" s="904"/>
      <c r="U66" s="656"/>
    </row>
    <row r="67" spans="15:21" ht="12.75">
      <c r="O67" s="903"/>
      <c r="P67" s="903"/>
      <c r="Q67" s="903"/>
      <c r="R67" s="904"/>
      <c r="S67" s="904"/>
      <c r="T67" s="904"/>
      <c r="U67" s="656"/>
    </row>
    <row r="68" spans="15:21" ht="12.75">
      <c r="O68" s="903"/>
      <c r="P68" s="903"/>
      <c r="Q68" s="903"/>
      <c r="R68" s="904"/>
      <c r="S68" s="904"/>
      <c r="T68" s="904"/>
      <c r="U68" s="656"/>
    </row>
    <row r="69" spans="15:21" ht="12.75">
      <c r="O69" s="903"/>
      <c r="P69" s="903"/>
      <c r="Q69" s="903"/>
      <c r="R69" s="904"/>
      <c r="S69" s="904"/>
      <c r="T69" s="904"/>
      <c r="U69" s="656"/>
    </row>
    <row r="70" spans="15:21" ht="12.75">
      <c r="O70" s="903"/>
      <c r="P70" s="903"/>
      <c r="Q70" s="903"/>
      <c r="R70" s="904"/>
      <c r="S70" s="904"/>
      <c r="T70" s="904"/>
      <c r="U70" s="656"/>
    </row>
    <row r="71" spans="15:21" ht="12.75">
      <c r="O71" s="903"/>
      <c r="P71" s="903"/>
      <c r="Q71" s="903"/>
      <c r="R71" s="904"/>
      <c r="S71" s="904"/>
      <c r="T71" s="904"/>
      <c r="U71" s="656"/>
    </row>
    <row r="72" spans="15:21" ht="12.75">
      <c r="O72" s="903"/>
      <c r="P72" s="903"/>
      <c r="Q72" s="903"/>
      <c r="R72" s="904"/>
      <c r="S72" s="904"/>
      <c r="T72" s="904"/>
      <c r="U72" s="656"/>
    </row>
    <row r="73" spans="15:21" ht="12.75">
      <c r="O73" s="903"/>
      <c r="P73" s="903"/>
      <c r="Q73" s="903"/>
      <c r="R73" s="904"/>
      <c r="S73" s="904"/>
      <c r="T73" s="904"/>
      <c r="U73" s="656"/>
    </row>
    <row r="74" spans="15:21" ht="12.75">
      <c r="O74" s="903"/>
      <c r="P74" s="903"/>
      <c r="Q74" s="903"/>
      <c r="R74" s="904"/>
      <c r="S74" s="904"/>
      <c r="T74" s="904"/>
      <c r="U74" s="656"/>
    </row>
    <row r="75" spans="15:21" ht="12.75">
      <c r="O75" s="903"/>
      <c r="P75" s="903"/>
      <c r="Q75" s="903"/>
      <c r="R75" s="904"/>
      <c r="S75" s="904"/>
      <c r="T75" s="904"/>
      <c r="U75" s="656"/>
    </row>
    <row r="76" spans="15:21" ht="12.75">
      <c r="O76" s="903"/>
      <c r="P76" s="903"/>
      <c r="Q76" s="903"/>
      <c r="R76" s="904"/>
      <c r="S76" s="904"/>
      <c r="T76" s="904"/>
      <c r="U76" s="656"/>
    </row>
    <row r="77" spans="15:21" ht="12.75">
      <c r="O77" s="903"/>
      <c r="P77" s="903"/>
      <c r="Q77" s="903"/>
      <c r="R77" s="904"/>
      <c r="S77" s="904"/>
      <c r="T77" s="904"/>
      <c r="U77" s="656"/>
    </row>
    <row r="78" spans="15:21" ht="12.75">
      <c r="O78" s="903"/>
      <c r="P78" s="903"/>
      <c r="Q78" s="903"/>
      <c r="R78" s="904"/>
      <c r="S78" s="904"/>
      <c r="T78" s="904"/>
      <c r="U78" s="656"/>
    </row>
    <row r="79" spans="15:21" ht="12.75">
      <c r="O79" s="903"/>
      <c r="P79" s="903"/>
      <c r="Q79" s="903"/>
      <c r="R79" s="904"/>
      <c r="S79" s="904"/>
      <c r="T79" s="904"/>
      <c r="U79" s="656"/>
    </row>
    <row r="80" spans="15:21" ht="12.75">
      <c r="O80" s="903"/>
      <c r="P80" s="903"/>
      <c r="Q80" s="903"/>
      <c r="R80" s="904"/>
      <c r="S80" s="904"/>
      <c r="T80" s="904"/>
      <c r="U80" s="656"/>
    </row>
    <row r="81" spans="15:21" ht="12.75">
      <c r="O81" s="903"/>
      <c r="P81" s="903"/>
      <c r="Q81" s="903"/>
      <c r="R81" s="904"/>
      <c r="S81" s="904"/>
      <c r="T81" s="904"/>
      <c r="U81" s="656"/>
    </row>
    <row r="82" spans="15:21" ht="12.75">
      <c r="O82" s="903"/>
      <c r="P82" s="903"/>
      <c r="Q82" s="903"/>
      <c r="R82" s="904"/>
      <c r="S82" s="904"/>
      <c r="T82" s="904"/>
      <c r="U82" s="656"/>
    </row>
    <row r="83" spans="15:21" ht="12.75">
      <c r="O83" s="903"/>
      <c r="P83" s="903"/>
      <c r="Q83" s="903"/>
      <c r="R83" s="904"/>
      <c r="S83" s="904"/>
      <c r="T83" s="904"/>
      <c r="U83" s="656"/>
    </row>
    <row r="84" spans="15:21" ht="12.75">
      <c r="O84" s="903"/>
      <c r="P84" s="903"/>
      <c r="Q84" s="903"/>
      <c r="R84" s="904"/>
      <c r="S84" s="904"/>
      <c r="T84" s="904"/>
      <c r="U84" s="656"/>
    </row>
    <row r="85" spans="15:21" ht="12.75">
      <c r="O85" s="903"/>
      <c r="P85" s="903"/>
      <c r="Q85" s="903"/>
      <c r="R85" s="904"/>
      <c r="S85" s="904"/>
      <c r="T85" s="904"/>
      <c r="U85" s="656"/>
    </row>
    <row r="86" spans="15:21" ht="12.75">
      <c r="O86" s="903"/>
      <c r="P86" s="903"/>
      <c r="Q86" s="903"/>
      <c r="R86" s="904"/>
      <c r="S86" s="904"/>
      <c r="T86" s="904"/>
      <c r="U86" s="656"/>
    </row>
    <row r="87" spans="15:21" ht="12.75">
      <c r="O87" s="903"/>
      <c r="P87" s="903"/>
      <c r="Q87" s="903"/>
      <c r="R87" s="904"/>
      <c r="S87" s="904"/>
      <c r="T87" s="904"/>
      <c r="U87" s="656"/>
    </row>
    <row r="88" spans="15:21" ht="12.75">
      <c r="O88" s="903"/>
      <c r="P88" s="903"/>
      <c r="Q88" s="903"/>
      <c r="R88" s="904"/>
      <c r="S88" s="904"/>
      <c r="T88" s="904"/>
      <c r="U88" s="656"/>
    </row>
    <row r="89" spans="15:21" ht="12.75">
      <c r="O89" s="903"/>
      <c r="P89" s="903"/>
      <c r="Q89" s="903"/>
      <c r="R89" s="904"/>
      <c r="S89" s="904"/>
      <c r="T89" s="904"/>
      <c r="U89" s="656"/>
    </row>
    <row r="90" spans="15:21" ht="12.75">
      <c r="O90" s="903"/>
      <c r="P90" s="903"/>
      <c r="Q90" s="903"/>
      <c r="R90" s="904"/>
      <c r="S90" s="904"/>
      <c r="T90" s="904"/>
      <c r="U90" s="656"/>
    </row>
    <row r="91" spans="15:21" ht="12.75">
      <c r="O91" s="903"/>
      <c r="P91" s="903"/>
      <c r="Q91" s="903"/>
      <c r="R91" s="904"/>
      <c r="S91" s="904"/>
      <c r="T91" s="904"/>
      <c r="U91" s="656"/>
    </row>
    <row r="92" spans="15:21" ht="12.75">
      <c r="O92" s="903"/>
      <c r="P92" s="903"/>
      <c r="Q92" s="903"/>
      <c r="R92" s="904"/>
      <c r="S92" s="904"/>
      <c r="T92" s="904"/>
      <c r="U92" s="656"/>
    </row>
    <row r="93" spans="15:21" ht="12.75">
      <c r="O93" s="903"/>
      <c r="P93" s="903"/>
      <c r="Q93" s="903"/>
      <c r="R93" s="904"/>
      <c r="S93" s="904"/>
      <c r="T93" s="904"/>
      <c r="U93" s="656"/>
    </row>
    <row r="94" spans="15:21" ht="12.75">
      <c r="O94" s="903"/>
      <c r="P94" s="903"/>
      <c r="Q94" s="903"/>
      <c r="R94" s="904"/>
      <c r="S94" s="904"/>
      <c r="T94" s="904"/>
      <c r="U94" s="656"/>
    </row>
    <row r="95" spans="15:21" ht="12.75">
      <c r="O95" s="903"/>
      <c r="P95" s="903"/>
      <c r="Q95" s="903"/>
      <c r="R95" s="904"/>
      <c r="S95" s="904"/>
      <c r="T95" s="904"/>
      <c r="U95" s="656"/>
    </row>
    <row r="96" spans="15:21" ht="12.75">
      <c r="O96" s="903"/>
      <c r="P96" s="903"/>
      <c r="Q96" s="903"/>
      <c r="R96" s="904"/>
      <c r="S96" s="904"/>
      <c r="T96" s="904"/>
      <c r="U96" s="656"/>
    </row>
    <row r="97" spans="15:21" ht="12.75">
      <c r="O97" s="903"/>
      <c r="P97" s="903"/>
      <c r="Q97" s="903"/>
      <c r="R97" s="904"/>
      <c r="S97" s="904"/>
      <c r="T97" s="904"/>
      <c r="U97" s="656"/>
    </row>
    <row r="98" spans="15:21" ht="12.75">
      <c r="O98" s="903"/>
      <c r="P98" s="903"/>
      <c r="Q98" s="903"/>
      <c r="R98" s="904"/>
      <c r="S98" s="904"/>
      <c r="T98" s="904"/>
      <c r="U98" s="656"/>
    </row>
    <row r="99" spans="15:21" ht="12.75">
      <c r="O99" s="903"/>
      <c r="P99" s="903"/>
      <c r="Q99" s="903"/>
      <c r="R99" s="904"/>
      <c r="S99" s="904"/>
      <c r="T99" s="904"/>
      <c r="U99" s="656"/>
    </row>
    <row r="100" spans="15:21" ht="12.75">
      <c r="O100" s="903"/>
      <c r="P100" s="903"/>
      <c r="Q100" s="903"/>
      <c r="R100" s="904"/>
      <c r="S100" s="904"/>
      <c r="T100" s="904"/>
      <c r="U100" s="656"/>
    </row>
    <row r="101" spans="15:21" ht="12.75">
      <c r="O101" s="903"/>
      <c r="P101" s="903"/>
      <c r="Q101" s="903"/>
      <c r="R101" s="904"/>
      <c r="S101" s="904"/>
      <c r="T101" s="904"/>
      <c r="U101" s="656"/>
    </row>
    <row r="102" spans="15:21" ht="12.75">
      <c r="O102" s="903"/>
      <c r="P102" s="903"/>
      <c r="Q102" s="903"/>
      <c r="R102" s="904"/>
      <c r="S102" s="904"/>
      <c r="T102" s="904"/>
      <c r="U102" s="656"/>
    </row>
    <row r="103" spans="15:21" ht="12.75">
      <c r="O103" s="903"/>
      <c r="P103" s="903"/>
      <c r="Q103" s="903"/>
      <c r="R103" s="904"/>
      <c r="S103" s="904"/>
      <c r="T103" s="904"/>
      <c r="U103" s="656"/>
    </row>
    <row r="104" spans="15:21" ht="12.75">
      <c r="O104" s="903"/>
      <c r="P104" s="903"/>
      <c r="Q104" s="903"/>
      <c r="R104" s="904"/>
      <c r="S104" s="904"/>
      <c r="T104" s="904"/>
      <c r="U104" s="656"/>
    </row>
    <row r="105" spans="15:21" ht="12.75">
      <c r="O105" s="903"/>
      <c r="P105" s="903"/>
      <c r="Q105" s="903"/>
      <c r="R105" s="904"/>
      <c r="S105" s="904"/>
      <c r="T105" s="904"/>
      <c r="U105" s="656"/>
    </row>
    <row r="106" spans="15:21" ht="12.75">
      <c r="O106" s="903"/>
      <c r="P106" s="903"/>
      <c r="Q106" s="903"/>
      <c r="R106" s="904"/>
      <c r="S106" s="904"/>
      <c r="T106" s="904"/>
      <c r="U106" s="656"/>
    </row>
    <row r="107" spans="15:21" ht="12.75">
      <c r="O107" s="903"/>
      <c r="P107" s="903"/>
      <c r="Q107" s="903"/>
      <c r="R107" s="904"/>
      <c r="S107" s="904"/>
      <c r="T107" s="904"/>
      <c r="U107" s="656"/>
    </row>
    <row r="108" spans="15:21" ht="12.75">
      <c r="O108" s="903"/>
      <c r="P108" s="903"/>
      <c r="Q108" s="903"/>
      <c r="R108" s="904"/>
      <c r="S108" s="904"/>
      <c r="T108" s="904"/>
      <c r="U108" s="656"/>
    </row>
    <row r="109" spans="15:21" ht="12.75">
      <c r="O109" s="903"/>
      <c r="P109" s="903"/>
      <c r="Q109" s="903"/>
      <c r="R109" s="904"/>
      <c r="S109" s="904"/>
      <c r="T109" s="904"/>
      <c r="U109" s="656"/>
    </row>
    <row r="110" spans="15:21" ht="12.75">
      <c r="O110" s="903"/>
      <c r="P110" s="903"/>
      <c r="Q110" s="903"/>
      <c r="R110" s="904"/>
      <c r="S110" s="904"/>
      <c r="T110" s="904"/>
      <c r="U110" s="656"/>
    </row>
    <row r="111" spans="15:21" ht="12.75">
      <c r="O111" s="903"/>
      <c r="P111" s="903"/>
      <c r="Q111" s="903"/>
      <c r="R111" s="904"/>
      <c r="S111" s="904"/>
      <c r="T111" s="904"/>
      <c r="U111" s="656"/>
    </row>
    <row r="112" spans="15:21" ht="12.75">
      <c r="O112" s="903"/>
      <c r="P112" s="903"/>
      <c r="Q112" s="903"/>
      <c r="R112" s="904"/>
      <c r="S112" s="904"/>
      <c r="T112" s="904"/>
      <c r="U112" s="656"/>
    </row>
    <row r="113" spans="15:21" ht="12.75">
      <c r="O113" s="903"/>
      <c r="P113" s="903"/>
      <c r="Q113" s="903"/>
      <c r="R113" s="904"/>
      <c r="S113" s="904"/>
      <c r="T113" s="904"/>
      <c r="U113" s="656"/>
    </row>
    <row r="114" spans="15:21" ht="12.75">
      <c r="O114" s="903"/>
      <c r="P114" s="903"/>
      <c r="Q114" s="903"/>
      <c r="R114" s="904"/>
      <c r="S114" s="904"/>
      <c r="T114" s="904"/>
      <c r="U114" s="656"/>
    </row>
    <row r="115" spans="15:21" ht="12.75">
      <c r="O115" s="903"/>
      <c r="P115" s="903"/>
      <c r="Q115" s="903"/>
      <c r="R115" s="904"/>
      <c r="S115" s="904"/>
      <c r="T115" s="904"/>
      <c r="U115" s="656"/>
    </row>
    <row r="116" spans="15:21" ht="12.75">
      <c r="O116" s="903"/>
      <c r="P116" s="903"/>
      <c r="Q116" s="903"/>
      <c r="R116" s="904"/>
      <c r="S116" s="904"/>
      <c r="T116" s="904"/>
      <c r="U116" s="656"/>
    </row>
    <row r="117" spans="15:21" ht="12.75">
      <c r="O117" s="903"/>
      <c r="P117" s="903"/>
      <c r="Q117" s="903"/>
      <c r="R117" s="904"/>
      <c r="S117" s="904"/>
      <c r="T117" s="904"/>
      <c r="U117" s="656"/>
    </row>
    <row r="118" spans="15:21" ht="12.75">
      <c r="O118" s="903"/>
      <c r="P118" s="903"/>
      <c r="Q118" s="903"/>
      <c r="R118" s="904"/>
      <c r="S118" s="904"/>
      <c r="T118" s="904"/>
      <c r="U118" s="656"/>
    </row>
    <row r="119" spans="15:21" ht="12.75">
      <c r="O119" s="903"/>
      <c r="P119" s="903"/>
      <c r="Q119" s="903"/>
      <c r="R119" s="904"/>
      <c r="S119" s="904"/>
      <c r="T119" s="904"/>
      <c r="U119" s="656"/>
    </row>
    <row r="120" spans="15:21" ht="12.75">
      <c r="O120" s="903"/>
      <c r="P120" s="903"/>
      <c r="Q120" s="903"/>
      <c r="R120" s="904"/>
      <c r="S120" s="904"/>
      <c r="T120" s="904"/>
      <c r="U120" s="656"/>
    </row>
    <row r="121" spans="15:21" ht="12.75">
      <c r="O121" s="903"/>
      <c r="P121" s="903"/>
      <c r="Q121" s="903"/>
      <c r="R121" s="904"/>
      <c r="S121" s="904"/>
      <c r="T121" s="904"/>
      <c r="U121" s="656"/>
    </row>
    <row r="122" spans="15:21" ht="12.75">
      <c r="O122" s="903"/>
      <c r="P122" s="903"/>
      <c r="Q122" s="903"/>
      <c r="R122" s="904"/>
      <c r="S122" s="904"/>
      <c r="T122" s="904"/>
      <c r="U122" s="656"/>
    </row>
    <row r="123" spans="15:21" ht="12.75">
      <c r="O123" s="903"/>
      <c r="P123" s="903"/>
      <c r="Q123" s="903"/>
      <c r="R123" s="904"/>
      <c r="S123" s="904"/>
      <c r="T123" s="904"/>
      <c r="U123" s="656"/>
    </row>
    <row r="124" spans="15:21" ht="12.75">
      <c r="O124" s="903"/>
      <c r="P124" s="903"/>
      <c r="Q124" s="903"/>
      <c r="R124" s="904"/>
      <c r="S124" s="904"/>
      <c r="T124" s="904"/>
      <c r="U124" s="656"/>
    </row>
    <row r="125" spans="15:21" ht="12.75">
      <c r="O125" s="903"/>
      <c r="P125" s="903"/>
      <c r="Q125" s="903"/>
      <c r="R125" s="904"/>
      <c r="S125" s="904"/>
      <c r="T125" s="904"/>
      <c r="U125" s="656"/>
    </row>
    <row r="126" spans="15:21" ht="12.75">
      <c r="O126" s="903"/>
      <c r="P126" s="903"/>
      <c r="Q126" s="903"/>
      <c r="R126" s="904"/>
      <c r="S126" s="904"/>
      <c r="T126" s="904"/>
      <c r="U126" s="656"/>
    </row>
    <row r="127" spans="15:21" ht="12.75">
      <c r="O127" s="903"/>
      <c r="P127" s="903"/>
      <c r="Q127" s="903"/>
      <c r="R127" s="904"/>
      <c r="S127" s="904"/>
      <c r="T127" s="904"/>
      <c r="U127" s="656"/>
    </row>
    <row r="128" spans="15:21" ht="12.75">
      <c r="O128" s="903"/>
      <c r="P128" s="903"/>
      <c r="Q128" s="903"/>
      <c r="R128" s="904"/>
      <c r="S128" s="904"/>
      <c r="T128" s="904"/>
      <c r="U128" s="656"/>
    </row>
    <row r="129" spans="15:21" ht="12.75">
      <c r="O129" s="903"/>
      <c r="P129" s="903"/>
      <c r="Q129" s="903"/>
      <c r="R129" s="904"/>
      <c r="S129" s="904"/>
      <c r="T129" s="904"/>
      <c r="U129" s="656"/>
    </row>
  </sheetData>
  <sheetProtection password="B8D9" sheet="1" objects="1" scenarios="1"/>
  <sortState ref="A4:U31">
    <sortCondition ref="U4:U31"/>
  </sortState>
  <mergeCells count="7">
    <mergeCell ref="A1:A2"/>
    <mergeCell ref="B1:H1"/>
    <mergeCell ref="O1:P1"/>
    <mergeCell ref="Q1:R1"/>
    <mergeCell ref="S1:T1"/>
    <mergeCell ref="E2:F2"/>
    <mergeCell ref="G2:H2"/>
  </mergeCells>
  <conditionalFormatting sqref="A3:A31">
    <cfRule type="expression" dxfId="20" priority="1" stopIfTrue="1">
      <formula>N3=-1</formula>
    </cfRule>
    <cfRule type="expression" dxfId="19" priority="2" stopIfTrue="1">
      <formula>N3=0</formula>
    </cfRule>
    <cfRule type="expression" dxfId="18" priority="3" stopIfTrue="1">
      <formula>N3=1</formula>
    </cfRule>
  </conditionalFormatting>
  <pageMargins left="0.70866141732283472" right="0.70866141732283472" top="0.74803149606299213" bottom="0.74803149606299213" header="0.31496062992125984" footer="0.31496062992125984"/>
  <pageSetup paperSize="9" scale="14"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31.xml><?xml version="1.0" encoding="utf-8"?>
<worksheet xmlns="http://schemas.openxmlformats.org/spreadsheetml/2006/main" xmlns:r="http://schemas.openxmlformats.org/officeDocument/2006/relationships">
  <sheetPr codeName="Sheet30">
    <pageSetUpPr fitToPage="1"/>
  </sheetPr>
  <dimension ref="B1:AA51"/>
  <sheetViews>
    <sheetView workbookViewId="0"/>
  </sheetViews>
  <sheetFormatPr defaultRowHeight="12.75"/>
  <cols>
    <col min="1" max="1" width="2.7109375" style="698" customWidth="1"/>
    <col min="2" max="16384" width="9.140625" style="698"/>
  </cols>
  <sheetData>
    <row r="1" spans="2:27" s="704" customFormat="1" ht="26.1" customHeight="1">
      <c r="B1" s="969" t="s">
        <v>767</v>
      </c>
      <c r="C1" s="969"/>
      <c r="D1" s="969"/>
      <c r="E1" s="969"/>
      <c r="F1" s="969"/>
      <c r="G1" s="969"/>
      <c r="H1" s="969"/>
      <c r="I1" s="969"/>
      <c r="J1" s="969"/>
      <c r="K1" s="969"/>
      <c r="L1" s="969"/>
      <c r="M1" s="969"/>
      <c r="N1" s="969"/>
      <c r="O1" s="969"/>
      <c r="P1" s="985" t="s">
        <v>45</v>
      </c>
      <c r="Q1" s="26"/>
      <c r="R1" s="26"/>
      <c r="S1" s="26"/>
      <c r="T1" s="26"/>
    </row>
    <row r="2" spans="2:27" s="704" customFormat="1" ht="12.75" customHeight="1">
      <c r="B2" s="1014" t="s">
        <v>681</v>
      </c>
      <c r="C2" s="1014"/>
      <c r="D2" s="1014"/>
      <c r="E2" s="1014"/>
      <c r="F2" s="1014"/>
      <c r="G2" s="1014"/>
      <c r="H2" s="1014"/>
      <c r="I2" s="1014"/>
      <c r="J2" s="1014"/>
      <c r="K2" s="1014"/>
      <c r="L2" s="1014"/>
      <c r="M2" s="1014"/>
      <c r="O2" s="27"/>
      <c r="P2" s="985"/>
      <c r="Q2" s="28"/>
      <c r="R2" s="987"/>
      <c r="S2" s="987"/>
      <c r="T2" s="987"/>
    </row>
    <row r="3" spans="2:27" s="704" customFormat="1" ht="12.75" customHeight="1">
      <c r="B3" s="1014"/>
      <c r="C3" s="1014"/>
      <c r="D3" s="1014"/>
      <c r="E3" s="1014"/>
      <c r="F3" s="1014"/>
      <c r="G3" s="1014"/>
      <c r="H3" s="1014"/>
      <c r="I3" s="1014"/>
      <c r="J3" s="1014"/>
      <c r="K3" s="1014"/>
      <c r="L3" s="1014"/>
      <c r="M3" s="1014"/>
      <c r="O3" s="519"/>
      <c r="P3" s="985"/>
      <c r="Q3" s="29"/>
      <c r="R3" s="702"/>
      <c r="S3" s="702"/>
      <c r="T3" s="702"/>
    </row>
    <row r="4" spans="2:27" s="784" customFormat="1" ht="26.1" customHeight="1">
      <c r="B4" s="996" t="s">
        <v>748</v>
      </c>
      <c r="C4" s="996"/>
      <c r="D4" s="996"/>
      <c r="E4" s="996"/>
      <c r="F4" s="996"/>
      <c r="G4" s="996"/>
      <c r="H4" s="996"/>
      <c r="I4" s="996"/>
      <c r="J4" s="996"/>
      <c r="K4" s="996"/>
      <c r="L4" s="996"/>
      <c r="M4" s="996"/>
      <c r="N4" s="996"/>
      <c r="O4" s="519"/>
      <c r="P4" s="985"/>
      <c r="Q4" s="29"/>
      <c r="R4" s="781"/>
      <c r="S4" s="781"/>
      <c r="T4" s="781"/>
    </row>
    <row r="5" spans="2:27" s="704" customFormat="1" ht="12.75" customHeight="1">
      <c r="B5" s="1013" t="s">
        <v>682</v>
      </c>
      <c r="C5" s="1013"/>
      <c r="D5" s="1013"/>
      <c r="E5" s="1013"/>
      <c r="F5" s="1013"/>
      <c r="G5" s="1013"/>
      <c r="H5" s="1013"/>
      <c r="I5" s="1013"/>
      <c r="J5" s="1013"/>
      <c r="K5" s="1013"/>
      <c r="L5" s="1013"/>
      <c r="M5" s="279"/>
      <c r="N5" s="279"/>
      <c r="O5" s="27"/>
      <c r="P5" s="985"/>
      <c r="Q5" s="703"/>
      <c r="R5" s="27"/>
      <c r="S5" s="28"/>
      <c r="T5" s="28"/>
      <c r="U5" s="28"/>
      <c r="V5" s="28"/>
      <c r="W5" s="28"/>
      <c r="X5" s="28"/>
      <c r="Y5" s="28"/>
      <c r="Z5" s="702"/>
      <c r="AA5" s="702"/>
    </row>
    <row r="6" spans="2:27" s="704" customFormat="1" ht="12.75" customHeight="1">
      <c r="B6" s="1013"/>
      <c r="C6" s="1013"/>
      <c r="D6" s="1013"/>
      <c r="E6" s="1013"/>
      <c r="F6" s="1013"/>
      <c r="G6" s="1013"/>
      <c r="H6" s="1013"/>
      <c r="I6" s="1013"/>
      <c r="J6" s="1013"/>
      <c r="K6" s="1013"/>
      <c r="L6" s="1013"/>
      <c r="M6" s="279"/>
      <c r="N6" s="279"/>
      <c r="O6" s="27"/>
      <c r="P6" s="92"/>
      <c r="Q6" s="30"/>
      <c r="R6" s="30"/>
      <c r="S6" s="29"/>
      <c r="T6" s="702"/>
      <c r="U6" s="702"/>
      <c r="V6" s="702"/>
      <c r="W6" s="702"/>
      <c r="X6" s="702"/>
      <c r="Y6" s="702"/>
      <c r="Z6" s="702"/>
      <c r="AA6" s="702"/>
    </row>
    <row r="7" spans="2:27" s="704" customFormat="1" ht="15" customHeight="1">
      <c r="B7" s="1013"/>
      <c r="C7" s="1013"/>
      <c r="D7" s="1013"/>
      <c r="E7" s="1013"/>
      <c r="F7" s="1013"/>
      <c r="G7" s="1013"/>
      <c r="H7" s="1013"/>
      <c r="I7" s="1013"/>
      <c r="J7" s="1013"/>
      <c r="K7" s="1013"/>
      <c r="L7" s="1013"/>
      <c r="M7" s="701"/>
      <c r="N7" s="701"/>
      <c r="O7" s="30"/>
      <c r="P7" s="709" t="s">
        <v>570</v>
      </c>
      <c r="Q7" s="29"/>
      <c r="R7" s="702"/>
      <c r="S7" s="702"/>
      <c r="T7" s="702"/>
    </row>
    <row r="13" spans="2:27">
      <c r="Q13" s="699"/>
    </row>
    <row r="42" spans="2:17" s="704" customFormat="1">
      <c r="B42" s="32" t="s">
        <v>402</v>
      </c>
      <c r="C42" s="33"/>
      <c r="D42" s="34"/>
      <c r="E42" s="34"/>
      <c r="F42" s="34"/>
      <c r="G42" s="34"/>
      <c r="H42" s="34"/>
      <c r="I42" s="34"/>
      <c r="J42" s="34"/>
      <c r="K42" s="34"/>
      <c r="L42" s="700"/>
      <c r="M42" s="700"/>
      <c r="N42" s="35"/>
      <c r="O42" s="35"/>
      <c r="P42" s="35"/>
      <c r="Q42" s="35"/>
    </row>
    <row r="43" spans="2:17" s="784" customFormat="1" ht="15">
      <c r="B43" s="205" t="s">
        <v>765</v>
      </c>
      <c r="C43" s="203"/>
      <c r="D43" s="204"/>
      <c r="E43" s="204"/>
      <c r="F43" s="204"/>
      <c r="G43" s="204"/>
      <c r="H43" s="204"/>
      <c r="I43" s="204"/>
      <c r="J43" s="203"/>
    </row>
    <row r="44" spans="2:17" s="784" customFormat="1" ht="15">
      <c r="B44" s="205" t="s">
        <v>766</v>
      </c>
      <c r="C44" s="203"/>
      <c r="D44" s="204"/>
      <c r="E44" s="204"/>
      <c r="F44" s="204"/>
      <c r="G44" s="204"/>
      <c r="H44" s="204"/>
      <c r="I44" s="204"/>
      <c r="J44" s="203"/>
    </row>
    <row r="45" spans="2:17" s="784" customFormat="1">
      <c r="B45" s="1004" t="s">
        <v>291</v>
      </c>
      <c r="C45" s="1004"/>
      <c r="D45" s="1004"/>
      <c r="E45" s="1004"/>
      <c r="F45" s="1004"/>
      <c r="G45" s="1004"/>
      <c r="H45" s="1004"/>
      <c r="I45" s="1004"/>
      <c r="J45" s="1004"/>
      <c r="K45" s="1004"/>
      <c r="L45" s="1004"/>
      <c r="M45" s="1004"/>
      <c r="N45" s="1004"/>
    </row>
    <row r="46" spans="2:17" s="784" customFormat="1">
      <c r="B46" s="1004"/>
      <c r="C46" s="1004"/>
      <c r="D46" s="1004"/>
      <c r="E46" s="1004"/>
      <c r="F46" s="1004"/>
      <c r="G46" s="1004"/>
      <c r="H46" s="1004"/>
      <c r="I46" s="1004"/>
      <c r="J46" s="1004"/>
      <c r="K46" s="1004"/>
      <c r="L46" s="1004"/>
      <c r="M46" s="1004"/>
      <c r="N46" s="1004"/>
    </row>
    <row r="47" spans="2:17" s="784" customFormat="1" ht="15">
      <c r="B47" s="205" t="s">
        <v>756</v>
      </c>
      <c r="C47" s="203"/>
      <c r="D47" s="204"/>
      <c r="E47" s="204"/>
      <c r="F47" s="204"/>
      <c r="G47" s="204"/>
      <c r="H47" s="204"/>
      <c r="I47" s="204"/>
      <c r="J47" s="203"/>
    </row>
    <row r="48" spans="2:17" ht="12.75" customHeight="1">
      <c r="B48" s="1012" t="s">
        <v>810</v>
      </c>
      <c r="C48" s="1012"/>
      <c r="D48" s="1012"/>
      <c r="E48" s="1012"/>
      <c r="F48" s="1012"/>
      <c r="G48" s="1012"/>
      <c r="H48" s="1012"/>
      <c r="I48" s="1012"/>
      <c r="J48" s="1012"/>
      <c r="K48" s="1012"/>
      <c r="L48" s="1012"/>
      <c r="M48" s="1012"/>
      <c r="N48" s="1012"/>
      <c r="O48" s="1012"/>
    </row>
    <row r="49" spans="2:15">
      <c r="B49" s="1012"/>
      <c r="C49" s="1012"/>
      <c r="D49" s="1012"/>
      <c r="E49" s="1012"/>
      <c r="F49" s="1012"/>
      <c r="G49" s="1012"/>
      <c r="H49" s="1012"/>
      <c r="I49" s="1012"/>
      <c r="J49" s="1012"/>
      <c r="K49" s="1012"/>
      <c r="L49" s="1012"/>
      <c r="M49" s="1012"/>
      <c r="N49" s="1012"/>
      <c r="O49" s="1012"/>
    </row>
    <row r="50" spans="2:15">
      <c r="B50" s="1012"/>
      <c r="C50" s="1012"/>
      <c r="D50" s="1012"/>
      <c r="E50" s="1012"/>
      <c r="F50" s="1012"/>
      <c r="G50" s="1012"/>
      <c r="H50" s="1012"/>
      <c r="I50" s="1012"/>
      <c r="J50" s="1012"/>
      <c r="K50" s="1012"/>
      <c r="L50" s="1012"/>
      <c r="M50" s="1012"/>
      <c r="N50" s="1012"/>
      <c r="O50" s="1012"/>
    </row>
    <row r="51" spans="2:15">
      <c r="B51" s="1012"/>
      <c r="C51" s="1012"/>
      <c r="D51" s="1012"/>
      <c r="E51" s="1012"/>
      <c r="F51" s="1012"/>
      <c r="G51" s="1012"/>
      <c r="H51" s="1012"/>
      <c r="I51" s="1012"/>
      <c r="J51" s="1012"/>
      <c r="K51" s="1012"/>
      <c r="L51" s="1012"/>
      <c r="M51" s="1012"/>
      <c r="N51" s="1012"/>
      <c r="O51" s="1012"/>
    </row>
  </sheetData>
  <sheetProtection password="B8D9" sheet="1" objects="1" scenarios="1"/>
  <mergeCells count="8">
    <mergeCell ref="B48:O51"/>
    <mergeCell ref="R2:T2"/>
    <mergeCell ref="B5:L7"/>
    <mergeCell ref="B45:N46"/>
    <mergeCell ref="B1:O1"/>
    <mergeCell ref="B4:N4"/>
    <mergeCell ref="P1:P5"/>
    <mergeCell ref="B2:M3"/>
  </mergeCells>
  <hyperlinks>
    <hyperlink ref="P1" location="'List of Tables &amp; Charts'!A1" display="return to List of Tables &amp; Charts"/>
    <hyperlink ref="P7" location="'Chart 3 (2016) DATA'!A1" display="view Chart 3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32.xml><?xml version="1.0" encoding="utf-8"?>
<worksheet xmlns="http://schemas.openxmlformats.org/spreadsheetml/2006/main" xmlns:r="http://schemas.openxmlformats.org/officeDocument/2006/relationships">
  <sheetPr codeName="Sheet31">
    <pageSetUpPr fitToPage="1"/>
  </sheetPr>
  <dimension ref="A1:AB53"/>
  <sheetViews>
    <sheetView showGridLines="0" workbookViewId="0">
      <selection sqref="A1:B1"/>
    </sheetView>
  </sheetViews>
  <sheetFormatPr defaultRowHeight="12.75"/>
  <cols>
    <col min="1" max="1" width="16.7109375" style="704" customWidth="1"/>
    <col min="2" max="2" width="45.7109375" style="704" bestFit="1" customWidth="1"/>
    <col min="3" max="8" width="6.7109375" style="700" customWidth="1"/>
    <col min="9" max="13" width="2.7109375" style="700" customWidth="1"/>
    <col min="14" max="14" width="3.7109375" style="700" customWidth="1"/>
    <col min="15" max="15" width="9.28515625" style="704" customWidth="1"/>
    <col min="16" max="16" width="11.28515625" style="704" customWidth="1"/>
    <col min="17" max="17" width="9.28515625" style="704" customWidth="1"/>
    <col min="18" max="18" width="11.28515625" style="704" customWidth="1"/>
    <col min="19" max="19" width="9.28515625" style="704" customWidth="1"/>
    <col min="20" max="20" width="11.28515625" style="704" customWidth="1"/>
    <col min="21" max="21" width="9.28515625" style="704" customWidth="1"/>
    <col min="22" max="22" width="11.28515625" style="704" customWidth="1"/>
    <col min="23" max="23" width="9.28515625" style="704" customWidth="1"/>
    <col min="24" max="24" width="11.28515625" style="704" customWidth="1"/>
    <col min="25" max="25" width="9.28515625" style="704" customWidth="1"/>
    <col min="26" max="26" width="11.28515625" style="704" customWidth="1"/>
    <col min="27" max="16384" width="9.140625" style="704"/>
  </cols>
  <sheetData>
    <row r="1" spans="1:28" ht="25.5" customHeight="1">
      <c r="A1" s="1038" t="s">
        <v>768</v>
      </c>
      <c r="B1" s="1039"/>
      <c r="C1" s="1015" t="s">
        <v>42</v>
      </c>
      <c r="D1" s="1016"/>
      <c r="E1" s="1016"/>
      <c r="F1" s="1016"/>
      <c r="G1" s="1016"/>
      <c r="H1" s="1017"/>
      <c r="I1" s="37"/>
      <c r="J1" s="37"/>
      <c r="K1" s="37"/>
      <c r="L1" s="63"/>
      <c r="M1" s="540"/>
      <c r="N1" s="539"/>
      <c r="O1" s="1018" t="s">
        <v>48</v>
      </c>
      <c r="P1" s="1018"/>
      <c r="Q1" s="1018" t="s">
        <v>142</v>
      </c>
      <c r="R1" s="1018"/>
      <c r="S1" s="1018" t="s">
        <v>143</v>
      </c>
      <c r="T1" s="1018"/>
      <c r="U1" s="1018" t="s">
        <v>144</v>
      </c>
      <c r="V1" s="1018"/>
      <c r="W1" s="1018" t="s">
        <v>145</v>
      </c>
      <c r="X1" s="1018"/>
      <c r="Y1" s="1018" t="s">
        <v>146</v>
      </c>
      <c r="Z1" s="1019"/>
    </row>
    <row r="2" spans="1:28" ht="45" customHeight="1">
      <c r="A2" s="38" t="s">
        <v>24</v>
      </c>
      <c r="B2" s="39" t="s">
        <v>25</v>
      </c>
      <c r="C2" s="40" t="s">
        <v>51</v>
      </c>
      <c r="D2" s="40" t="s">
        <v>147</v>
      </c>
      <c r="E2" s="40" t="s">
        <v>148</v>
      </c>
      <c r="F2" s="40" t="s">
        <v>149</v>
      </c>
      <c r="G2" s="40" t="s">
        <v>150</v>
      </c>
      <c r="H2" s="40" t="s">
        <v>151</v>
      </c>
      <c r="I2" s="42" t="s">
        <v>152</v>
      </c>
      <c r="J2" s="42" t="s">
        <v>153</v>
      </c>
      <c r="K2" s="42" t="s">
        <v>154</v>
      </c>
      <c r="L2" s="64" t="s">
        <v>155</v>
      </c>
      <c r="M2" s="538" t="s">
        <v>150</v>
      </c>
      <c r="N2" s="537" t="s">
        <v>627</v>
      </c>
      <c r="O2" s="43" t="s">
        <v>26</v>
      </c>
      <c r="P2" s="43" t="s">
        <v>27</v>
      </c>
      <c r="Q2" s="43" t="s">
        <v>26</v>
      </c>
      <c r="R2" s="43" t="s">
        <v>27</v>
      </c>
      <c r="S2" s="43" t="s">
        <v>26</v>
      </c>
      <c r="T2" s="43" t="s">
        <v>27</v>
      </c>
      <c r="U2" s="43" t="s">
        <v>26</v>
      </c>
      <c r="V2" s="43" t="s">
        <v>27</v>
      </c>
      <c r="W2" s="43" t="s">
        <v>26</v>
      </c>
      <c r="X2" s="43" t="s">
        <v>27</v>
      </c>
      <c r="Y2" s="43" t="s">
        <v>26</v>
      </c>
      <c r="Z2" s="65" t="s">
        <v>27</v>
      </c>
      <c r="AA2" s="44" t="s">
        <v>141</v>
      </c>
    </row>
    <row r="3" spans="1:28">
      <c r="A3" s="45" t="s">
        <v>134</v>
      </c>
      <c r="B3" s="45" t="s">
        <v>134</v>
      </c>
      <c r="C3" s="46">
        <f t="shared" ref="C3" si="0">IF(ISERR(O3/P3*100),"",O3/P3*100)</f>
        <v>83.062909194420726</v>
      </c>
      <c r="D3" s="46">
        <f t="shared" ref="D3" si="1">IF(ISERR(Q3/R3*100),"",Q3/R3*100)</f>
        <v>71.890122402504986</v>
      </c>
      <c r="E3" s="46">
        <f t="shared" ref="E3" si="2">IF(ISERR(S3/T3*100),"",S3/T3*100)</f>
        <v>86.208368915456873</v>
      </c>
      <c r="F3" s="46">
        <f t="shared" ref="F3" si="3">IF(ISERR(U3/V3*100),"",U3/V3*100)</f>
        <v>87.90207799601481</v>
      </c>
      <c r="G3" s="46">
        <f t="shared" ref="G3" si="4">IF(ISERR(W3/X3*100),"",W3/X3*100)</f>
        <v>91.659550241958442</v>
      </c>
      <c r="H3" s="46">
        <f t="shared" ref="H3" si="5">IF(ISERR(Y3/Z3*100),"",Y3/Z3*100)</f>
        <v>4.141759180187873</v>
      </c>
      <c r="I3" s="536">
        <f t="shared" ref="I3:K3" si="6">E3-D3</f>
        <v>14.318246512951887</v>
      </c>
      <c r="J3" s="535">
        <f t="shared" si="6"/>
        <v>1.6937090805579373</v>
      </c>
      <c r="K3" s="535">
        <f t="shared" si="6"/>
        <v>3.7574722459436316</v>
      </c>
      <c r="L3" s="534">
        <f t="shared" ref="L3" si="7">G3-E3</f>
        <v>5.4511813265015689</v>
      </c>
      <c r="M3" s="534">
        <f t="shared" ref="M3" si="8">G3-D3</f>
        <v>19.769427839453456</v>
      </c>
      <c r="N3" s="533">
        <v>100</v>
      </c>
      <c r="O3" s="405">
        <f t="shared" ref="O3:Z3" si="9">SUM(O4:O31)</f>
        <v>5836</v>
      </c>
      <c r="P3" s="405">
        <f t="shared" si="9"/>
        <v>7026</v>
      </c>
      <c r="Q3" s="405">
        <f t="shared" si="9"/>
        <v>5051</v>
      </c>
      <c r="R3" s="405">
        <f t="shared" si="9"/>
        <v>7026</v>
      </c>
      <c r="S3" s="405">
        <f t="shared" si="9"/>
        <v>6057</v>
      </c>
      <c r="T3" s="405">
        <f t="shared" si="9"/>
        <v>7026</v>
      </c>
      <c r="U3" s="405">
        <f t="shared" si="9"/>
        <v>6176</v>
      </c>
      <c r="V3" s="405">
        <f t="shared" si="9"/>
        <v>7026</v>
      </c>
      <c r="W3" s="405">
        <f t="shared" si="9"/>
        <v>6440</v>
      </c>
      <c r="X3" s="405">
        <f t="shared" si="9"/>
        <v>7026</v>
      </c>
      <c r="Y3" s="405">
        <f t="shared" si="9"/>
        <v>291</v>
      </c>
      <c r="Z3" s="405">
        <f t="shared" si="9"/>
        <v>7026</v>
      </c>
      <c r="AA3" s="44"/>
      <c r="AB3" s="356"/>
    </row>
    <row r="4" spans="1:28">
      <c r="A4" s="45" t="s">
        <v>28</v>
      </c>
      <c r="B4" s="45" t="s">
        <v>63</v>
      </c>
      <c r="C4" s="46">
        <f t="shared" ref="C4:C31" si="10">IF(ISERR(O4/P4*100),"",O4/P4*100)</f>
        <v>93.16770186335404</v>
      </c>
      <c r="D4" s="46">
        <f t="shared" ref="D4:D31" si="11">IF(ISERR(Q4/R4*100),"",Q4/R4*100)</f>
        <v>84.472049689440993</v>
      </c>
      <c r="E4" s="46">
        <f t="shared" ref="E4:E31" si="12">IF(ISERR(S4/T4*100),"",S4/T4*100)</f>
        <v>95.031055900621126</v>
      </c>
      <c r="F4" s="46">
        <f t="shared" ref="F4:F31" si="13">IF(ISERR(U4/V4*100),"",U4/V4*100)</f>
        <v>95.652173913043484</v>
      </c>
      <c r="G4" s="46">
        <f t="shared" ref="G4:G31" si="14">IF(ISERR(W4/X4*100),"",W4/X4*100)</f>
        <v>100</v>
      </c>
      <c r="H4" s="46">
        <f t="shared" ref="H4:H31" si="15">IF(ISERR(Y4/Z4*100),"",Y4/Z4*100)</f>
        <v>0</v>
      </c>
      <c r="I4" s="522">
        <f t="shared" ref="I4:I31" si="16">E4-D4</f>
        <v>10.559006211180133</v>
      </c>
      <c r="J4" s="522">
        <f t="shared" ref="J4:J31" si="17">F4-E4</f>
        <v>0.62111801242235742</v>
      </c>
      <c r="K4" s="522">
        <f t="shared" ref="K4:K31" si="18">G4-F4</f>
        <v>4.3478260869565162</v>
      </c>
      <c r="L4" s="532">
        <f t="shared" ref="L4:L31" si="19">G4-E4</f>
        <v>4.9689440993788736</v>
      </c>
      <c r="M4" s="532">
        <f t="shared" ref="M4:M31" si="20">G4-D4</f>
        <v>15.527950310559007</v>
      </c>
      <c r="N4" s="521">
        <v>100</v>
      </c>
      <c r="O4" s="405">
        <v>150</v>
      </c>
      <c r="P4" s="405">
        <v>161</v>
      </c>
      <c r="Q4" s="405">
        <v>136</v>
      </c>
      <c r="R4" s="405">
        <v>161</v>
      </c>
      <c r="S4" s="405">
        <v>153</v>
      </c>
      <c r="T4" s="405">
        <v>161</v>
      </c>
      <c r="U4" s="405">
        <v>154</v>
      </c>
      <c r="V4" s="405">
        <v>161</v>
      </c>
      <c r="W4" s="405">
        <v>161</v>
      </c>
      <c r="X4" s="405">
        <v>161</v>
      </c>
      <c r="Y4" s="405">
        <v>0</v>
      </c>
      <c r="Z4" s="405">
        <v>161</v>
      </c>
      <c r="AA4" s="44"/>
      <c r="AB4" s="356"/>
    </row>
    <row r="5" spans="1:28">
      <c r="A5" s="45" t="s">
        <v>92</v>
      </c>
      <c r="B5" s="45" t="s">
        <v>93</v>
      </c>
      <c r="C5" s="46">
        <f t="shared" si="10"/>
        <v>95.555555555555557</v>
      </c>
      <c r="D5" s="46">
        <f t="shared" si="11"/>
        <v>88.888888888888886</v>
      </c>
      <c r="E5" s="46">
        <f t="shared" si="12"/>
        <v>95.555555555555557</v>
      </c>
      <c r="F5" s="46">
        <f t="shared" si="13"/>
        <v>95.555555555555557</v>
      </c>
      <c r="G5" s="46">
        <f t="shared" si="14"/>
        <v>100</v>
      </c>
      <c r="H5" s="46">
        <f t="shared" si="15"/>
        <v>0</v>
      </c>
      <c r="I5" s="522">
        <f t="shared" si="16"/>
        <v>6.6666666666666714</v>
      </c>
      <c r="J5" s="522">
        <f t="shared" si="17"/>
        <v>0</v>
      </c>
      <c r="K5" s="522">
        <f t="shared" si="18"/>
        <v>4.4444444444444429</v>
      </c>
      <c r="L5" s="532">
        <f t="shared" si="19"/>
        <v>4.4444444444444429</v>
      </c>
      <c r="M5" s="532">
        <f t="shared" si="20"/>
        <v>11.111111111111114</v>
      </c>
      <c r="N5" s="521">
        <v>100</v>
      </c>
      <c r="O5" s="405">
        <v>43</v>
      </c>
      <c r="P5" s="405">
        <v>45</v>
      </c>
      <c r="Q5" s="405">
        <v>40</v>
      </c>
      <c r="R5" s="405">
        <v>45</v>
      </c>
      <c r="S5" s="405">
        <v>43</v>
      </c>
      <c r="T5" s="405">
        <v>45</v>
      </c>
      <c r="U5" s="405">
        <v>43</v>
      </c>
      <c r="V5" s="405">
        <v>45</v>
      </c>
      <c r="W5" s="405">
        <v>45</v>
      </c>
      <c r="X5" s="405">
        <v>45</v>
      </c>
      <c r="Y5" s="405">
        <v>0</v>
      </c>
      <c r="Z5" s="405">
        <v>45</v>
      </c>
      <c r="AA5" s="44"/>
      <c r="AB5" s="356"/>
    </row>
    <row r="6" spans="1:28">
      <c r="A6" s="45" t="s">
        <v>37</v>
      </c>
      <c r="B6" s="45" t="s">
        <v>133</v>
      </c>
      <c r="C6" s="46">
        <f t="shared" si="10"/>
        <v>86.956521739130437</v>
      </c>
      <c r="D6" s="46">
        <f t="shared" si="11"/>
        <v>52.173913043478258</v>
      </c>
      <c r="E6" s="46">
        <f t="shared" si="12"/>
        <v>91.304347826086953</v>
      </c>
      <c r="F6" s="46">
        <f t="shared" si="13"/>
        <v>95.652173913043484</v>
      </c>
      <c r="G6" s="46">
        <f t="shared" si="14"/>
        <v>100</v>
      </c>
      <c r="H6" s="46">
        <f t="shared" si="15"/>
        <v>0</v>
      </c>
      <c r="I6" s="528">
        <f t="shared" si="16"/>
        <v>39.130434782608695</v>
      </c>
      <c r="J6" s="528">
        <f t="shared" si="17"/>
        <v>4.3478260869565304</v>
      </c>
      <c r="K6" s="528">
        <f t="shared" si="18"/>
        <v>4.3478260869565162</v>
      </c>
      <c r="L6" s="531">
        <f t="shared" si="19"/>
        <v>8.6956521739130466</v>
      </c>
      <c r="M6" s="531">
        <f t="shared" si="20"/>
        <v>47.826086956521742</v>
      </c>
      <c r="N6" s="527">
        <v>100</v>
      </c>
      <c r="O6" s="405">
        <v>20</v>
      </c>
      <c r="P6" s="405">
        <v>23</v>
      </c>
      <c r="Q6" s="405">
        <v>12</v>
      </c>
      <c r="R6" s="405">
        <v>23</v>
      </c>
      <c r="S6" s="405">
        <v>21</v>
      </c>
      <c r="T6" s="405">
        <v>23</v>
      </c>
      <c r="U6" s="405">
        <v>22</v>
      </c>
      <c r="V6" s="405">
        <v>23</v>
      </c>
      <c r="W6" s="405">
        <v>23</v>
      </c>
      <c r="X6" s="405">
        <v>23</v>
      </c>
      <c r="Y6" s="405">
        <v>0</v>
      </c>
      <c r="Z6" s="405">
        <v>23</v>
      </c>
      <c r="AA6" s="44"/>
      <c r="AB6" s="356"/>
    </row>
    <row r="7" spans="1:28">
      <c r="A7" s="45" t="s">
        <v>95</v>
      </c>
      <c r="B7" s="45" t="s">
        <v>96</v>
      </c>
      <c r="C7" s="46">
        <f t="shared" si="10"/>
        <v>95.744680851063833</v>
      </c>
      <c r="D7" s="46">
        <f t="shared" si="11"/>
        <v>87.2340425531915</v>
      </c>
      <c r="E7" s="46">
        <f t="shared" si="12"/>
        <v>95.744680851063833</v>
      </c>
      <c r="F7" s="46">
        <f t="shared" si="13"/>
        <v>95.744680851063833</v>
      </c>
      <c r="G7" s="46">
        <f t="shared" si="14"/>
        <v>97.872340425531917</v>
      </c>
      <c r="H7" s="46">
        <f t="shared" si="15"/>
        <v>2.1276595744680851</v>
      </c>
      <c r="I7" s="528">
        <f t="shared" si="16"/>
        <v>8.5106382978723332</v>
      </c>
      <c r="J7" s="528">
        <f t="shared" si="17"/>
        <v>0</v>
      </c>
      <c r="K7" s="528">
        <f t="shared" si="18"/>
        <v>2.1276595744680833</v>
      </c>
      <c r="L7" s="531">
        <f t="shared" si="19"/>
        <v>2.1276595744680833</v>
      </c>
      <c r="M7" s="531">
        <f t="shared" si="20"/>
        <v>10.638297872340416</v>
      </c>
      <c r="N7" s="527">
        <v>100</v>
      </c>
      <c r="O7" s="405">
        <v>45</v>
      </c>
      <c r="P7" s="405">
        <v>47</v>
      </c>
      <c r="Q7" s="405">
        <v>41</v>
      </c>
      <c r="R7" s="405">
        <v>47</v>
      </c>
      <c r="S7" s="405">
        <v>45</v>
      </c>
      <c r="T7" s="405">
        <v>47</v>
      </c>
      <c r="U7" s="405">
        <v>45</v>
      </c>
      <c r="V7" s="405">
        <v>47</v>
      </c>
      <c r="W7" s="405">
        <v>46</v>
      </c>
      <c r="X7" s="405">
        <v>47</v>
      </c>
      <c r="Y7" s="405">
        <v>1</v>
      </c>
      <c r="Z7" s="405">
        <v>47</v>
      </c>
      <c r="AA7" s="44"/>
      <c r="AB7" s="356"/>
    </row>
    <row r="8" spans="1:28">
      <c r="A8" s="45" t="s">
        <v>60</v>
      </c>
      <c r="B8" s="45" t="s">
        <v>61</v>
      </c>
      <c r="C8" s="46">
        <f t="shared" si="10"/>
        <v>90.894039735099341</v>
      </c>
      <c r="D8" s="46">
        <f t="shared" si="11"/>
        <v>82.78145695364239</v>
      </c>
      <c r="E8" s="46">
        <f t="shared" si="12"/>
        <v>93.211920529801333</v>
      </c>
      <c r="F8" s="46">
        <f t="shared" si="13"/>
        <v>94.370860927152322</v>
      </c>
      <c r="G8" s="46">
        <f t="shared" si="14"/>
        <v>96.523178807947019</v>
      </c>
      <c r="H8" s="46">
        <f t="shared" si="15"/>
        <v>2.1523178807947021</v>
      </c>
      <c r="I8" s="528">
        <f t="shared" si="16"/>
        <v>10.430463576158942</v>
      </c>
      <c r="J8" s="528">
        <f t="shared" si="17"/>
        <v>1.1589403973509889</v>
      </c>
      <c r="K8" s="528">
        <f t="shared" si="18"/>
        <v>2.1523178807946977</v>
      </c>
      <c r="L8" s="531">
        <f t="shared" si="19"/>
        <v>3.3112582781456865</v>
      </c>
      <c r="M8" s="531">
        <f t="shared" si="20"/>
        <v>13.741721854304629</v>
      </c>
      <c r="N8" s="527">
        <v>100</v>
      </c>
      <c r="O8" s="405">
        <v>549</v>
      </c>
      <c r="P8" s="405">
        <v>604</v>
      </c>
      <c r="Q8" s="405">
        <v>500</v>
      </c>
      <c r="R8" s="405">
        <v>604</v>
      </c>
      <c r="S8" s="405">
        <v>563</v>
      </c>
      <c r="T8" s="405">
        <v>604</v>
      </c>
      <c r="U8" s="405">
        <v>570</v>
      </c>
      <c r="V8" s="405">
        <v>604</v>
      </c>
      <c r="W8" s="405">
        <v>583</v>
      </c>
      <c r="X8" s="405">
        <v>604</v>
      </c>
      <c r="Y8" s="405">
        <v>13</v>
      </c>
      <c r="Z8" s="405">
        <v>604</v>
      </c>
      <c r="AA8" s="44"/>
      <c r="AB8" s="356"/>
    </row>
    <row r="9" spans="1:28">
      <c r="A9" s="45" t="s">
        <v>89</v>
      </c>
      <c r="B9" s="45" t="s">
        <v>90</v>
      </c>
      <c r="C9" s="46">
        <f t="shared" si="10"/>
        <v>88.461538461538453</v>
      </c>
      <c r="D9" s="46">
        <f t="shared" si="11"/>
        <v>65.384615384615387</v>
      </c>
      <c r="E9" s="46">
        <f t="shared" si="12"/>
        <v>80.769230769230774</v>
      </c>
      <c r="F9" s="46">
        <f t="shared" si="13"/>
        <v>84.615384615384613</v>
      </c>
      <c r="G9" s="46">
        <f t="shared" si="14"/>
        <v>96.15384615384616</v>
      </c>
      <c r="H9" s="46">
        <f t="shared" si="15"/>
        <v>0</v>
      </c>
      <c r="I9" s="528">
        <f t="shared" si="16"/>
        <v>15.384615384615387</v>
      </c>
      <c r="J9" s="528">
        <f t="shared" si="17"/>
        <v>3.8461538461538396</v>
      </c>
      <c r="K9" s="528">
        <f t="shared" si="18"/>
        <v>11.538461538461547</v>
      </c>
      <c r="L9" s="531">
        <f t="shared" si="19"/>
        <v>15.384615384615387</v>
      </c>
      <c r="M9" s="531">
        <f t="shared" si="20"/>
        <v>30.769230769230774</v>
      </c>
      <c r="N9" s="527">
        <v>100</v>
      </c>
      <c r="O9" s="405">
        <v>23</v>
      </c>
      <c r="P9" s="405">
        <v>26</v>
      </c>
      <c r="Q9" s="405">
        <v>17</v>
      </c>
      <c r="R9" s="405">
        <v>26</v>
      </c>
      <c r="S9" s="405">
        <v>21</v>
      </c>
      <c r="T9" s="405">
        <v>26</v>
      </c>
      <c r="U9" s="405">
        <v>22</v>
      </c>
      <c r="V9" s="405">
        <v>26</v>
      </c>
      <c r="W9" s="405">
        <v>25</v>
      </c>
      <c r="X9" s="405">
        <v>26</v>
      </c>
      <c r="Y9" s="405">
        <v>0</v>
      </c>
      <c r="Z9" s="405">
        <v>26</v>
      </c>
      <c r="AA9" s="44"/>
      <c r="AB9" s="356"/>
    </row>
    <row r="10" spans="1:28">
      <c r="A10" s="45" t="s">
        <v>98</v>
      </c>
      <c r="B10" s="45" t="s">
        <v>99</v>
      </c>
      <c r="C10" s="46">
        <f t="shared" si="10"/>
        <v>89.495798319327733</v>
      </c>
      <c r="D10" s="46">
        <f t="shared" si="11"/>
        <v>81.512605042016801</v>
      </c>
      <c r="E10" s="46">
        <f t="shared" si="12"/>
        <v>92.436974789915965</v>
      </c>
      <c r="F10" s="46">
        <f t="shared" si="13"/>
        <v>93.277310924369743</v>
      </c>
      <c r="G10" s="46">
        <f t="shared" si="14"/>
        <v>95.798319327731093</v>
      </c>
      <c r="H10" s="46">
        <f t="shared" si="15"/>
        <v>2.1008403361344539</v>
      </c>
      <c r="I10" s="528">
        <f t="shared" si="16"/>
        <v>10.924369747899163</v>
      </c>
      <c r="J10" s="528">
        <f t="shared" si="17"/>
        <v>0.84033613445377853</v>
      </c>
      <c r="K10" s="528">
        <f t="shared" si="18"/>
        <v>2.5210084033613498</v>
      </c>
      <c r="L10" s="531">
        <f t="shared" si="19"/>
        <v>3.3613445378151283</v>
      </c>
      <c r="M10" s="531">
        <f t="shared" si="20"/>
        <v>14.285714285714292</v>
      </c>
      <c r="N10" s="527">
        <v>100</v>
      </c>
      <c r="O10" s="405">
        <v>213</v>
      </c>
      <c r="P10" s="405">
        <v>238</v>
      </c>
      <c r="Q10" s="405">
        <v>194</v>
      </c>
      <c r="R10" s="405">
        <v>238</v>
      </c>
      <c r="S10" s="405">
        <v>220</v>
      </c>
      <c r="T10" s="405">
        <v>238</v>
      </c>
      <c r="U10" s="405">
        <v>222</v>
      </c>
      <c r="V10" s="405">
        <v>238</v>
      </c>
      <c r="W10" s="405">
        <v>228</v>
      </c>
      <c r="X10" s="405">
        <v>238</v>
      </c>
      <c r="Y10" s="405">
        <v>5</v>
      </c>
      <c r="Z10" s="405">
        <v>238</v>
      </c>
      <c r="AA10" s="44"/>
      <c r="AB10" s="356"/>
    </row>
    <row r="11" spans="1:28">
      <c r="A11" s="45" t="s">
        <v>174</v>
      </c>
      <c r="B11" s="45" t="s">
        <v>71</v>
      </c>
      <c r="C11" s="46">
        <f t="shared" si="10"/>
        <v>87.878787878787875</v>
      </c>
      <c r="D11" s="46">
        <f t="shared" si="11"/>
        <v>83.232323232323239</v>
      </c>
      <c r="E11" s="46">
        <f t="shared" si="12"/>
        <v>92.72727272727272</v>
      </c>
      <c r="F11" s="46">
        <f t="shared" si="13"/>
        <v>93.939393939393938</v>
      </c>
      <c r="G11" s="46">
        <f t="shared" si="14"/>
        <v>95.555555555555557</v>
      </c>
      <c r="H11" s="46">
        <f t="shared" si="15"/>
        <v>2.2222222222222223</v>
      </c>
      <c r="I11" s="528">
        <f t="shared" si="16"/>
        <v>9.4949494949494806</v>
      </c>
      <c r="J11" s="528">
        <f t="shared" si="17"/>
        <v>1.2121212121212182</v>
      </c>
      <c r="K11" s="528">
        <f t="shared" si="18"/>
        <v>1.6161616161616195</v>
      </c>
      <c r="L11" s="531">
        <f t="shared" si="19"/>
        <v>2.8282828282828376</v>
      </c>
      <c r="M11" s="531">
        <f t="shared" si="20"/>
        <v>12.323232323232318</v>
      </c>
      <c r="N11" s="527">
        <v>100</v>
      </c>
      <c r="O11" s="405">
        <v>435</v>
      </c>
      <c r="P11" s="405">
        <v>495</v>
      </c>
      <c r="Q11" s="405">
        <v>412</v>
      </c>
      <c r="R11" s="405">
        <v>495</v>
      </c>
      <c r="S11" s="405">
        <v>459</v>
      </c>
      <c r="T11" s="405">
        <v>495</v>
      </c>
      <c r="U11" s="405">
        <v>465</v>
      </c>
      <c r="V11" s="405">
        <v>495</v>
      </c>
      <c r="W11" s="405">
        <v>473</v>
      </c>
      <c r="X11" s="405">
        <v>495</v>
      </c>
      <c r="Y11" s="405">
        <v>11</v>
      </c>
      <c r="Z11" s="405">
        <v>495</v>
      </c>
      <c r="AA11" s="44"/>
      <c r="AB11" s="356"/>
    </row>
    <row r="12" spans="1:28">
      <c r="A12" s="45" t="s">
        <v>65</v>
      </c>
      <c r="B12" s="45" t="s">
        <v>66</v>
      </c>
      <c r="C12" s="46">
        <f t="shared" si="10"/>
        <v>78.064516129032256</v>
      </c>
      <c r="D12" s="46">
        <f t="shared" si="11"/>
        <v>68.387096774193552</v>
      </c>
      <c r="E12" s="46">
        <f t="shared" si="12"/>
        <v>83.870967741935488</v>
      </c>
      <c r="F12" s="46">
        <f t="shared" si="13"/>
        <v>86.451612903225808</v>
      </c>
      <c r="G12" s="46">
        <f t="shared" si="14"/>
        <v>94.838709677419359</v>
      </c>
      <c r="H12" s="46">
        <f t="shared" si="15"/>
        <v>4.5161290322580641</v>
      </c>
      <c r="I12" s="528">
        <f t="shared" si="16"/>
        <v>15.483870967741936</v>
      </c>
      <c r="J12" s="528">
        <f t="shared" si="17"/>
        <v>2.5806451612903203</v>
      </c>
      <c r="K12" s="528">
        <f t="shared" si="18"/>
        <v>8.3870967741935516</v>
      </c>
      <c r="L12" s="531">
        <f t="shared" si="19"/>
        <v>10.967741935483872</v>
      </c>
      <c r="M12" s="531">
        <f t="shared" si="20"/>
        <v>26.451612903225808</v>
      </c>
      <c r="N12" s="527">
        <v>100</v>
      </c>
      <c r="O12" s="405">
        <v>121</v>
      </c>
      <c r="P12" s="405">
        <v>155</v>
      </c>
      <c r="Q12" s="405">
        <v>106</v>
      </c>
      <c r="R12" s="405">
        <v>155</v>
      </c>
      <c r="S12" s="405">
        <v>130</v>
      </c>
      <c r="T12" s="405">
        <v>155</v>
      </c>
      <c r="U12" s="405">
        <v>134</v>
      </c>
      <c r="V12" s="405">
        <v>155</v>
      </c>
      <c r="W12" s="405">
        <v>147</v>
      </c>
      <c r="X12" s="405">
        <v>155</v>
      </c>
      <c r="Y12" s="405">
        <v>7</v>
      </c>
      <c r="Z12" s="405">
        <v>155</v>
      </c>
      <c r="AA12" s="44"/>
      <c r="AB12" s="356"/>
    </row>
    <row r="13" spans="1:28">
      <c r="A13" s="45" t="s">
        <v>104</v>
      </c>
      <c r="B13" s="45" t="s">
        <v>105</v>
      </c>
      <c r="C13" s="46">
        <f t="shared" si="10"/>
        <v>85.067873303167417</v>
      </c>
      <c r="D13" s="46">
        <f t="shared" si="11"/>
        <v>63.348416289592755</v>
      </c>
      <c r="E13" s="46">
        <f t="shared" si="12"/>
        <v>88.235294117647058</v>
      </c>
      <c r="F13" s="46">
        <f t="shared" si="13"/>
        <v>90.497737556561091</v>
      </c>
      <c r="G13" s="46">
        <f t="shared" si="14"/>
        <v>94.570135746606326</v>
      </c>
      <c r="H13" s="46">
        <f t="shared" si="15"/>
        <v>1.809954751131222</v>
      </c>
      <c r="I13" s="528">
        <f t="shared" si="16"/>
        <v>24.886877828054303</v>
      </c>
      <c r="J13" s="528">
        <f t="shared" si="17"/>
        <v>2.2624434389140333</v>
      </c>
      <c r="K13" s="528">
        <f t="shared" si="18"/>
        <v>4.0723981900452344</v>
      </c>
      <c r="L13" s="531">
        <f t="shared" si="19"/>
        <v>6.3348416289592677</v>
      </c>
      <c r="M13" s="531">
        <f t="shared" si="20"/>
        <v>31.22171945701357</v>
      </c>
      <c r="N13" s="527">
        <v>100</v>
      </c>
      <c r="O13" s="405">
        <v>188</v>
      </c>
      <c r="P13" s="405">
        <v>221</v>
      </c>
      <c r="Q13" s="405">
        <v>140</v>
      </c>
      <c r="R13" s="405">
        <v>221</v>
      </c>
      <c r="S13" s="405">
        <v>195</v>
      </c>
      <c r="T13" s="405">
        <v>221</v>
      </c>
      <c r="U13" s="405">
        <v>200</v>
      </c>
      <c r="V13" s="405">
        <v>221</v>
      </c>
      <c r="W13" s="405">
        <v>209</v>
      </c>
      <c r="X13" s="405">
        <v>221</v>
      </c>
      <c r="Y13" s="405">
        <v>4</v>
      </c>
      <c r="Z13" s="405">
        <v>221</v>
      </c>
      <c r="AA13" s="44"/>
      <c r="AB13" s="356"/>
    </row>
    <row r="14" spans="1:28">
      <c r="A14" s="45" t="s">
        <v>107</v>
      </c>
      <c r="B14" s="45" t="s">
        <v>106</v>
      </c>
      <c r="C14" s="46">
        <f t="shared" si="10"/>
        <v>87.148594377510037</v>
      </c>
      <c r="D14" s="46">
        <f t="shared" si="11"/>
        <v>58.634538152610439</v>
      </c>
      <c r="E14" s="46">
        <f t="shared" si="12"/>
        <v>84.337349397590373</v>
      </c>
      <c r="F14" s="46">
        <f t="shared" si="13"/>
        <v>87.148594377510037</v>
      </c>
      <c r="G14" s="46">
        <f t="shared" si="14"/>
        <v>93.975903614457835</v>
      </c>
      <c r="H14" s="46">
        <f t="shared" si="15"/>
        <v>3.6144578313253009</v>
      </c>
      <c r="I14" s="528">
        <f t="shared" si="16"/>
        <v>25.702811244979934</v>
      </c>
      <c r="J14" s="528">
        <f t="shared" si="17"/>
        <v>2.8112449799196639</v>
      </c>
      <c r="K14" s="528">
        <f t="shared" si="18"/>
        <v>6.8273092369477979</v>
      </c>
      <c r="L14" s="531">
        <f t="shared" si="19"/>
        <v>9.6385542168674618</v>
      </c>
      <c r="M14" s="531">
        <f t="shared" si="20"/>
        <v>35.341365461847396</v>
      </c>
      <c r="N14" s="527">
        <v>100</v>
      </c>
      <c r="O14" s="405">
        <v>217</v>
      </c>
      <c r="P14" s="405">
        <v>249</v>
      </c>
      <c r="Q14" s="405">
        <v>146</v>
      </c>
      <c r="R14" s="405">
        <v>249</v>
      </c>
      <c r="S14" s="405">
        <v>210</v>
      </c>
      <c r="T14" s="405">
        <v>249</v>
      </c>
      <c r="U14" s="405">
        <v>217</v>
      </c>
      <c r="V14" s="405">
        <v>249</v>
      </c>
      <c r="W14" s="405">
        <v>234</v>
      </c>
      <c r="X14" s="405">
        <v>249</v>
      </c>
      <c r="Y14" s="405">
        <v>9</v>
      </c>
      <c r="Z14" s="405">
        <v>249</v>
      </c>
      <c r="AA14" s="44"/>
      <c r="AB14" s="356"/>
    </row>
    <row r="15" spans="1:28">
      <c r="A15" s="45" t="s">
        <v>184</v>
      </c>
      <c r="B15" s="45" t="s">
        <v>80</v>
      </c>
      <c r="C15" s="46">
        <f t="shared" si="10"/>
        <v>82.165605095541409</v>
      </c>
      <c r="D15" s="46">
        <f t="shared" si="11"/>
        <v>59.660297239915074</v>
      </c>
      <c r="E15" s="46">
        <f t="shared" si="12"/>
        <v>89.384288747346076</v>
      </c>
      <c r="F15" s="46">
        <f t="shared" si="13"/>
        <v>90.658174097664542</v>
      </c>
      <c r="G15" s="46">
        <f t="shared" si="14"/>
        <v>93.418259023354565</v>
      </c>
      <c r="H15" s="46">
        <f t="shared" si="15"/>
        <v>4.0339702760084926</v>
      </c>
      <c r="I15" s="528">
        <f t="shared" si="16"/>
        <v>29.723991507431002</v>
      </c>
      <c r="J15" s="528">
        <f t="shared" si="17"/>
        <v>1.2738853503184657</v>
      </c>
      <c r="K15" s="528">
        <f t="shared" si="18"/>
        <v>2.7600849256900233</v>
      </c>
      <c r="L15" s="531">
        <f t="shared" si="19"/>
        <v>4.033970276008489</v>
      </c>
      <c r="M15" s="531">
        <f t="shared" si="20"/>
        <v>33.757961783439491</v>
      </c>
      <c r="N15" s="527">
        <v>100</v>
      </c>
      <c r="O15" s="405">
        <v>387</v>
      </c>
      <c r="P15" s="405">
        <v>471</v>
      </c>
      <c r="Q15" s="405">
        <v>281</v>
      </c>
      <c r="R15" s="405">
        <v>471</v>
      </c>
      <c r="S15" s="405">
        <v>421</v>
      </c>
      <c r="T15" s="405">
        <v>471</v>
      </c>
      <c r="U15" s="405">
        <v>427</v>
      </c>
      <c r="V15" s="405">
        <v>471</v>
      </c>
      <c r="W15" s="405">
        <v>440</v>
      </c>
      <c r="X15" s="405">
        <v>471</v>
      </c>
      <c r="Y15" s="405">
        <v>19</v>
      </c>
      <c r="Z15" s="405">
        <v>471</v>
      </c>
      <c r="AA15" s="44"/>
      <c r="AB15" s="356"/>
    </row>
    <row r="16" spans="1:28">
      <c r="A16" s="45" t="s">
        <v>121</v>
      </c>
      <c r="B16" s="45" t="s">
        <v>122</v>
      </c>
      <c r="C16" s="46">
        <f t="shared" si="10"/>
        <v>86.666666666666671</v>
      </c>
      <c r="D16" s="46">
        <f t="shared" si="11"/>
        <v>53.333333333333336</v>
      </c>
      <c r="E16" s="46">
        <f t="shared" si="12"/>
        <v>63.333333333333329</v>
      </c>
      <c r="F16" s="46">
        <f t="shared" si="13"/>
        <v>63.333333333333329</v>
      </c>
      <c r="G16" s="46">
        <f t="shared" si="14"/>
        <v>93.333333333333329</v>
      </c>
      <c r="H16" s="46">
        <f t="shared" si="15"/>
        <v>0</v>
      </c>
      <c r="I16" s="528">
        <f t="shared" si="16"/>
        <v>9.9999999999999929</v>
      </c>
      <c r="J16" s="528">
        <f t="shared" si="17"/>
        <v>0</v>
      </c>
      <c r="K16" s="528">
        <f t="shared" si="18"/>
        <v>30</v>
      </c>
      <c r="L16" s="531">
        <f t="shared" si="19"/>
        <v>30</v>
      </c>
      <c r="M16" s="531">
        <f t="shared" si="20"/>
        <v>39.999999999999993</v>
      </c>
      <c r="N16" s="527">
        <v>100</v>
      </c>
      <c r="O16" s="405">
        <v>26</v>
      </c>
      <c r="P16" s="405">
        <v>30</v>
      </c>
      <c r="Q16" s="405">
        <v>16</v>
      </c>
      <c r="R16" s="405">
        <v>30</v>
      </c>
      <c r="S16" s="405">
        <v>19</v>
      </c>
      <c r="T16" s="405">
        <v>30</v>
      </c>
      <c r="U16" s="405">
        <v>19</v>
      </c>
      <c r="V16" s="405">
        <v>30</v>
      </c>
      <c r="W16" s="405">
        <v>28</v>
      </c>
      <c r="X16" s="405">
        <v>30</v>
      </c>
      <c r="Y16" s="405">
        <v>0</v>
      </c>
      <c r="Z16" s="405">
        <v>30</v>
      </c>
      <c r="AA16" s="44"/>
      <c r="AB16" s="356"/>
    </row>
    <row r="17" spans="1:28">
      <c r="A17" s="45" t="s">
        <v>183</v>
      </c>
      <c r="B17" s="45" t="s">
        <v>73</v>
      </c>
      <c r="C17" s="46">
        <f t="shared" si="10"/>
        <v>87.281795511221944</v>
      </c>
      <c r="D17" s="46">
        <f t="shared" si="11"/>
        <v>75.81047381546135</v>
      </c>
      <c r="E17" s="46">
        <f t="shared" si="12"/>
        <v>84.538653366583532</v>
      </c>
      <c r="F17" s="46">
        <f t="shared" si="13"/>
        <v>86.034912718204495</v>
      </c>
      <c r="G17" s="46">
        <f t="shared" si="14"/>
        <v>92.518703241895267</v>
      </c>
      <c r="H17" s="46">
        <f t="shared" si="15"/>
        <v>1.2468827930174564</v>
      </c>
      <c r="I17" s="528">
        <f t="shared" si="16"/>
        <v>8.7281795511221816</v>
      </c>
      <c r="J17" s="528">
        <f t="shared" si="17"/>
        <v>1.4962593516209637</v>
      </c>
      <c r="K17" s="528">
        <f t="shared" si="18"/>
        <v>6.4837905236907716</v>
      </c>
      <c r="L17" s="531">
        <f t="shared" si="19"/>
        <v>7.9800498753117353</v>
      </c>
      <c r="M17" s="531">
        <f t="shared" si="20"/>
        <v>16.708229426433917</v>
      </c>
      <c r="N17" s="527">
        <v>100</v>
      </c>
      <c r="O17" s="405">
        <v>350</v>
      </c>
      <c r="P17" s="405">
        <v>401</v>
      </c>
      <c r="Q17" s="405">
        <v>304</v>
      </c>
      <c r="R17" s="405">
        <v>401</v>
      </c>
      <c r="S17" s="405">
        <v>339</v>
      </c>
      <c r="T17" s="405">
        <v>401</v>
      </c>
      <c r="U17" s="405">
        <v>345</v>
      </c>
      <c r="V17" s="405">
        <v>401</v>
      </c>
      <c r="W17" s="405">
        <v>371</v>
      </c>
      <c r="X17" s="405">
        <v>401</v>
      </c>
      <c r="Y17" s="405">
        <v>5</v>
      </c>
      <c r="Z17" s="405">
        <v>401</v>
      </c>
      <c r="AA17" s="44"/>
      <c r="AB17" s="356"/>
    </row>
    <row r="18" spans="1:28">
      <c r="A18" s="45" t="s">
        <v>124</v>
      </c>
      <c r="B18" s="45" t="s">
        <v>125</v>
      </c>
      <c r="C18" s="46">
        <f t="shared" si="10"/>
        <v>81.550802139037444</v>
      </c>
      <c r="D18" s="46">
        <f t="shared" si="11"/>
        <v>76.470588235294116</v>
      </c>
      <c r="E18" s="46">
        <f t="shared" si="12"/>
        <v>87.165775401069524</v>
      </c>
      <c r="F18" s="46">
        <f t="shared" si="13"/>
        <v>89.037433155080208</v>
      </c>
      <c r="G18" s="46">
        <f t="shared" si="14"/>
        <v>92.513368983957221</v>
      </c>
      <c r="H18" s="46">
        <f t="shared" si="15"/>
        <v>4.8128342245989302</v>
      </c>
      <c r="I18" s="528">
        <f t="shared" si="16"/>
        <v>10.695187165775408</v>
      </c>
      <c r="J18" s="528">
        <f t="shared" si="17"/>
        <v>1.871657754010684</v>
      </c>
      <c r="K18" s="528">
        <f t="shared" si="18"/>
        <v>3.475935828877013</v>
      </c>
      <c r="L18" s="531">
        <f t="shared" si="19"/>
        <v>5.347593582887697</v>
      </c>
      <c r="M18" s="531">
        <f t="shared" si="20"/>
        <v>16.042780748663105</v>
      </c>
      <c r="N18" s="527">
        <v>100</v>
      </c>
      <c r="O18" s="405">
        <v>305</v>
      </c>
      <c r="P18" s="405">
        <v>374</v>
      </c>
      <c r="Q18" s="405">
        <v>286</v>
      </c>
      <c r="R18" s="405">
        <v>374</v>
      </c>
      <c r="S18" s="405">
        <v>326</v>
      </c>
      <c r="T18" s="405">
        <v>374</v>
      </c>
      <c r="U18" s="405">
        <v>333</v>
      </c>
      <c r="V18" s="405">
        <v>374</v>
      </c>
      <c r="W18" s="405">
        <v>346</v>
      </c>
      <c r="X18" s="405">
        <v>374</v>
      </c>
      <c r="Y18" s="405">
        <v>18</v>
      </c>
      <c r="Z18" s="405">
        <v>374</v>
      </c>
      <c r="AA18" s="44"/>
      <c r="AB18" s="356"/>
    </row>
    <row r="19" spans="1:28">
      <c r="A19" s="45" t="s">
        <v>77</v>
      </c>
      <c r="B19" s="45" t="s">
        <v>78</v>
      </c>
      <c r="C19" s="46">
        <f t="shared" si="10"/>
        <v>89.523809523809533</v>
      </c>
      <c r="D19" s="46">
        <f t="shared" si="11"/>
        <v>80.952380952380949</v>
      </c>
      <c r="E19" s="46">
        <f t="shared" si="12"/>
        <v>88.571428571428569</v>
      </c>
      <c r="F19" s="46">
        <f t="shared" si="13"/>
        <v>88.571428571428569</v>
      </c>
      <c r="G19" s="46">
        <f t="shared" si="14"/>
        <v>91.428571428571431</v>
      </c>
      <c r="H19" s="46">
        <f t="shared" si="15"/>
        <v>5.7142857142857144</v>
      </c>
      <c r="I19" s="528">
        <f t="shared" si="16"/>
        <v>7.6190476190476204</v>
      </c>
      <c r="J19" s="528">
        <f t="shared" si="17"/>
        <v>0</v>
      </c>
      <c r="K19" s="528">
        <f t="shared" si="18"/>
        <v>2.8571428571428612</v>
      </c>
      <c r="L19" s="531">
        <f t="shared" si="19"/>
        <v>2.8571428571428612</v>
      </c>
      <c r="M19" s="531">
        <f t="shared" si="20"/>
        <v>10.476190476190482</v>
      </c>
      <c r="N19" s="527">
        <v>100</v>
      </c>
      <c r="O19" s="405">
        <v>94</v>
      </c>
      <c r="P19" s="405">
        <v>105</v>
      </c>
      <c r="Q19" s="405">
        <v>85</v>
      </c>
      <c r="R19" s="405">
        <v>105</v>
      </c>
      <c r="S19" s="405">
        <v>93</v>
      </c>
      <c r="T19" s="405">
        <v>105</v>
      </c>
      <c r="U19" s="405">
        <v>93</v>
      </c>
      <c r="V19" s="405">
        <v>105</v>
      </c>
      <c r="W19" s="405">
        <v>96</v>
      </c>
      <c r="X19" s="405">
        <v>105</v>
      </c>
      <c r="Y19" s="405">
        <v>6</v>
      </c>
      <c r="Z19" s="405">
        <v>105</v>
      </c>
      <c r="AA19" s="44"/>
      <c r="AB19" s="356"/>
    </row>
    <row r="20" spans="1:28">
      <c r="A20" s="45" t="s">
        <v>109</v>
      </c>
      <c r="B20" s="45" t="s">
        <v>110</v>
      </c>
      <c r="C20" s="46">
        <f t="shared" si="10"/>
        <v>82.451253481894156</v>
      </c>
      <c r="D20" s="46">
        <f t="shared" si="11"/>
        <v>73.955431754874652</v>
      </c>
      <c r="E20" s="46">
        <f t="shared" si="12"/>
        <v>86.908077994428965</v>
      </c>
      <c r="F20" s="46">
        <f t="shared" si="13"/>
        <v>88.440111420612809</v>
      </c>
      <c r="G20" s="46">
        <f t="shared" si="14"/>
        <v>90.668523676880213</v>
      </c>
      <c r="H20" s="46">
        <f t="shared" si="15"/>
        <v>5.2924791086350975</v>
      </c>
      <c r="I20" s="528">
        <f t="shared" si="16"/>
        <v>12.952646239554312</v>
      </c>
      <c r="J20" s="528">
        <f t="shared" si="17"/>
        <v>1.532033426183844</v>
      </c>
      <c r="K20" s="528">
        <f t="shared" si="18"/>
        <v>2.2284122562674042</v>
      </c>
      <c r="L20" s="531">
        <f t="shared" si="19"/>
        <v>3.7604456824512482</v>
      </c>
      <c r="M20" s="531">
        <f t="shared" si="20"/>
        <v>16.71309192200556</v>
      </c>
      <c r="N20" s="527">
        <v>100</v>
      </c>
      <c r="O20" s="405">
        <v>592</v>
      </c>
      <c r="P20" s="405">
        <v>718</v>
      </c>
      <c r="Q20" s="405">
        <v>531</v>
      </c>
      <c r="R20" s="405">
        <v>718</v>
      </c>
      <c r="S20" s="405">
        <v>624</v>
      </c>
      <c r="T20" s="405">
        <v>718</v>
      </c>
      <c r="U20" s="405">
        <v>635</v>
      </c>
      <c r="V20" s="405">
        <v>718</v>
      </c>
      <c r="W20" s="405">
        <v>651</v>
      </c>
      <c r="X20" s="405">
        <v>718</v>
      </c>
      <c r="Y20" s="405">
        <v>38</v>
      </c>
      <c r="Z20" s="405">
        <v>718</v>
      </c>
      <c r="AA20" s="44"/>
      <c r="AB20" s="356"/>
    </row>
    <row r="21" spans="1:28">
      <c r="A21" s="45" t="s">
        <v>115</v>
      </c>
      <c r="B21" s="45" t="s">
        <v>116</v>
      </c>
      <c r="C21" s="46">
        <f t="shared" si="10"/>
        <v>81.564245810055866</v>
      </c>
      <c r="D21" s="46">
        <f t="shared" si="11"/>
        <v>75.977653631284909</v>
      </c>
      <c r="E21" s="46">
        <f t="shared" si="12"/>
        <v>83.798882681564251</v>
      </c>
      <c r="F21" s="46">
        <f t="shared" si="13"/>
        <v>87.709497206703915</v>
      </c>
      <c r="G21" s="46">
        <f t="shared" si="14"/>
        <v>90.502793296089393</v>
      </c>
      <c r="H21" s="46">
        <f t="shared" si="15"/>
        <v>6.1452513966480442</v>
      </c>
      <c r="I21" s="528">
        <f t="shared" si="16"/>
        <v>7.8212290502793422</v>
      </c>
      <c r="J21" s="528">
        <f t="shared" si="17"/>
        <v>3.910614525139664</v>
      </c>
      <c r="K21" s="528">
        <f t="shared" si="18"/>
        <v>2.7932960893854784</v>
      </c>
      <c r="L21" s="531">
        <f t="shared" si="19"/>
        <v>6.7039106145251424</v>
      </c>
      <c r="M21" s="531">
        <f t="shared" si="20"/>
        <v>14.525139664804485</v>
      </c>
      <c r="N21" s="527">
        <v>100</v>
      </c>
      <c r="O21" s="405">
        <v>146</v>
      </c>
      <c r="P21" s="405">
        <v>179</v>
      </c>
      <c r="Q21" s="405">
        <v>136</v>
      </c>
      <c r="R21" s="405">
        <v>179</v>
      </c>
      <c r="S21" s="405">
        <v>150</v>
      </c>
      <c r="T21" s="405">
        <v>179</v>
      </c>
      <c r="U21" s="405">
        <v>157</v>
      </c>
      <c r="V21" s="405">
        <v>179</v>
      </c>
      <c r="W21" s="405">
        <v>162</v>
      </c>
      <c r="X21" s="405">
        <v>179</v>
      </c>
      <c r="Y21" s="405">
        <v>11</v>
      </c>
      <c r="Z21" s="405">
        <v>179</v>
      </c>
      <c r="AA21" s="44"/>
      <c r="AB21" s="356"/>
    </row>
    <row r="22" spans="1:28">
      <c r="A22" s="45" t="s">
        <v>127</v>
      </c>
      <c r="B22" s="45" t="s">
        <v>128</v>
      </c>
      <c r="C22" s="46">
        <f t="shared" si="10"/>
        <v>80</v>
      </c>
      <c r="D22" s="46">
        <f t="shared" si="11"/>
        <v>70.285714285714278</v>
      </c>
      <c r="E22" s="46">
        <f t="shared" si="12"/>
        <v>84</v>
      </c>
      <c r="F22" s="46">
        <f t="shared" si="13"/>
        <v>87.428571428571431</v>
      </c>
      <c r="G22" s="46">
        <f t="shared" si="14"/>
        <v>90.285714285714278</v>
      </c>
      <c r="H22" s="46">
        <f t="shared" si="15"/>
        <v>8</v>
      </c>
      <c r="I22" s="528">
        <f t="shared" si="16"/>
        <v>13.714285714285722</v>
      </c>
      <c r="J22" s="528">
        <f t="shared" si="17"/>
        <v>3.4285714285714306</v>
      </c>
      <c r="K22" s="528">
        <f t="shared" si="18"/>
        <v>2.857142857142847</v>
      </c>
      <c r="L22" s="531">
        <f t="shared" si="19"/>
        <v>6.2857142857142776</v>
      </c>
      <c r="M22" s="531">
        <f t="shared" si="20"/>
        <v>20</v>
      </c>
      <c r="N22" s="527">
        <v>100</v>
      </c>
      <c r="O22" s="405">
        <v>140</v>
      </c>
      <c r="P22" s="405">
        <v>175</v>
      </c>
      <c r="Q22" s="405">
        <v>123</v>
      </c>
      <c r="R22" s="405">
        <v>175</v>
      </c>
      <c r="S22" s="405">
        <v>147</v>
      </c>
      <c r="T22" s="405">
        <v>175</v>
      </c>
      <c r="U22" s="405">
        <v>153</v>
      </c>
      <c r="V22" s="405">
        <v>175</v>
      </c>
      <c r="W22" s="405">
        <v>158</v>
      </c>
      <c r="X22" s="405">
        <v>175</v>
      </c>
      <c r="Y22" s="405">
        <v>14</v>
      </c>
      <c r="Z22" s="405">
        <v>175</v>
      </c>
      <c r="AA22" s="44"/>
      <c r="AB22" s="356"/>
    </row>
    <row r="23" spans="1:28">
      <c r="A23" s="45" t="s">
        <v>185</v>
      </c>
      <c r="B23" s="45" t="s">
        <v>85</v>
      </c>
      <c r="C23" s="46">
        <f t="shared" si="10"/>
        <v>79.642857142857139</v>
      </c>
      <c r="D23" s="46">
        <f t="shared" si="11"/>
        <v>71.071428571428569</v>
      </c>
      <c r="E23" s="46">
        <f t="shared" si="12"/>
        <v>85</v>
      </c>
      <c r="F23" s="46">
        <f t="shared" si="13"/>
        <v>85.714285714285708</v>
      </c>
      <c r="G23" s="46">
        <f t="shared" si="14"/>
        <v>90</v>
      </c>
      <c r="H23" s="46">
        <f t="shared" si="15"/>
        <v>4.6428571428571432</v>
      </c>
      <c r="I23" s="528">
        <f t="shared" si="16"/>
        <v>13.928571428571431</v>
      </c>
      <c r="J23" s="528">
        <f t="shared" si="17"/>
        <v>0.7142857142857082</v>
      </c>
      <c r="K23" s="528">
        <f t="shared" si="18"/>
        <v>4.2857142857142918</v>
      </c>
      <c r="L23" s="531">
        <f t="shared" si="19"/>
        <v>5</v>
      </c>
      <c r="M23" s="531">
        <f t="shared" si="20"/>
        <v>18.928571428571431</v>
      </c>
      <c r="N23" s="527">
        <v>100</v>
      </c>
      <c r="O23" s="405">
        <v>223</v>
      </c>
      <c r="P23" s="405">
        <v>280</v>
      </c>
      <c r="Q23" s="405">
        <v>199</v>
      </c>
      <c r="R23" s="405">
        <v>280</v>
      </c>
      <c r="S23" s="405">
        <v>238</v>
      </c>
      <c r="T23" s="405">
        <v>280</v>
      </c>
      <c r="U23" s="405">
        <v>240</v>
      </c>
      <c r="V23" s="405">
        <v>280</v>
      </c>
      <c r="W23" s="405">
        <v>252</v>
      </c>
      <c r="X23" s="405">
        <v>280</v>
      </c>
      <c r="Y23" s="405">
        <v>13</v>
      </c>
      <c r="Z23" s="405">
        <v>280</v>
      </c>
      <c r="AA23" s="44"/>
      <c r="AB23" s="356"/>
    </row>
    <row r="24" spans="1:28">
      <c r="A24" s="45" t="s">
        <v>101</v>
      </c>
      <c r="B24" s="45" t="s">
        <v>102</v>
      </c>
      <c r="C24" s="46">
        <f t="shared" si="10"/>
        <v>80.08298755186722</v>
      </c>
      <c r="D24" s="46">
        <f t="shared" si="11"/>
        <v>73.443983402489636</v>
      </c>
      <c r="E24" s="46">
        <f t="shared" si="12"/>
        <v>84.647302904564313</v>
      </c>
      <c r="F24" s="46">
        <f t="shared" si="13"/>
        <v>86.30705394190872</v>
      </c>
      <c r="G24" s="46">
        <f t="shared" si="14"/>
        <v>89.626556016597519</v>
      </c>
      <c r="H24" s="46">
        <f t="shared" si="15"/>
        <v>5.394190871369295</v>
      </c>
      <c r="I24" s="528">
        <f t="shared" si="16"/>
        <v>11.203319502074677</v>
      </c>
      <c r="J24" s="528">
        <f t="shared" si="17"/>
        <v>1.6597510373444067</v>
      </c>
      <c r="K24" s="528">
        <f t="shared" si="18"/>
        <v>3.3195020746887991</v>
      </c>
      <c r="L24" s="531">
        <f t="shared" si="19"/>
        <v>4.9792531120332058</v>
      </c>
      <c r="M24" s="531">
        <f t="shared" si="20"/>
        <v>16.182572614107883</v>
      </c>
      <c r="N24" s="527">
        <v>100</v>
      </c>
      <c r="O24" s="405">
        <v>193</v>
      </c>
      <c r="P24" s="405">
        <v>241</v>
      </c>
      <c r="Q24" s="405">
        <v>177</v>
      </c>
      <c r="R24" s="405">
        <v>241</v>
      </c>
      <c r="S24" s="405">
        <v>204</v>
      </c>
      <c r="T24" s="405">
        <v>241</v>
      </c>
      <c r="U24" s="405">
        <v>208</v>
      </c>
      <c r="V24" s="405">
        <v>241</v>
      </c>
      <c r="W24" s="405">
        <v>216</v>
      </c>
      <c r="X24" s="405">
        <v>241</v>
      </c>
      <c r="Y24" s="405">
        <v>13</v>
      </c>
      <c r="Z24" s="405">
        <v>241</v>
      </c>
      <c r="AA24" s="44"/>
      <c r="AB24" s="356"/>
    </row>
    <row r="25" spans="1:28">
      <c r="A25" s="45" t="s">
        <v>459</v>
      </c>
      <c r="B25" s="45" t="s">
        <v>460</v>
      </c>
      <c r="C25" s="46">
        <f t="shared" si="10"/>
        <v>75.340909090909093</v>
      </c>
      <c r="D25" s="46">
        <f t="shared" si="11"/>
        <v>61.477272727272727</v>
      </c>
      <c r="E25" s="46">
        <f t="shared" si="12"/>
        <v>82.38636363636364</v>
      </c>
      <c r="F25" s="46">
        <f t="shared" si="13"/>
        <v>84.090909090909093</v>
      </c>
      <c r="G25" s="46">
        <f t="shared" si="14"/>
        <v>87.840909090909093</v>
      </c>
      <c r="H25" s="46">
        <f t="shared" si="15"/>
        <v>4.8863636363636367</v>
      </c>
      <c r="I25" s="528">
        <f t="shared" si="16"/>
        <v>20.909090909090914</v>
      </c>
      <c r="J25" s="528">
        <f t="shared" si="17"/>
        <v>1.7045454545454533</v>
      </c>
      <c r="K25" s="528">
        <f t="shared" si="18"/>
        <v>3.75</v>
      </c>
      <c r="L25" s="531">
        <f t="shared" si="19"/>
        <v>5.4545454545454533</v>
      </c>
      <c r="M25" s="531">
        <f t="shared" si="20"/>
        <v>26.363636363636367</v>
      </c>
      <c r="N25" s="527">
        <v>100</v>
      </c>
      <c r="O25" s="405">
        <v>663</v>
      </c>
      <c r="P25" s="405">
        <v>880</v>
      </c>
      <c r="Q25" s="405">
        <v>541</v>
      </c>
      <c r="R25" s="405">
        <v>880</v>
      </c>
      <c r="S25" s="405">
        <v>725</v>
      </c>
      <c r="T25" s="405">
        <v>880</v>
      </c>
      <c r="U25" s="405">
        <v>740</v>
      </c>
      <c r="V25" s="405">
        <v>880</v>
      </c>
      <c r="W25" s="405">
        <v>773</v>
      </c>
      <c r="X25" s="405">
        <v>880</v>
      </c>
      <c r="Y25" s="405">
        <v>43</v>
      </c>
      <c r="Z25" s="405">
        <v>880</v>
      </c>
      <c r="AA25" s="44"/>
      <c r="AB25" s="356"/>
    </row>
    <row r="26" spans="1:28">
      <c r="A26" s="45" t="s">
        <v>175</v>
      </c>
      <c r="B26" s="45" t="s">
        <v>75</v>
      </c>
      <c r="C26" s="46">
        <f t="shared" si="10"/>
        <v>80.705394190871374</v>
      </c>
      <c r="D26" s="46">
        <f t="shared" si="11"/>
        <v>72.821576763485467</v>
      </c>
      <c r="E26" s="46">
        <f t="shared" si="12"/>
        <v>81.742738589211612</v>
      </c>
      <c r="F26" s="46">
        <f t="shared" si="13"/>
        <v>84.024896265560173</v>
      </c>
      <c r="G26" s="46">
        <f t="shared" si="14"/>
        <v>87.344398340248958</v>
      </c>
      <c r="H26" s="46">
        <f t="shared" si="15"/>
        <v>7.0539419087136928</v>
      </c>
      <c r="I26" s="528">
        <f t="shared" si="16"/>
        <v>8.9211618257261449</v>
      </c>
      <c r="J26" s="528">
        <f t="shared" si="17"/>
        <v>2.2821576763485609</v>
      </c>
      <c r="K26" s="528">
        <f t="shared" si="18"/>
        <v>3.3195020746887849</v>
      </c>
      <c r="L26" s="531">
        <f t="shared" si="19"/>
        <v>5.6016597510373458</v>
      </c>
      <c r="M26" s="531">
        <f t="shared" si="20"/>
        <v>14.522821576763491</v>
      </c>
      <c r="N26" s="527">
        <v>100</v>
      </c>
      <c r="O26" s="405">
        <v>389</v>
      </c>
      <c r="P26" s="405">
        <v>482</v>
      </c>
      <c r="Q26" s="405">
        <v>351</v>
      </c>
      <c r="R26" s="405">
        <v>482</v>
      </c>
      <c r="S26" s="405">
        <v>394</v>
      </c>
      <c r="T26" s="405">
        <v>482</v>
      </c>
      <c r="U26" s="405">
        <v>405</v>
      </c>
      <c r="V26" s="405">
        <v>482</v>
      </c>
      <c r="W26" s="405">
        <v>421</v>
      </c>
      <c r="X26" s="405">
        <v>482</v>
      </c>
      <c r="Y26" s="405">
        <v>34</v>
      </c>
      <c r="Z26" s="405">
        <v>482</v>
      </c>
      <c r="AA26" s="44"/>
      <c r="AB26" s="356"/>
    </row>
    <row r="27" spans="1:28">
      <c r="A27" s="45" t="s">
        <v>82</v>
      </c>
      <c r="B27" s="45" t="s">
        <v>83</v>
      </c>
      <c r="C27" s="46">
        <f t="shared" si="10"/>
        <v>77.241379310344826</v>
      </c>
      <c r="D27" s="46">
        <f t="shared" si="11"/>
        <v>69.655172413793096</v>
      </c>
      <c r="E27" s="46">
        <f t="shared" si="12"/>
        <v>80.689655172413794</v>
      </c>
      <c r="F27" s="46">
        <f t="shared" si="13"/>
        <v>82.068965517241381</v>
      </c>
      <c r="G27" s="46">
        <f t="shared" si="14"/>
        <v>86.896551724137922</v>
      </c>
      <c r="H27" s="46">
        <f t="shared" si="15"/>
        <v>7.5862068965517242</v>
      </c>
      <c r="I27" s="528">
        <f t="shared" si="16"/>
        <v>11.034482758620697</v>
      </c>
      <c r="J27" s="528">
        <f t="shared" si="17"/>
        <v>1.3793103448275872</v>
      </c>
      <c r="K27" s="528">
        <f t="shared" si="18"/>
        <v>4.8275862068965409</v>
      </c>
      <c r="L27" s="531">
        <f t="shared" si="19"/>
        <v>6.2068965517241281</v>
      </c>
      <c r="M27" s="531">
        <f t="shared" si="20"/>
        <v>17.241379310344826</v>
      </c>
      <c r="N27" s="527">
        <v>100</v>
      </c>
      <c r="O27" s="405">
        <v>112</v>
      </c>
      <c r="P27" s="405">
        <v>145</v>
      </c>
      <c r="Q27" s="405">
        <v>101</v>
      </c>
      <c r="R27" s="405">
        <v>145</v>
      </c>
      <c r="S27" s="405">
        <v>117</v>
      </c>
      <c r="T27" s="405">
        <v>145</v>
      </c>
      <c r="U27" s="405">
        <v>119</v>
      </c>
      <c r="V27" s="405">
        <v>145</v>
      </c>
      <c r="W27" s="405">
        <v>126</v>
      </c>
      <c r="X27" s="405">
        <v>145</v>
      </c>
      <c r="Y27" s="405">
        <v>11</v>
      </c>
      <c r="Z27" s="405">
        <v>145</v>
      </c>
      <c r="AA27" s="44"/>
      <c r="AB27" s="356"/>
    </row>
    <row r="28" spans="1:28">
      <c r="A28" s="45" t="s">
        <v>112</v>
      </c>
      <c r="B28" s="45" t="s">
        <v>113</v>
      </c>
      <c r="C28" s="46">
        <f t="shared" si="10"/>
        <v>82.178217821782169</v>
      </c>
      <c r="D28" s="46">
        <f t="shared" si="11"/>
        <v>72.277227722772281</v>
      </c>
      <c r="E28" s="46">
        <f t="shared" si="12"/>
        <v>78.21782178217822</v>
      </c>
      <c r="F28" s="46">
        <f t="shared" si="13"/>
        <v>81.188118811881196</v>
      </c>
      <c r="G28" s="46">
        <f t="shared" si="14"/>
        <v>86.633663366336634</v>
      </c>
      <c r="H28" s="46">
        <f t="shared" si="15"/>
        <v>3.4653465346534658</v>
      </c>
      <c r="I28" s="528">
        <f t="shared" si="16"/>
        <v>5.9405940594059388</v>
      </c>
      <c r="J28" s="528">
        <f t="shared" si="17"/>
        <v>2.9702970297029765</v>
      </c>
      <c r="K28" s="528">
        <f t="shared" si="18"/>
        <v>5.4455445544554379</v>
      </c>
      <c r="L28" s="531">
        <f t="shared" si="19"/>
        <v>8.4158415841584144</v>
      </c>
      <c r="M28" s="531">
        <f t="shared" si="20"/>
        <v>14.356435643564353</v>
      </c>
      <c r="N28" s="527">
        <v>100</v>
      </c>
      <c r="O28" s="405">
        <v>166</v>
      </c>
      <c r="P28" s="405">
        <v>202</v>
      </c>
      <c r="Q28" s="405">
        <v>146</v>
      </c>
      <c r="R28" s="405">
        <v>202</v>
      </c>
      <c r="S28" s="405">
        <v>158</v>
      </c>
      <c r="T28" s="405">
        <v>202</v>
      </c>
      <c r="U28" s="405">
        <v>164</v>
      </c>
      <c r="V28" s="405">
        <v>202</v>
      </c>
      <c r="W28" s="405">
        <v>175</v>
      </c>
      <c r="X28" s="405">
        <v>202</v>
      </c>
      <c r="Y28" s="405">
        <v>7</v>
      </c>
      <c r="Z28" s="405">
        <v>202</v>
      </c>
      <c r="AA28" s="44"/>
      <c r="AB28" s="356"/>
    </row>
    <row r="29" spans="1:28">
      <c r="A29" s="45" t="s">
        <v>68</v>
      </c>
      <c r="B29" s="45" t="s">
        <v>69</v>
      </c>
      <c r="C29" s="46">
        <f t="shared" si="10"/>
        <v>80.769230769230774</v>
      </c>
      <c r="D29" s="46">
        <f t="shared" si="11"/>
        <v>50</v>
      </c>
      <c r="E29" s="46">
        <f t="shared" si="12"/>
        <v>65.384615384615387</v>
      </c>
      <c r="F29" s="46">
        <f t="shared" si="13"/>
        <v>65.384615384615387</v>
      </c>
      <c r="G29" s="46">
        <f t="shared" si="14"/>
        <v>84.615384615384613</v>
      </c>
      <c r="H29" s="46">
        <f t="shared" si="15"/>
        <v>7.6923076923076925</v>
      </c>
      <c r="I29" s="528">
        <f t="shared" si="16"/>
        <v>15.384615384615387</v>
      </c>
      <c r="J29" s="528">
        <f t="shared" si="17"/>
        <v>0</v>
      </c>
      <c r="K29" s="528">
        <f t="shared" si="18"/>
        <v>19.230769230769226</v>
      </c>
      <c r="L29" s="531">
        <f t="shared" si="19"/>
        <v>19.230769230769226</v>
      </c>
      <c r="M29" s="531">
        <f t="shared" si="20"/>
        <v>34.615384615384613</v>
      </c>
      <c r="N29" s="527">
        <v>100</v>
      </c>
      <c r="O29" s="405">
        <v>21</v>
      </c>
      <c r="P29" s="405">
        <v>26</v>
      </c>
      <c r="Q29" s="405">
        <v>13</v>
      </c>
      <c r="R29" s="405">
        <v>26</v>
      </c>
      <c r="S29" s="405">
        <v>17</v>
      </c>
      <c r="T29" s="405">
        <v>26</v>
      </c>
      <c r="U29" s="405">
        <v>17</v>
      </c>
      <c r="V29" s="405">
        <v>26</v>
      </c>
      <c r="W29" s="405">
        <v>22</v>
      </c>
      <c r="X29" s="405">
        <v>26</v>
      </c>
      <c r="Y29" s="405">
        <v>2</v>
      </c>
      <c r="Z29" s="405">
        <v>26</v>
      </c>
      <c r="AA29" s="44"/>
      <c r="AB29" s="356"/>
    </row>
    <row r="30" spans="1:28">
      <c r="A30" s="45" t="s">
        <v>118</v>
      </c>
      <c r="B30" s="45" t="s">
        <v>119</v>
      </c>
      <c r="C30" s="46">
        <f t="shared" si="10"/>
        <v>69.230769230769226</v>
      </c>
      <c r="D30" s="46">
        <f t="shared" si="11"/>
        <v>61.53846153846154</v>
      </c>
      <c r="E30" s="46">
        <f t="shared" si="12"/>
        <v>73.076923076923066</v>
      </c>
      <c r="F30" s="46">
        <f t="shared" si="13"/>
        <v>80.769230769230774</v>
      </c>
      <c r="G30" s="46">
        <f t="shared" si="14"/>
        <v>80.769230769230774</v>
      </c>
      <c r="H30" s="46">
        <f t="shared" si="15"/>
        <v>7.6923076923076925</v>
      </c>
      <c r="I30" s="528">
        <f t="shared" si="16"/>
        <v>11.538461538461526</v>
      </c>
      <c r="J30" s="528">
        <f t="shared" si="17"/>
        <v>7.6923076923077076</v>
      </c>
      <c r="K30" s="528">
        <f t="shared" si="18"/>
        <v>0</v>
      </c>
      <c r="L30" s="531">
        <f t="shared" si="19"/>
        <v>7.6923076923077076</v>
      </c>
      <c r="M30" s="531">
        <f t="shared" si="20"/>
        <v>19.230769230769234</v>
      </c>
      <c r="N30" s="527">
        <v>100</v>
      </c>
      <c r="O30" s="405">
        <v>18</v>
      </c>
      <c r="P30" s="405">
        <v>26</v>
      </c>
      <c r="Q30" s="405">
        <v>16</v>
      </c>
      <c r="R30" s="405">
        <v>26</v>
      </c>
      <c r="S30" s="405">
        <v>19</v>
      </c>
      <c r="T30" s="405">
        <v>26</v>
      </c>
      <c r="U30" s="405">
        <v>21</v>
      </c>
      <c r="V30" s="405">
        <v>26</v>
      </c>
      <c r="W30" s="405">
        <v>21</v>
      </c>
      <c r="X30" s="405">
        <v>26</v>
      </c>
      <c r="Y30" s="405">
        <v>2</v>
      </c>
      <c r="Z30" s="405">
        <v>26</v>
      </c>
      <c r="AA30" s="44"/>
      <c r="AB30" s="356"/>
    </row>
    <row r="31" spans="1:28">
      <c r="A31" s="45" t="s">
        <v>58</v>
      </c>
      <c r="B31" s="45" t="s">
        <v>57</v>
      </c>
      <c r="C31" s="46">
        <f t="shared" si="10"/>
        <v>25.925925925925924</v>
      </c>
      <c r="D31" s="46">
        <f t="shared" si="11"/>
        <v>3.7037037037037033</v>
      </c>
      <c r="E31" s="46">
        <f t="shared" si="12"/>
        <v>22.222222222222221</v>
      </c>
      <c r="F31" s="46">
        <f t="shared" si="13"/>
        <v>22.222222222222221</v>
      </c>
      <c r="G31" s="46">
        <f t="shared" si="14"/>
        <v>29.629629629629626</v>
      </c>
      <c r="H31" s="46">
        <f t="shared" si="15"/>
        <v>18.518518518518519</v>
      </c>
      <c r="I31" s="526">
        <f t="shared" si="16"/>
        <v>18.518518518518519</v>
      </c>
      <c r="J31" s="525">
        <f t="shared" si="17"/>
        <v>0</v>
      </c>
      <c r="K31" s="525">
        <f t="shared" si="18"/>
        <v>7.4074074074074048</v>
      </c>
      <c r="L31" s="530">
        <f t="shared" si="19"/>
        <v>7.4074074074074048</v>
      </c>
      <c r="M31" s="530">
        <f t="shared" si="20"/>
        <v>25.925925925925924</v>
      </c>
      <c r="N31" s="524">
        <v>100</v>
      </c>
      <c r="O31" s="405">
        <v>7</v>
      </c>
      <c r="P31" s="405">
        <v>27</v>
      </c>
      <c r="Q31" s="405">
        <v>1</v>
      </c>
      <c r="R31" s="405">
        <v>27</v>
      </c>
      <c r="S31" s="405">
        <v>6</v>
      </c>
      <c r="T31" s="405">
        <v>27</v>
      </c>
      <c r="U31" s="405">
        <v>6</v>
      </c>
      <c r="V31" s="405">
        <v>27</v>
      </c>
      <c r="W31" s="405">
        <v>8</v>
      </c>
      <c r="X31" s="405">
        <v>27</v>
      </c>
      <c r="Y31" s="405">
        <v>5</v>
      </c>
      <c r="Z31" s="405">
        <v>27</v>
      </c>
      <c r="AA31" s="44"/>
      <c r="AB31" s="356"/>
    </row>
    <row r="32" spans="1:28">
      <c r="A32" s="51"/>
      <c r="C32" s="34"/>
      <c r="D32" s="34"/>
      <c r="E32" s="34"/>
      <c r="F32" s="34"/>
      <c r="G32" s="34"/>
      <c r="H32" s="34"/>
      <c r="I32" s="34"/>
      <c r="J32" s="34"/>
      <c r="K32" s="34"/>
      <c r="L32" s="34"/>
      <c r="M32" s="34"/>
    </row>
    <row r="33" spans="1:26" ht="30" customHeight="1">
      <c r="A33" s="1030" t="s">
        <v>135</v>
      </c>
      <c r="B33" s="1031"/>
      <c r="C33" s="1015" t="s">
        <v>42</v>
      </c>
      <c r="D33" s="1016"/>
      <c r="E33" s="1016"/>
      <c r="F33" s="1016"/>
      <c r="G33" s="1016"/>
      <c r="H33" s="1017"/>
      <c r="I33" s="1032"/>
      <c r="J33" s="1033"/>
      <c r="K33" s="1033"/>
      <c r="L33" s="1033"/>
      <c r="M33" s="1033"/>
      <c r="N33" s="1034"/>
      <c r="O33" s="1018" t="s">
        <v>48</v>
      </c>
      <c r="P33" s="1018"/>
      <c r="Q33" s="1018" t="s">
        <v>142</v>
      </c>
      <c r="R33" s="1018"/>
      <c r="S33" s="1018" t="s">
        <v>143</v>
      </c>
      <c r="T33" s="1018"/>
      <c r="U33" s="1018" t="s">
        <v>144</v>
      </c>
      <c r="V33" s="1018"/>
      <c r="W33" s="1018" t="s">
        <v>145</v>
      </c>
      <c r="X33" s="1018"/>
      <c r="Y33" s="1018" t="s">
        <v>146</v>
      </c>
      <c r="Z33" s="1019"/>
    </row>
    <row r="34" spans="1:26" ht="35.1" customHeight="1">
      <c r="A34" s="52"/>
      <c r="B34" s="53" t="s">
        <v>137</v>
      </c>
      <c r="C34" s="40" t="s">
        <v>51</v>
      </c>
      <c r="D34" s="40" t="s">
        <v>147</v>
      </c>
      <c r="E34" s="40" t="s">
        <v>148</v>
      </c>
      <c r="F34" s="40" t="s">
        <v>149</v>
      </c>
      <c r="G34" s="40" t="s">
        <v>150</v>
      </c>
      <c r="H34" s="40" t="s">
        <v>151</v>
      </c>
      <c r="I34" s="1035"/>
      <c r="J34" s="1036"/>
      <c r="K34" s="1036"/>
      <c r="L34" s="1036"/>
      <c r="M34" s="1036"/>
      <c r="N34" s="1037"/>
      <c r="O34" s="43" t="s">
        <v>26</v>
      </c>
      <c r="P34" s="43" t="s">
        <v>27</v>
      </c>
      <c r="Q34" s="43" t="s">
        <v>26</v>
      </c>
      <c r="R34" s="43" t="s">
        <v>27</v>
      </c>
      <c r="S34" s="43" t="s">
        <v>26</v>
      </c>
      <c r="T34" s="43" t="s">
        <v>27</v>
      </c>
      <c r="U34" s="43" t="s">
        <v>26</v>
      </c>
      <c r="V34" s="43" t="s">
        <v>27</v>
      </c>
      <c r="W34" s="43" t="s">
        <v>26</v>
      </c>
      <c r="X34" s="43" t="s">
        <v>27</v>
      </c>
      <c r="Y34" s="43" t="s">
        <v>26</v>
      </c>
      <c r="Z34" s="65" t="s">
        <v>27</v>
      </c>
    </row>
    <row r="35" spans="1:26">
      <c r="A35" s="1020"/>
      <c r="B35" s="45" t="s">
        <v>33</v>
      </c>
      <c r="C35" s="46">
        <f t="shared" ref="C35:C48" si="21">IF(ISERR(O35/P35*100),"",O35/P35*100)</f>
        <v>88.114104595879567</v>
      </c>
      <c r="D35" s="46">
        <f t="shared" ref="D35:D48" si="22">IF(ISERR(Q35/R35*100),"",Q35/R35*100)</f>
        <v>79.397781299524567</v>
      </c>
      <c r="E35" s="46">
        <f t="shared" ref="E35:E48" si="23">IF(ISERR(S35/T35*100),"",S35/T35*100)</f>
        <v>90.174326465927095</v>
      </c>
      <c r="F35" s="46">
        <f t="shared" ref="F35:F48" si="24">IF(ISERR(U35/V35*100),"",U35/V35*100)</f>
        <v>91.283676703645014</v>
      </c>
      <c r="G35" s="46">
        <f t="shared" ref="G35:G48" si="25">IF(ISERR(W35/X35*100),"",W35/X35*100)</f>
        <v>93.660855784469106</v>
      </c>
      <c r="H35" s="46">
        <f t="shared" ref="H35:H48" si="26">IF(ISERR(Y35/Z35*100),"",Y35/Z35*100)</f>
        <v>2.8526148969889067</v>
      </c>
      <c r="I35" s="1023"/>
      <c r="J35" s="1024"/>
      <c r="K35" s="1024"/>
      <c r="L35" s="1024"/>
      <c r="M35" s="1024"/>
      <c r="N35" s="1025"/>
      <c r="O35" s="406">
        <v>556</v>
      </c>
      <c r="P35" s="406">
        <v>631</v>
      </c>
      <c r="Q35" s="520">
        <v>501</v>
      </c>
      <c r="R35" s="520">
        <v>631</v>
      </c>
      <c r="S35" s="407">
        <v>569</v>
      </c>
      <c r="T35" s="407">
        <v>631</v>
      </c>
      <c r="U35" s="407">
        <v>576</v>
      </c>
      <c r="V35" s="407">
        <v>631</v>
      </c>
      <c r="W35" s="407">
        <v>591</v>
      </c>
      <c r="X35" s="407">
        <v>631</v>
      </c>
      <c r="Y35" s="407">
        <v>18</v>
      </c>
      <c r="Z35" s="407">
        <v>631</v>
      </c>
    </row>
    <row r="36" spans="1:26">
      <c r="A36" s="1021"/>
      <c r="B36" s="45" t="s">
        <v>28</v>
      </c>
      <c r="C36" s="46">
        <f t="shared" si="21"/>
        <v>93.16770186335404</v>
      </c>
      <c r="D36" s="46">
        <f t="shared" si="22"/>
        <v>84.472049689440993</v>
      </c>
      <c r="E36" s="46">
        <f t="shared" si="23"/>
        <v>95.031055900621126</v>
      </c>
      <c r="F36" s="46">
        <f t="shared" si="24"/>
        <v>95.652173913043484</v>
      </c>
      <c r="G36" s="46">
        <f t="shared" si="25"/>
        <v>100</v>
      </c>
      <c r="H36" s="46">
        <f t="shared" si="26"/>
        <v>0</v>
      </c>
      <c r="I36" s="1026"/>
      <c r="J36" s="1024"/>
      <c r="K36" s="1024"/>
      <c r="L36" s="1024"/>
      <c r="M36" s="1024"/>
      <c r="N36" s="1025"/>
      <c r="O36" s="406">
        <v>150</v>
      </c>
      <c r="P36" s="406">
        <v>161</v>
      </c>
      <c r="Q36" s="406">
        <v>136</v>
      </c>
      <c r="R36" s="406">
        <v>161</v>
      </c>
      <c r="S36" s="407">
        <v>153</v>
      </c>
      <c r="T36" s="407">
        <v>161</v>
      </c>
      <c r="U36" s="407">
        <v>154</v>
      </c>
      <c r="V36" s="407">
        <v>161</v>
      </c>
      <c r="W36" s="407">
        <v>161</v>
      </c>
      <c r="X36" s="407">
        <v>161</v>
      </c>
      <c r="Y36" s="407">
        <v>0</v>
      </c>
      <c r="Z36" s="407">
        <v>161</v>
      </c>
    </row>
    <row r="37" spans="1:26">
      <c r="A37" s="1021"/>
      <c r="B37" s="45" t="s">
        <v>31</v>
      </c>
      <c r="C37" s="46">
        <f t="shared" si="21"/>
        <v>78.453038674033152</v>
      </c>
      <c r="D37" s="46">
        <f t="shared" si="22"/>
        <v>65.745856353591165</v>
      </c>
      <c r="E37" s="46">
        <f t="shared" si="23"/>
        <v>81.215469613259671</v>
      </c>
      <c r="F37" s="46">
        <f t="shared" si="24"/>
        <v>83.425414364640886</v>
      </c>
      <c r="G37" s="46">
        <f t="shared" si="25"/>
        <v>93.370165745856355</v>
      </c>
      <c r="H37" s="46">
        <f t="shared" si="26"/>
        <v>4.972375690607735</v>
      </c>
      <c r="I37" s="1026"/>
      <c r="J37" s="1024"/>
      <c r="K37" s="1024"/>
      <c r="L37" s="1024"/>
      <c r="M37" s="1024"/>
      <c r="N37" s="1025"/>
      <c r="O37" s="406">
        <v>142</v>
      </c>
      <c r="P37" s="406">
        <v>181</v>
      </c>
      <c r="Q37" s="406">
        <v>119</v>
      </c>
      <c r="R37" s="406">
        <v>181</v>
      </c>
      <c r="S37" s="407">
        <v>147</v>
      </c>
      <c r="T37" s="407">
        <v>181</v>
      </c>
      <c r="U37" s="407">
        <v>151</v>
      </c>
      <c r="V37" s="407">
        <v>181</v>
      </c>
      <c r="W37" s="407">
        <v>169</v>
      </c>
      <c r="X37" s="407">
        <v>181</v>
      </c>
      <c r="Y37" s="407">
        <v>9</v>
      </c>
      <c r="Z37" s="407">
        <v>181</v>
      </c>
    </row>
    <row r="38" spans="1:26" ht="14.25">
      <c r="A38" s="1021"/>
      <c r="B38" s="45" t="s">
        <v>156</v>
      </c>
      <c r="C38" s="46">
        <f t="shared" si="21"/>
        <v>87.878787878787875</v>
      </c>
      <c r="D38" s="46">
        <f t="shared" si="22"/>
        <v>83.232323232323239</v>
      </c>
      <c r="E38" s="46">
        <f t="shared" si="23"/>
        <v>92.72727272727272</v>
      </c>
      <c r="F38" s="46">
        <f t="shared" si="24"/>
        <v>93.939393939393938</v>
      </c>
      <c r="G38" s="46">
        <f t="shared" si="25"/>
        <v>95.555555555555557</v>
      </c>
      <c r="H38" s="46">
        <f t="shared" si="26"/>
        <v>2.2222222222222223</v>
      </c>
      <c r="I38" s="1026"/>
      <c r="J38" s="1024"/>
      <c r="K38" s="1024"/>
      <c r="L38" s="1024"/>
      <c r="M38" s="1024"/>
      <c r="N38" s="1025"/>
      <c r="O38" s="406">
        <v>435</v>
      </c>
      <c r="P38" s="406">
        <v>495</v>
      </c>
      <c r="Q38" s="406">
        <v>412</v>
      </c>
      <c r="R38" s="406">
        <v>495</v>
      </c>
      <c r="S38" s="407">
        <v>459</v>
      </c>
      <c r="T38" s="407">
        <v>495</v>
      </c>
      <c r="U38" s="407">
        <v>465</v>
      </c>
      <c r="V38" s="407">
        <v>495</v>
      </c>
      <c r="W38" s="407">
        <v>473</v>
      </c>
      <c r="X38" s="407">
        <v>495</v>
      </c>
      <c r="Y38" s="407">
        <v>11</v>
      </c>
      <c r="Z38" s="407">
        <v>495</v>
      </c>
    </row>
    <row r="39" spans="1:26" ht="14.25">
      <c r="A39" s="1021"/>
      <c r="B39" s="45" t="s">
        <v>157</v>
      </c>
      <c r="C39" s="46">
        <f t="shared" si="21"/>
        <v>87.281795511221944</v>
      </c>
      <c r="D39" s="46">
        <f t="shared" si="22"/>
        <v>75.81047381546135</v>
      </c>
      <c r="E39" s="46">
        <f t="shared" si="23"/>
        <v>84.538653366583532</v>
      </c>
      <c r="F39" s="46">
        <f t="shared" si="24"/>
        <v>86.034912718204495</v>
      </c>
      <c r="G39" s="46">
        <f t="shared" si="25"/>
        <v>92.518703241895267</v>
      </c>
      <c r="H39" s="46">
        <f t="shared" si="26"/>
        <v>1.2468827930174564</v>
      </c>
      <c r="I39" s="1026"/>
      <c r="J39" s="1024"/>
      <c r="K39" s="1024"/>
      <c r="L39" s="1024"/>
      <c r="M39" s="1024"/>
      <c r="N39" s="1025"/>
      <c r="O39" s="406">
        <v>350</v>
      </c>
      <c r="P39" s="406">
        <v>401</v>
      </c>
      <c r="Q39" s="406">
        <v>304</v>
      </c>
      <c r="R39" s="406">
        <v>401</v>
      </c>
      <c r="S39" s="407">
        <v>339</v>
      </c>
      <c r="T39" s="407">
        <v>401</v>
      </c>
      <c r="U39" s="407">
        <v>345</v>
      </c>
      <c r="V39" s="407">
        <v>401</v>
      </c>
      <c r="W39" s="407">
        <v>371</v>
      </c>
      <c r="X39" s="407">
        <v>401</v>
      </c>
      <c r="Y39" s="407">
        <v>5</v>
      </c>
      <c r="Z39" s="407">
        <v>401</v>
      </c>
    </row>
    <row r="40" spans="1:26" ht="14.25">
      <c r="A40" s="1021"/>
      <c r="B40" s="45" t="s">
        <v>158</v>
      </c>
      <c r="C40" s="46">
        <f t="shared" si="21"/>
        <v>82.282793867120958</v>
      </c>
      <c r="D40" s="46">
        <f t="shared" si="22"/>
        <v>74.275979557069846</v>
      </c>
      <c r="E40" s="46">
        <f t="shared" si="23"/>
        <v>82.964224872231682</v>
      </c>
      <c r="F40" s="46">
        <f t="shared" si="24"/>
        <v>84.838160136286206</v>
      </c>
      <c r="G40" s="46">
        <f t="shared" si="25"/>
        <v>88.074957410562178</v>
      </c>
      <c r="H40" s="46">
        <f t="shared" si="26"/>
        <v>6.8143100511073254</v>
      </c>
      <c r="I40" s="1026"/>
      <c r="J40" s="1024"/>
      <c r="K40" s="1024"/>
      <c r="L40" s="1024"/>
      <c r="M40" s="1024"/>
      <c r="N40" s="1025"/>
      <c r="O40" s="406">
        <v>483</v>
      </c>
      <c r="P40" s="406">
        <v>587</v>
      </c>
      <c r="Q40" s="406">
        <v>436</v>
      </c>
      <c r="R40" s="406">
        <v>587</v>
      </c>
      <c r="S40" s="407">
        <v>487</v>
      </c>
      <c r="T40" s="407">
        <v>587</v>
      </c>
      <c r="U40" s="407">
        <v>498</v>
      </c>
      <c r="V40" s="407">
        <v>587</v>
      </c>
      <c r="W40" s="407">
        <v>517</v>
      </c>
      <c r="X40" s="407">
        <v>587</v>
      </c>
      <c r="Y40" s="407">
        <v>40</v>
      </c>
      <c r="Z40" s="407">
        <v>587</v>
      </c>
    </row>
    <row r="41" spans="1:26" ht="14.25">
      <c r="A41" s="1021"/>
      <c r="B41" s="45" t="s">
        <v>159</v>
      </c>
      <c r="C41" s="46">
        <f t="shared" si="21"/>
        <v>77.984234234234222</v>
      </c>
      <c r="D41" s="46">
        <f t="shared" si="22"/>
        <v>63.175675675675677</v>
      </c>
      <c r="E41" s="46">
        <f t="shared" si="23"/>
        <v>84.515765765765778</v>
      </c>
      <c r="F41" s="46">
        <f t="shared" si="24"/>
        <v>85.923423423423429</v>
      </c>
      <c r="G41" s="46">
        <f t="shared" si="25"/>
        <v>89.583333333333343</v>
      </c>
      <c r="H41" s="46">
        <f t="shared" si="26"/>
        <v>4.8423423423423424</v>
      </c>
      <c r="I41" s="1026"/>
      <c r="J41" s="1024"/>
      <c r="K41" s="1024"/>
      <c r="L41" s="1024"/>
      <c r="M41" s="1024"/>
      <c r="N41" s="1025"/>
      <c r="O41" s="406">
        <v>1385</v>
      </c>
      <c r="P41" s="406">
        <v>1776</v>
      </c>
      <c r="Q41" s="406">
        <v>1122</v>
      </c>
      <c r="R41" s="406">
        <v>1776</v>
      </c>
      <c r="S41" s="407">
        <v>1501</v>
      </c>
      <c r="T41" s="407">
        <v>1776</v>
      </c>
      <c r="U41" s="407">
        <v>1526</v>
      </c>
      <c r="V41" s="407">
        <v>1776</v>
      </c>
      <c r="W41" s="407">
        <v>1591</v>
      </c>
      <c r="X41" s="407">
        <v>1776</v>
      </c>
      <c r="Y41" s="407">
        <v>86</v>
      </c>
      <c r="Z41" s="407">
        <v>1776</v>
      </c>
    </row>
    <row r="42" spans="1:26">
      <c r="A42" s="1021"/>
      <c r="B42" s="45" t="s">
        <v>36</v>
      </c>
      <c r="C42" s="46">
        <f t="shared" si="21"/>
        <v>91.011235955056179</v>
      </c>
      <c r="D42" s="46">
        <f t="shared" si="22"/>
        <v>82.022471910112358</v>
      </c>
      <c r="E42" s="46">
        <f t="shared" si="23"/>
        <v>92.415730337078656</v>
      </c>
      <c r="F42" s="46">
        <f t="shared" si="24"/>
        <v>93.258426966292134</v>
      </c>
      <c r="G42" s="46">
        <f t="shared" si="25"/>
        <v>96.629213483146074</v>
      </c>
      <c r="H42" s="46">
        <f t="shared" si="26"/>
        <v>1.6853932584269662</v>
      </c>
      <c r="I42" s="1026"/>
      <c r="J42" s="1024"/>
      <c r="K42" s="1024"/>
      <c r="L42" s="1024"/>
      <c r="M42" s="1024"/>
      <c r="N42" s="1025"/>
      <c r="O42" s="406">
        <v>324</v>
      </c>
      <c r="P42" s="406">
        <v>356</v>
      </c>
      <c r="Q42" s="406">
        <v>292</v>
      </c>
      <c r="R42" s="406">
        <v>356</v>
      </c>
      <c r="S42" s="407">
        <v>329</v>
      </c>
      <c r="T42" s="407">
        <v>356</v>
      </c>
      <c r="U42" s="407">
        <v>332</v>
      </c>
      <c r="V42" s="407">
        <v>356</v>
      </c>
      <c r="W42" s="407">
        <v>344</v>
      </c>
      <c r="X42" s="407">
        <v>356</v>
      </c>
      <c r="Y42" s="407">
        <v>6</v>
      </c>
      <c r="Z42" s="407">
        <v>356</v>
      </c>
    </row>
    <row r="43" spans="1:26">
      <c r="A43" s="1021"/>
      <c r="B43" s="45" t="s">
        <v>29</v>
      </c>
      <c r="C43" s="46">
        <f t="shared" si="21"/>
        <v>84.106891701828417</v>
      </c>
      <c r="D43" s="46">
        <f t="shared" si="22"/>
        <v>65.119549929676509</v>
      </c>
      <c r="E43" s="46">
        <f t="shared" si="23"/>
        <v>85.654008438818565</v>
      </c>
      <c r="F43" s="46">
        <f t="shared" si="24"/>
        <v>87.904360056258795</v>
      </c>
      <c r="G43" s="46">
        <f t="shared" si="25"/>
        <v>92.686357243319279</v>
      </c>
      <c r="H43" s="46">
        <f t="shared" si="26"/>
        <v>3.6568213783403656</v>
      </c>
      <c r="I43" s="1026"/>
      <c r="J43" s="1024"/>
      <c r="K43" s="1024"/>
      <c r="L43" s="1024"/>
      <c r="M43" s="1024"/>
      <c r="N43" s="1025"/>
      <c r="O43" s="406">
        <v>598</v>
      </c>
      <c r="P43" s="406">
        <v>711</v>
      </c>
      <c r="Q43" s="406">
        <v>463</v>
      </c>
      <c r="R43" s="406">
        <v>711</v>
      </c>
      <c r="S43" s="407">
        <v>609</v>
      </c>
      <c r="T43" s="407">
        <v>711</v>
      </c>
      <c r="U43" s="407">
        <v>625</v>
      </c>
      <c r="V43" s="407">
        <v>711</v>
      </c>
      <c r="W43" s="407">
        <v>659</v>
      </c>
      <c r="X43" s="407">
        <v>711</v>
      </c>
      <c r="Y43" s="407">
        <v>26</v>
      </c>
      <c r="Z43" s="407">
        <v>711</v>
      </c>
    </row>
    <row r="44" spans="1:26">
      <c r="A44" s="1021"/>
      <c r="B44" s="45" t="s">
        <v>38</v>
      </c>
      <c r="C44" s="46">
        <f t="shared" si="21"/>
        <v>82.256596906278432</v>
      </c>
      <c r="D44" s="46">
        <f t="shared" si="22"/>
        <v>73.976342129208376</v>
      </c>
      <c r="E44" s="46">
        <f t="shared" si="23"/>
        <v>84.804367606915378</v>
      </c>
      <c r="F44" s="46">
        <f t="shared" si="24"/>
        <v>86.988171064604174</v>
      </c>
      <c r="G44" s="46">
        <f t="shared" si="25"/>
        <v>89.899909008189255</v>
      </c>
      <c r="H44" s="46">
        <f t="shared" si="26"/>
        <v>5.095541401273886</v>
      </c>
      <c r="I44" s="1026"/>
      <c r="J44" s="1024"/>
      <c r="K44" s="1024"/>
      <c r="L44" s="1024"/>
      <c r="M44" s="1024"/>
      <c r="N44" s="1025"/>
      <c r="O44" s="406">
        <v>904</v>
      </c>
      <c r="P44" s="406">
        <v>1099</v>
      </c>
      <c r="Q44" s="406">
        <v>813</v>
      </c>
      <c r="R44" s="406">
        <v>1099</v>
      </c>
      <c r="S44" s="407">
        <v>932</v>
      </c>
      <c r="T44" s="407">
        <v>1099</v>
      </c>
      <c r="U44" s="407">
        <v>956</v>
      </c>
      <c r="V44" s="407">
        <v>1099</v>
      </c>
      <c r="W44" s="407">
        <v>988</v>
      </c>
      <c r="X44" s="407">
        <v>1099</v>
      </c>
      <c r="Y44" s="407">
        <v>56</v>
      </c>
      <c r="Z44" s="407">
        <v>1099</v>
      </c>
    </row>
    <row r="45" spans="1:26" ht="14.25">
      <c r="A45" s="1021"/>
      <c r="B45" s="45" t="s">
        <v>160</v>
      </c>
      <c r="C45" s="46">
        <f t="shared" si="21"/>
        <v>69.230769230769226</v>
      </c>
      <c r="D45" s="46">
        <f t="shared" si="22"/>
        <v>61.53846153846154</v>
      </c>
      <c r="E45" s="46">
        <f t="shared" si="23"/>
        <v>73.076923076923066</v>
      </c>
      <c r="F45" s="46">
        <f t="shared" si="24"/>
        <v>80.769230769230774</v>
      </c>
      <c r="G45" s="46">
        <f t="shared" si="25"/>
        <v>80.769230769230774</v>
      </c>
      <c r="H45" s="46">
        <f t="shared" si="26"/>
        <v>7.6923076923076925</v>
      </c>
      <c r="I45" s="1026"/>
      <c r="J45" s="1024"/>
      <c r="K45" s="1024"/>
      <c r="L45" s="1024"/>
      <c r="M45" s="1024"/>
      <c r="N45" s="1025"/>
      <c r="O45" s="406">
        <v>18</v>
      </c>
      <c r="P45" s="406">
        <v>26</v>
      </c>
      <c r="Q45" s="406">
        <v>16</v>
      </c>
      <c r="R45" s="406">
        <v>26</v>
      </c>
      <c r="S45" s="407">
        <v>19</v>
      </c>
      <c r="T45" s="407">
        <v>26</v>
      </c>
      <c r="U45" s="407">
        <v>21</v>
      </c>
      <c r="V45" s="407">
        <v>26</v>
      </c>
      <c r="W45" s="407">
        <v>21</v>
      </c>
      <c r="X45" s="407">
        <v>26</v>
      </c>
      <c r="Y45" s="407">
        <v>2</v>
      </c>
      <c r="Z45" s="407">
        <v>26</v>
      </c>
    </row>
    <row r="46" spans="1:26">
      <c r="A46" s="1021"/>
      <c r="B46" s="45" t="s">
        <v>39</v>
      </c>
      <c r="C46" s="46">
        <f t="shared" si="21"/>
        <v>86.666666666666671</v>
      </c>
      <c r="D46" s="46">
        <f t="shared" si="22"/>
        <v>53.333333333333336</v>
      </c>
      <c r="E46" s="46">
        <f t="shared" si="23"/>
        <v>63.333333333333329</v>
      </c>
      <c r="F46" s="46">
        <f t="shared" si="24"/>
        <v>63.333333333333329</v>
      </c>
      <c r="G46" s="46">
        <f t="shared" si="25"/>
        <v>93.333333333333329</v>
      </c>
      <c r="H46" s="46">
        <f t="shared" si="26"/>
        <v>0</v>
      </c>
      <c r="I46" s="1026"/>
      <c r="J46" s="1024"/>
      <c r="K46" s="1024"/>
      <c r="L46" s="1024"/>
      <c r="M46" s="1024"/>
      <c r="N46" s="1025"/>
      <c r="O46" s="406">
        <v>26</v>
      </c>
      <c r="P46" s="406">
        <v>30</v>
      </c>
      <c r="Q46" s="406">
        <v>16</v>
      </c>
      <c r="R46" s="406">
        <v>30</v>
      </c>
      <c r="S46" s="407">
        <v>19</v>
      </c>
      <c r="T46" s="407">
        <v>30</v>
      </c>
      <c r="U46" s="407">
        <v>19</v>
      </c>
      <c r="V46" s="407">
        <v>30</v>
      </c>
      <c r="W46" s="407">
        <v>28</v>
      </c>
      <c r="X46" s="407">
        <v>30</v>
      </c>
      <c r="Y46" s="407">
        <v>0</v>
      </c>
      <c r="Z46" s="407">
        <v>30</v>
      </c>
    </row>
    <row r="47" spans="1:26">
      <c r="A47" s="1021"/>
      <c r="B47" s="45" t="s">
        <v>32</v>
      </c>
      <c r="C47" s="46">
        <f t="shared" si="21"/>
        <v>81.056466302367951</v>
      </c>
      <c r="D47" s="46">
        <f t="shared" si="22"/>
        <v>74.499089253187606</v>
      </c>
      <c r="E47" s="46">
        <f t="shared" si="23"/>
        <v>86.156648451730419</v>
      </c>
      <c r="F47" s="46">
        <f t="shared" si="24"/>
        <v>88.52459016393442</v>
      </c>
      <c r="G47" s="46">
        <f t="shared" si="25"/>
        <v>91.803278688524586</v>
      </c>
      <c r="H47" s="46">
        <f t="shared" si="26"/>
        <v>5.8287795992714022</v>
      </c>
      <c r="I47" s="1026"/>
      <c r="J47" s="1024"/>
      <c r="K47" s="1024"/>
      <c r="L47" s="1024"/>
      <c r="M47" s="1024"/>
      <c r="N47" s="1025"/>
      <c r="O47" s="406">
        <v>445</v>
      </c>
      <c r="P47" s="406">
        <v>549</v>
      </c>
      <c r="Q47" s="406">
        <v>409</v>
      </c>
      <c r="R47" s="406">
        <v>549</v>
      </c>
      <c r="S47" s="407">
        <v>473</v>
      </c>
      <c r="T47" s="407">
        <v>549</v>
      </c>
      <c r="U47" s="407">
        <v>486</v>
      </c>
      <c r="V47" s="407">
        <v>549</v>
      </c>
      <c r="W47" s="407">
        <v>504</v>
      </c>
      <c r="X47" s="407">
        <v>549</v>
      </c>
      <c r="Y47" s="407">
        <v>32</v>
      </c>
      <c r="Z47" s="407">
        <v>549</v>
      </c>
    </row>
    <row r="48" spans="1:26" ht="14.25">
      <c r="A48" s="1022"/>
      <c r="B48" s="45" t="s">
        <v>161</v>
      </c>
      <c r="C48" s="46">
        <f t="shared" si="21"/>
        <v>86.956521739130437</v>
      </c>
      <c r="D48" s="46">
        <f t="shared" si="22"/>
        <v>52.173913043478258</v>
      </c>
      <c r="E48" s="46">
        <f t="shared" si="23"/>
        <v>91.304347826086953</v>
      </c>
      <c r="F48" s="46">
        <f t="shared" si="24"/>
        <v>95.652173913043484</v>
      </c>
      <c r="G48" s="46">
        <f t="shared" si="25"/>
        <v>100</v>
      </c>
      <c r="H48" s="46">
        <f t="shared" si="26"/>
        <v>0</v>
      </c>
      <c r="I48" s="1027"/>
      <c r="J48" s="1028"/>
      <c r="K48" s="1028"/>
      <c r="L48" s="1028"/>
      <c r="M48" s="1028"/>
      <c r="N48" s="1029"/>
      <c r="O48" s="406">
        <v>20</v>
      </c>
      <c r="P48" s="406">
        <v>23</v>
      </c>
      <c r="Q48" s="406">
        <v>12</v>
      </c>
      <c r="R48" s="406">
        <v>23</v>
      </c>
      <c r="S48" s="407">
        <v>21</v>
      </c>
      <c r="T48" s="407">
        <v>23</v>
      </c>
      <c r="U48" s="407">
        <v>22</v>
      </c>
      <c r="V48" s="407">
        <v>23</v>
      </c>
      <c r="W48" s="407">
        <v>23</v>
      </c>
      <c r="X48" s="407">
        <v>23</v>
      </c>
      <c r="Y48" s="407">
        <v>0</v>
      </c>
      <c r="Z48" s="407">
        <v>23</v>
      </c>
    </row>
    <row r="49" spans="1:28">
      <c r="A49" s="61"/>
      <c r="C49" s="34"/>
      <c r="D49" s="34"/>
      <c r="E49" s="34"/>
      <c r="F49" s="34"/>
      <c r="G49" s="34"/>
      <c r="H49" s="34"/>
      <c r="I49" s="34"/>
      <c r="J49" s="34"/>
      <c r="M49" s="704"/>
      <c r="N49" s="704"/>
    </row>
    <row r="50" spans="1:28">
      <c r="A50" s="62" t="s">
        <v>139</v>
      </c>
      <c r="C50" s="34"/>
      <c r="D50" s="34"/>
      <c r="E50" s="34"/>
      <c r="F50" s="34"/>
      <c r="G50" s="34"/>
      <c r="H50" s="34"/>
      <c r="I50" s="34"/>
      <c r="J50" s="34"/>
      <c r="M50" s="704"/>
      <c r="N50" s="704"/>
      <c r="O50" s="763"/>
    </row>
    <row r="51" spans="1:28" s="700" customFormat="1">
      <c r="A51" s="51"/>
      <c r="B51" s="704"/>
      <c r="C51" s="34"/>
      <c r="D51" s="34"/>
      <c r="E51" s="34"/>
      <c r="F51" s="34"/>
      <c r="G51" s="34"/>
      <c r="H51" s="34"/>
      <c r="I51" s="34"/>
      <c r="J51" s="34"/>
      <c r="K51" s="34"/>
      <c r="L51" s="34"/>
      <c r="M51" s="34"/>
      <c r="O51" s="704"/>
      <c r="P51" s="704"/>
      <c r="Q51" s="704"/>
      <c r="R51" s="704"/>
      <c r="S51" s="704"/>
      <c r="T51" s="704"/>
      <c r="U51" s="704"/>
      <c r="V51" s="704"/>
      <c r="W51" s="704"/>
      <c r="X51" s="704"/>
      <c r="Y51" s="704"/>
      <c r="Z51" s="704"/>
      <c r="AA51" s="704"/>
      <c r="AB51" s="704"/>
    </row>
    <row r="52" spans="1:28" s="700" customFormat="1">
      <c r="A52" s="51"/>
      <c r="B52" s="704"/>
      <c r="C52" s="34"/>
      <c r="D52" s="34"/>
      <c r="E52" s="34"/>
      <c r="F52" s="34"/>
      <c r="G52" s="34"/>
      <c r="H52" s="34"/>
      <c r="I52" s="34"/>
      <c r="J52" s="34"/>
      <c r="K52" s="34"/>
      <c r="L52" s="34"/>
      <c r="M52" s="34"/>
      <c r="O52" s="704"/>
      <c r="P52" s="704"/>
      <c r="Q52" s="704"/>
      <c r="R52" s="704"/>
      <c r="S52" s="704"/>
      <c r="T52" s="704"/>
      <c r="U52" s="704"/>
      <c r="V52" s="704"/>
      <c r="W52" s="704"/>
      <c r="X52" s="704"/>
      <c r="Y52" s="704"/>
      <c r="Z52" s="704"/>
      <c r="AA52" s="704"/>
      <c r="AB52" s="704"/>
    </row>
    <row r="53" spans="1:28" s="700" customFormat="1">
      <c r="A53" s="51"/>
      <c r="B53" s="704"/>
      <c r="C53" s="34"/>
      <c r="D53" s="34"/>
      <c r="E53" s="34"/>
      <c r="F53" s="34"/>
      <c r="G53" s="34"/>
      <c r="H53" s="34"/>
      <c r="I53" s="34"/>
      <c r="J53" s="34"/>
      <c r="K53" s="34"/>
      <c r="L53" s="34"/>
      <c r="M53" s="34"/>
      <c r="O53" s="704"/>
      <c r="P53" s="704"/>
      <c r="Q53" s="704"/>
      <c r="R53" s="704"/>
      <c r="S53" s="704"/>
      <c r="T53" s="704"/>
      <c r="U53" s="704"/>
      <c r="V53" s="704"/>
      <c r="W53" s="704"/>
      <c r="X53" s="704"/>
      <c r="Y53" s="704"/>
      <c r="Z53" s="704"/>
      <c r="AA53" s="704"/>
      <c r="AB53" s="704"/>
    </row>
  </sheetData>
  <sheetProtection password="B8D9" sheet="1" objects="1" scenarios="1"/>
  <sortState ref="A4:Z31">
    <sortCondition descending="1" ref="G4:G31"/>
  </sortState>
  <mergeCells count="19">
    <mergeCell ref="Y33:Z33"/>
    <mergeCell ref="A35:A48"/>
    <mergeCell ref="I35:N48"/>
    <mergeCell ref="W1:X1"/>
    <mergeCell ref="Y1:Z1"/>
    <mergeCell ref="A33:B33"/>
    <mergeCell ref="C33:H33"/>
    <mergeCell ref="I33:N34"/>
    <mergeCell ref="O33:P33"/>
    <mergeCell ref="Q33:R33"/>
    <mergeCell ref="S33:T33"/>
    <mergeCell ref="U33:V33"/>
    <mergeCell ref="W33:X33"/>
    <mergeCell ref="A1:B1"/>
    <mergeCell ref="C1:H1"/>
    <mergeCell ref="O1:P1"/>
    <mergeCell ref="Q1:R1"/>
    <mergeCell ref="S1:T1"/>
    <mergeCell ref="U1:V1"/>
  </mergeCells>
  <pageMargins left="0.70866141732283472" right="0.70866141732283472" top="0.74803149606299213" bottom="0.74803149606299213" header="0.31496062992125984" footer="0.31496062992125984"/>
  <pageSetup paperSize="9" scale="50"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33.xml><?xml version="1.0" encoding="utf-8"?>
<worksheet xmlns="http://schemas.openxmlformats.org/spreadsheetml/2006/main" xmlns:r="http://schemas.openxmlformats.org/officeDocument/2006/relationships">
  <sheetPr codeName="Sheet32">
    <pageSetUpPr fitToPage="1"/>
  </sheetPr>
  <dimension ref="B1:AA49"/>
  <sheetViews>
    <sheetView workbookViewId="0"/>
  </sheetViews>
  <sheetFormatPr defaultRowHeight="12.75"/>
  <cols>
    <col min="1" max="1" width="2.7109375" style="698" customWidth="1"/>
    <col min="2" max="16384" width="9.140625" style="698"/>
  </cols>
  <sheetData>
    <row r="1" spans="2:27" s="684" customFormat="1">
      <c r="B1" s="26" t="s">
        <v>660</v>
      </c>
      <c r="C1" s="26"/>
      <c r="D1" s="26"/>
      <c r="E1" s="26"/>
      <c r="F1" s="26"/>
      <c r="G1" s="26"/>
      <c r="H1" s="26"/>
      <c r="I1" s="26"/>
      <c r="J1" s="26"/>
      <c r="K1" s="26"/>
      <c r="L1" s="26"/>
      <c r="M1" s="26"/>
      <c r="N1" s="26"/>
      <c r="O1" s="26"/>
      <c r="P1" s="985" t="s">
        <v>45</v>
      </c>
      <c r="Q1" s="26"/>
      <c r="R1" s="26"/>
      <c r="S1" s="26"/>
      <c r="T1" s="26"/>
    </row>
    <row r="2" spans="2:27" s="684" customFormat="1" ht="12.75" customHeight="1">
      <c r="B2" s="1041" t="s">
        <v>770</v>
      </c>
      <c r="C2" s="1041"/>
      <c r="D2" s="1041"/>
      <c r="E2" s="1041"/>
      <c r="F2" s="1041"/>
      <c r="G2" s="1041"/>
      <c r="H2" s="1041"/>
      <c r="I2" s="1041"/>
      <c r="J2" s="1041"/>
      <c r="K2" s="1041"/>
      <c r="L2" s="1041"/>
      <c r="M2" s="1041"/>
      <c r="O2" s="27"/>
      <c r="P2" s="985"/>
      <c r="Q2" s="28"/>
      <c r="R2" s="987"/>
      <c r="S2" s="987"/>
      <c r="T2" s="987"/>
    </row>
    <row r="3" spans="2:27" s="684" customFormat="1" ht="12.75" customHeight="1">
      <c r="B3" s="1041"/>
      <c r="C3" s="1041"/>
      <c r="D3" s="1041"/>
      <c r="E3" s="1041"/>
      <c r="F3" s="1041"/>
      <c r="G3" s="1041"/>
      <c r="H3" s="1041"/>
      <c r="I3" s="1041"/>
      <c r="J3" s="1041"/>
      <c r="K3" s="1041"/>
      <c r="L3" s="1041"/>
      <c r="M3" s="1041"/>
      <c r="O3" s="519"/>
      <c r="P3" s="985"/>
      <c r="Q3" s="29"/>
      <c r="R3" s="682"/>
      <c r="S3" s="682"/>
      <c r="T3" s="682"/>
    </row>
    <row r="4" spans="2:27" s="684" customFormat="1" ht="12.75" customHeight="1">
      <c r="B4" s="1013" t="s">
        <v>300</v>
      </c>
      <c r="C4" s="1013"/>
      <c r="D4" s="1013"/>
      <c r="E4" s="1013"/>
      <c r="F4" s="1013"/>
      <c r="G4" s="1013"/>
      <c r="H4" s="1013"/>
      <c r="I4" s="1013"/>
      <c r="J4" s="1013"/>
      <c r="K4" s="1013"/>
      <c r="L4" s="1013"/>
      <c r="M4" s="279"/>
      <c r="N4" s="279"/>
      <c r="O4" s="27"/>
      <c r="P4" s="985"/>
      <c r="Q4" s="683"/>
      <c r="R4" s="27"/>
      <c r="S4" s="28"/>
      <c r="T4" s="28"/>
      <c r="U4" s="28"/>
      <c r="V4" s="28"/>
      <c r="W4" s="28"/>
      <c r="X4" s="28"/>
      <c r="Y4" s="28"/>
      <c r="Z4" s="682"/>
      <c r="AA4" s="682"/>
    </row>
    <row r="5" spans="2:27" s="684" customFormat="1" ht="12.75" customHeight="1">
      <c r="B5" s="1013"/>
      <c r="C5" s="1013"/>
      <c r="D5" s="1013"/>
      <c r="E5" s="1013"/>
      <c r="F5" s="1013"/>
      <c r="G5" s="1013"/>
      <c r="H5" s="1013"/>
      <c r="I5" s="1013"/>
      <c r="J5" s="1013"/>
      <c r="K5" s="1013"/>
      <c r="L5" s="1013"/>
      <c r="M5" s="279"/>
      <c r="N5" s="279"/>
      <c r="O5" s="27"/>
      <c r="P5" s="92"/>
      <c r="Q5" s="30"/>
      <c r="R5" s="30"/>
      <c r="S5" s="29"/>
      <c r="T5" s="682"/>
      <c r="U5" s="682"/>
      <c r="V5" s="682"/>
      <c r="W5" s="682"/>
      <c r="X5" s="682"/>
      <c r="Y5" s="682"/>
      <c r="Z5" s="682"/>
      <c r="AA5" s="682"/>
    </row>
    <row r="6" spans="2:27" s="684" customFormat="1" ht="15" customHeight="1">
      <c r="B6" s="1013"/>
      <c r="C6" s="1013"/>
      <c r="D6" s="1013"/>
      <c r="E6" s="1013"/>
      <c r="F6" s="1013"/>
      <c r="G6" s="1013"/>
      <c r="H6" s="1013"/>
      <c r="I6" s="1013"/>
      <c r="J6" s="1013"/>
      <c r="K6" s="1013"/>
      <c r="L6" s="1013"/>
      <c r="M6" s="681"/>
      <c r="N6" s="681"/>
      <c r="O6" s="30"/>
      <c r="P6" s="837" t="s">
        <v>569</v>
      </c>
      <c r="Q6" s="29"/>
      <c r="R6" s="682"/>
      <c r="S6" s="682"/>
      <c r="T6" s="682"/>
    </row>
    <row r="12" spans="2:27">
      <c r="Q12" s="699"/>
    </row>
    <row r="41" spans="2:17" s="684" customFormat="1">
      <c r="B41" s="32" t="s">
        <v>403</v>
      </c>
      <c r="C41" s="33"/>
      <c r="D41" s="34"/>
      <c r="E41" s="34"/>
      <c r="F41" s="34"/>
      <c r="G41" s="34"/>
      <c r="H41" s="34"/>
      <c r="I41" s="34"/>
      <c r="J41" s="34"/>
      <c r="K41" s="34"/>
      <c r="L41" s="680"/>
      <c r="M41" s="680"/>
      <c r="N41" s="35"/>
      <c r="O41" s="35"/>
      <c r="P41" s="35"/>
      <c r="Q41" s="35"/>
    </row>
    <row r="42" spans="2:17" s="684" customFormat="1" ht="21.75" customHeight="1">
      <c r="B42" s="1042" t="s">
        <v>661</v>
      </c>
      <c r="C42" s="1042"/>
      <c r="D42" s="1042"/>
      <c r="E42" s="1042"/>
      <c r="F42" s="1042"/>
      <c r="G42" s="1042"/>
      <c r="H42" s="1042"/>
      <c r="I42" s="1042"/>
      <c r="J42" s="1042"/>
      <c r="K42" s="1042"/>
      <c r="L42" s="1042"/>
      <c r="M42" s="1042"/>
      <c r="N42" s="1042"/>
      <c r="O42" s="1042"/>
      <c r="P42" s="1042"/>
    </row>
    <row r="43" spans="2:17" s="684" customFormat="1">
      <c r="B43" s="1042"/>
      <c r="C43" s="1042"/>
      <c r="D43" s="1042"/>
      <c r="E43" s="1042"/>
      <c r="F43" s="1042"/>
      <c r="G43" s="1042"/>
      <c r="H43" s="1042"/>
      <c r="I43" s="1042"/>
      <c r="J43" s="1042"/>
      <c r="K43" s="1042"/>
      <c r="L43" s="1042"/>
      <c r="M43" s="1042"/>
      <c r="N43" s="1042"/>
      <c r="O43" s="1042"/>
      <c r="P43" s="1042"/>
    </row>
    <row r="44" spans="2:17" s="684" customFormat="1" ht="23.25" customHeight="1">
      <c r="B44" s="1040" t="s">
        <v>291</v>
      </c>
      <c r="C44" s="956"/>
      <c r="D44" s="956"/>
      <c r="E44" s="956"/>
      <c r="F44" s="956"/>
      <c r="G44" s="956"/>
      <c r="H44" s="956"/>
      <c r="I44" s="956"/>
      <c r="J44" s="956"/>
      <c r="K44" s="956"/>
      <c r="L44" s="956"/>
      <c r="M44" s="956"/>
      <c r="N44" s="956"/>
      <c r="O44" s="956"/>
      <c r="P44" s="956"/>
    </row>
    <row r="45" spans="2:17" s="784" customFormat="1" ht="15">
      <c r="B45" s="205" t="s">
        <v>756</v>
      </c>
      <c r="C45" s="203"/>
      <c r="D45" s="204"/>
      <c r="E45" s="204"/>
      <c r="F45" s="204"/>
      <c r="G45" s="204"/>
      <c r="H45" s="204"/>
      <c r="I45" s="204"/>
      <c r="J45" s="203"/>
    </row>
    <row r="46" spans="2:17">
      <c r="B46" s="1012" t="s">
        <v>808</v>
      </c>
      <c r="C46" s="1012"/>
      <c r="D46" s="1012"/>
      <c r="E46" s="1012"/>
      <c r="F46" s="1012"/>
      <c r="G46" s="1012"/>
      <c r="H46" s="1012"/>
      <c r="I46" s="1012"/>
      <c r="J46" s="1012"/>
      <c r="K46" s="1012"/>
      <c r="L46" s="1012"/>
      <c r="M46" s="1012"/>
      <c r="N46" s="1012"/>
      <c r="O46" s="1012"/>
    </row>
    <row r="47" spans="2:17">
      <c r="B47" s="1012"/>
      <c r="C47" s="1012"/>
      <c r="D47" s="1012"/>
      <c r="E47" s="1012"/>
      <c r="F47" s="1012"/>
      <c r="G47" s="1012"/>
      <c r="H47" s="1012"/>
      <c r="I47" s="1012"/>
      <c r="J47" s="1012"/>
      <c r="K47" s="1012"/>
      <c r="L47" s="1012"/>
      <c r="M47" s="1012"/>
      <c r="N47" s="1012"/>
      <c r="O47" s="1012"/>
    </row>
    <row r="48" spans="2:17">
      <c r="B48" s="1012"/>
      <c r="C48" s="1012"/>
      <c r="D48" s="1012"/>
      <c r="E48" s="1012"/>
      <c r="F48" s="1012"/>
      <c r="G48" s="1012"/>
      <c r="H48" s="1012"/>
      <c r="I48" s="1012"/>
      <c r="J48" s="1012"/>
      <c r="K48" s="1012"/>
      <c r="L48" s="1012"/>
      <c r="M48" s="1012"/>
      <c r="N48" s="1012"/>
      <c r="O48" s="1012"/>
    </row>
    <row r="49" spans="2:15">
      <c r="B49" s="1012"/>
      <c r="C49" s="1012"/>
      <c r="D49" s="1012"/>
      <c r="E49" s="1012"/>
      <c r="F49" s="1012"/>
      <c r="G49" s="1012"/>
      <c r="H49" s="1012"/>
      <c r="I49" s="1012"/>
      <c r="J49" s="1012"/>
      <c r="K49" s="1012"/>
      <c r="L49" s="1012"/>
      <c r="M49" s="1012"/>
      <c r="N49" s="1012"/>
      <c r="O49" s="1012"/>
    </row>
  </sheetData>
  <sheetProtection password="B8D9" sheet="1" objects="1" scenarios="1"/>
  <mergeCells count="7">
    <mergeCell ref="B46:O49"/>
    <mergeCell ref="B44:P44"/>
    <mergeCell ref="P1:P4"/>
    <mergeCell ref="B2:M3"/>
    <mergeCell ref="R2:T2"/>
    <mergeCell ref="B4:L6"/>
    <mergeCell ref="B42:P43"/>
  </mergeCells>
  <hyperlinks>
    <hyperlink ref="P1" location="'List of Tables &amp; Charts'!A1" display="return to List of Tables &amp; Charts"/>
    <hyperlink ref="P6" location="'Chart 4 (2016) DATA'!A1" display="view Chart 4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34.xml><?xml version="1.0" encoding="utf-8"?>
<worksheet xmlns="http://schemas.openxmlformats.org/spreadsheetml/2006/main" xmlns:r="http://schemas.openxmlformats.org/officeDocument/2006/relationships">
  <sheetPr codeName="Sheet35">
    <pageSetUpPr fitToPage="1"/>
  </sheetPr>
  <dimension ref="A1:AB53"/>
  <sheetViews>
    <sheetView showGridLines="0" workbookViewId="0">
      <selection sqref="A1:B1"/>
    </sheetView>
  </sheetViews>
  <sheetFormatPr defaultRowHeight="12.75"/>
  <cols>
    <col min="1" max="1" width="16.7109375" style="684" customWidth="1"/>
    <col min="2" max="2" width="45.7109375" style="684" bestFit="1" customWidth="1"/>
    <col min="3" max="8" width="6.7109375" style="680" customWidth="1"/>
    <col min="9" max="14" width="2.7109375" style="680" customWidth="1"/>
    <col min="15" max="15" width="9.28515625" style="684" customWidth="1"/>
    <col min="16" max="16" width="11.28515625" style="684" customWidth="1"/>
    <col min="17" max="17" width="9.28515625" style="684" customWidth="1"/>
    <col min="18" max="18" width="11.28515625" style="684" customWidth="1"/>
    <col min="19" max="19" width="9.28515625" style="684" customWidth="1"/>
    <col min="20" max="20" width="11.28515625" style="684" customWidth="1"/>
    <col min="21" max="21" width="9.28515625" style="684" customWidth="1"/>
    <col min="22" max="22" width="11.28515625" style="684" customWidth="1"/>
    <col min="23" max="23" width="9.28515625" style="684" customWidth="1"/>
    <col min="24" max="24" width="11.28515625" style="684" customWidth="1"/>
    <col min="25" max="25" width="9.28515625" style="684" customWidth="1"/>
    <col min="26" max="26" width="11.28515625" style="684" customWidth="1"/>
    <col min="27" max="16384" width="9.140625" style="684"/>
  </cols>
  <sheetData>
    <row r="1" spans="1:28" ht="25.5" customHeight="1">
      <c r="A1" s="1038">
        <v>2016</v>
      </c>
      <c r="B1" s="1039"/>
      <c r="C1" s="1015" t="s">
        <v>42</v>
      </c>
      <c r="D1" s="1016"/>
      <c r="E1" s="1016"/>
      <c r="F1" s="1016"/>
      <c r="G1" s="1016"/>
      <c r="H1" s="1017"/>
      <c r="I1" s="37"/>
      <c r="J1" s="37"/>
      <c r="K1" s="37"/>
      <c r="L1" s="63"/>
      <c r="M1" s="540"/>
      <c r="N1" s="539"/>
      <c r="O1" s="1018" t="s">
        <v>48</v>
      </c>
      <c r="P1" s="1018"/>
      <c r="Q1" s="1018" t="s">
        <v>142</v>
      </c>
      <c r="R1" s="1018"/>
      <c r="S1" s="1018" t="s">
        <v>143</v>
      </c>
      <c r="T1" s="1018"/>
      <c r="U1" s="1018" t="s">
        <v>144</v>
      </c>
      <c r="V1" s="1018"/>
      <c r="W1" s="1018" t="s">
        <v>145</v>
      </c>
      <c r="X1" s="1018"/>
      <c r="Y1" s="1018" t="s">
        <v>146</v>
      </c>
      <c r="Z1" s="1019"/>
    </row>
    <row r="2" spans="1:28" ht="45" customHeight="1">
      <c r="A2" s="38" t="s">
        <v>24</v>
      </c>
      <c r="B2" s="39" t="s">
        <v>25</v>
      </c>
      <c r="C2" s="40" t="s">
        <v>51</v>
      </c>
      <c r="D2" s="40" t="s">
        <v>147</v>
      </c>
      <c r="E2" s="40" t="s">
        <v>148</v>
      </c>
      <c r="F2" s="40" t="s">
        <v>149</v>
      </c>
      <c r="G2" s="40" t="s">
        <v>150</v>
      </c>
      <c r="H2" s="40" t="s">
        <v>151</v>
      </c>
      <c r="I2" s="42" t="s">
        <v>152</v>
      </c>
      <c r="J2" s="42" t="s">
        <v>153</v>
      </c>
      <c r="K2" s="42" t="s">
        <v>154</v>
      </c>
      <c r="L2" s="64" t="s">
        <v>155</v>
      </c>
      <c r="M2" s="538" t="s">
        <v>150</v>
      </c>
      <c r="N2" s="537" t="s">
        <v>627</v>
      </c>
      <c r="O2" s="43" t="s">
        <v>26</v>
      </c>
      <c r="P2" s="43" t="s">
        <v>27</v>
      </c>
      <c r="Q2" s="43" t="s">
        <v>26</v>
      </c>
      <c r="R2" s="43" t="s">
        <v>27</v>
      </c>
      <c r="S2" s="43" t="s">
        <v>26</v>
      </c>
      <c r="T2" s="43" t="s">
        <v>27</v>
      </c>
      <c r="U2" s="43" t="s">
        <v>26</v>
      </c>
      <c r="V2" s="43" t="s">
        <v>27</v>
      </c>
      <c r="W2" s="43" t="s">
        <v>26</v>
      </c>
      <c r="X2" s="43" t="s">
        <v>27</v>
      </c>
      <c r="Y2" s="43" t="s">
        <v>26</v>
      </c>
      <c r="Z2" s="65" t="s">
        <v>27</v>
      </c>
      <c r="AA2" s="44" t="s">
        <v>141</v>
      </c>
    </row>
    <row r="3" spans="1:28">
      <c r="A3" s="45" t="s">
        <v>134</v>
      </c>
      <c r="B3" s="45" t="s">
        <v>134</v>
      </c>
      <c r="C3" s="46">
        <f t="shared" ref="C3" si="0">IF(ISERR(O3/P3*100),"",O3/P3*100)</f>
        <v>70.924874075661776</v>
      </c>
      <c r="D3" s="46">
        <f t="shared" ref="D3" si="1">IF(ISERR(Q3/R3*100),"",Q3/R3*100)</f>
        <v>59.672060872360944</v>
      </c>
      <c r="E3" s="46">
        <f t="shared" ref="E3" si="2">IF(ISERR(S3/T3*100),"",S3/T3*100)</f>
        <v>71.728646447326113</v>
      </c>
      <c r="F3" s="46">
        <f t="shared" ref="F3" si="3">IF(ISERR(U3/V3*100),"",U3/V3*100)</f>
        <v>81.245311327831956</v>
      </c>
      <c r="G3" s="46">
        <f t="shared" ref="G3" si="4">IF(ISERR(W3/X3*100),"",W3/X3*100)</f>
        <v>92.841067409709567</v>
      </c>
      <c r="H3" s="46">
        <f t="shared" ref="H3" si="5">IF(ISERR(Y3/Z3*100),"",Y3/Z3*100)</f>
        <v>6.2372736041153152</v>
      </c>
      <c r="I3" s="536">
        <f t="shared" ref="I3:K3" si="6">E3-D3</f>
        <v>12.056585574965169</v>
      </c>
      <c r="J3" s="535">
        <f t="shared" si="6"/>
        <v>9.5166648805058429</v>
      </c>
      <c r="K3" s="535">
        <f t="shared" si="6"/>
        <v>11.59575608187761</v>
      </c>
      <c r="L3" s="534">
        <f t="shared" ref="L3" si="7">G3-E3</f>
        <v>21.112420962383453</v>
      </c>
      <c r="M3" s="534">
        <f t="shared" ref="M3" si="8">G3-D3</f>
        <v>33.169006537348622</v>
      </c>
      <c r="N3" s="533">
        <v>95</v>
      </c>
      <c r="O3" s="405">
        <f t="shared" ref="O3:Z3" si="9">SUM(O4:O31)</f>
        <v>6618</v>
      </c>
      <c r="P3" s="405">
        <f t="shared" si="9"/>
        <v>9331</v>
      </c>
      <c r="Q3" s="405">
        <f t="shared" si="9"/>
        <v>5568</v>
      </c>
      <c r="R3" s="405">
        <f t="shared" si="9"/>
        <v>9331</v>
      </c>
      <c r="S3" s="405">
        <f t="shared" si="9"/>
        <v>6693</v>
      </c>
      <c r="T3" s="405">
        <f t="shared" si="9"/>
        <v>9331</v>
      </c>
      <c r="U3" s="405">
        <f t="shared" si="9"/>
        <v>7581</v>
      </c>
      <c r="V3" s="405">
        <f t="shared" si="9"/>
        <v>9331</v>
      </c>
      <c r="W3" s="405">
        <f t="shared" si="9"/>
        <v>8663</v>
      </c>
      <c r="X3" s="405">
        <f t="shared" si="9"/>
        <v>9331</v>
      </c>
      <c r="Y3" s="405">
        <f t="shared" si="9"/>
        <v>582</v>
      </c>
      <c r="Z3" s="405">
        <f t="shared" si="9"/>
        <v>9331</v>
      </c>
      <c r="AA3" s="44"/>
      <c r="AB3" s="356"/>
    </row>
    <row r="4" spans="1:28">
      <c r="A4" s="45" t="s">
        <v>37</v>
      </c>
      <c r="B4" s="45" t="s">
        <v>133</v>
      </c>
      <c r="C4" s="46">
        <f t="shared" ref="C4:C31" si="10">IF(ISERR(O4/P4*100),"",O4/P4*100)</f>
        <v>72.41379310344827</v>
      </c>
      <c r="D4" s="46">
        <f t="shared" ref="D4:D31" si="11">IF(ISERR(Q4/R4*100),"",Q4/R4*100)</f>
        <v>72.41379310344827</v>
      </c>
      <c r="E4" s="46">
        <f t="shared" ref="E4:E31" si="12">IF(ISERR(S4/T4*100),"",S4/T4*100)</f>
        <v>72.41379310344827</v>
      </c>
      <c r="F4" s="46">
        <f t="shared" ref="F4:F31" si="13">IF(ISERR(U4/V4*100),"",U4/V4*100)</f>
        <v>89.65517241379311</v>
      </c>
      <c r="G4" s="46">
        <f t="shared" ref="G4:G31" si="14">IF(ISERR(W4/X4*100),"",W4/X4*100)</f>
        <v>100</v>
      </c>
      <c r="H4" s="46">
        <f t="shared" ref="H4:H31" si="15">IF(ISERR(Y4/Z4*100),"",Y4/Z4*100)</f>
        <v>0</v>
      </c>
      <c r="I4" s="522">
        <f t="shared" ref="I4:I31" si="16">E4-D4</f>
        <v>0</v>
      </c>
      <c r="J4" s="522">
        <f t="shared" ref="J4:J31" si="17">F4-E4</f>
        <v>17.24137931034484</v>
      </c>
      <c r="K4" s="522">
        <f t="shared" ref="K4:K31" si="18">G4-F4</f>
        <v>10.34482758620689</v>
      </c>
      <c r="L4" s="532">
        <f t="shared" ref="L4:L31" si="19">G4-E4</f>
        <v>27.58620689655173</v>
      </c>
      <c r="M4" s="532">
        <f t="shared" ref="M4:M31" si="20">G4-D4</f>
        <v>27.58620689655173</v>
      </c>
      <c r="N4" s="521">
        <v>95</v>
      </c>
      <c r="O4" s="405">
        <v>21</v>
      </c>
      <c r="P4" s="405">
        <v>29</v>
      </c>
      <c r="Q4" s="405">
        <v>21</v>
      </c>
      <c r="R4" s="405">
        <v>29</v>
      </c>
      <c r="S4" s="405">
        <v>21</v>
      </c>
      <c r="T4" s="405">
        <v>29</v>
      </c>
      <c r="U4" s="405">
        <v>26</v>
      </c>
      <c r="V4" s="405">
        <v>29</v>
      </c>
      <c r="W4" s="405">
        <v>29</v>
      </c>
      <c r="X4" s="405">
        <v>29</v>
      </c>
      <c r="Y4" s="405">
        <v>0</v>
      </c>
      <c r="Z4" s="405">
        <v>29</v>
      </c>
      <c r="AA4" s="44"/>
      <c r="AB4" s="356"/>
    </row>
    <row r="5" spans="1:28">
      <c r="A5" s="45" t="s">
        <v>28</v>
      </c>
      <c r="B5" s="45" t="s">
        <v>63</v>
      </c>
      <c r="C5" s="46">
        <f t="shared" si="10"/>
        <v>82.407407407407405</v>
      </c>
      <c r="D5" s="46">
        <f t="shared" si="11"/>
        <v>69.444444444444443</v>
      </c>
      <c r="E5" s="46">
        <f t="shared" si="12"/>
        <v>80.555555555555557</v>
      </c>
      <c r="F5" s="46">
        <f t="shared" si="13"/>
        <v>89.351851851851848</v>
      </c>
      <c r="G5" s="46">
        <f t="shared" si="14"/>
        <v>98.611111111111114</v>
      </c>
      <c r="H5" s="46">
        <f t="shared" si="15"/>
        <v>0.46296296296296291</v>
      </c>
      <c r="I5" s="522">
        <f t="shared" si="16"/>
        <v>11.111111111111114</v>
      </c>
      <c r="J5" s="522">
        <f t="shared" si="17"/>
        <v>8.7962962962962905</v>
      </c>
      <c r="K5" s="522">
        <f t="shared" si="18"/>
        <v>9.2592592592592666</v>
      </c>
      <c r="L5" s="532">
        <f t="shared" si="19"/>
        <v>18.055555555555557</v>
      </c>
      <c r="M5" s="532">
        <f t="shared" si="20"/>
        <v>29.166666666666671</v>
      </c>
      <c r="N5" s="521">
        <v>95</v>
      </c>
      <c r="O5" s="405">
        <v>178</v>
      </c>
      <c r="P5" s="405">
        <v>216</v>
      </c>
      <c r="Q5" s="405">
        <v>150</v>
      </c>
      <c r="R5" s="405">
        <v>216</v>
      </c>
      <c r="S5" s="405">
        <v>174</v>
      </c>
      <c r="T5" s="405">
        <v>216</v>
      </c>
      <c r="U5" s="405">
        <v>193</v>
      </c>
      <c r="V5" s="405">
        <v>216</v>
      </c>
      <c r="W5" s="405">
        <v>213</v>
      </c>
      <c r="X5" s="405">
        <v>216</v>
      </c>
      <c r="Y5" s="405">
        <v>1</v>
      </c>
      <c r="Z5" s="405">
        <v>216</v>
      </c>
      <c r="AA5" s="44"/>
      <c r="AB5" s="356"/>
    </row>
    <row r="6" spans="1:28">
      <c r="A6" s="45" t="s">
        <v>107</v>
      </c>
      <c r="B6" s="45" t="s">
        <v>106</v>
      </c>
      <c r="C6" s="46">
        <f t="shared" si="10"/>
        <v>66.858789625360231</v>
      </c>
      <c r="D6" s="46">
        <f t="shared" si="11"/>
        <v>53.314121037463977</v>
      </c>
      <c r="E6" s="46">
        <f t="shared" si="12"/>
        <v>65.417867435158499</v>
      </c>
      <c r="F6" s="46">
        <f t="shared" si="13"/>
        <v>81.844380403458217</v>
      </c>
      <c r="G6" s="46">
        <f t="shared" si="14"/>
        <v>95.96541786743515</v>
      </c>
      <c r="H6" s="46">
        <f t="shared" si="15"/>
        <v>2.8818443804034581</v>
      </c>
      <c r="I6" s="528">
        <f t="shared" si="16"/>
        <v>12.103746397694522</v>
      </c>
      <c r="J6" s="528">
        <f t="shared" si="17"/>
        <v>16.426512968299718</v>
      </c>
      <c r="K6" s="528">
        <f t="shared" si="18"/>
        <v>14.121037463976933</v>
      </c>
      <c r="L6" s="531">
        <f t="shared" si="19"/>
        <v>30.547550432276651</v>
      </c>
      <c r="M6" s="531">
        <f t="shared" si="20"/>
        <v>42.651296829971173</v>
      </c>
      <c r="N6" s="527">
        <v>95</v>
      </c>
      <c r="O6" s="405">
        <v>232</v>
      </c>
      <c r="P6" s="405">
        <v>347</v>
      </c>
      <c r="Q6" s="405">
        <v>185</v>
      </c>
      <c r="R6" s="405">
        <v>347</v>
      </c>
      <c r="S6" s="405">
        <v>227</v>
      </c>
      <c r="T6" s="405">
        <v>347</v>
      </c>
      <c r="U6" s="405">
        <v>284</v>
      </c>
      <c r="V6" s="405">
        <v>347</v>
      </c>
      <c r="W6" s="405">
        <v>333</v>
      </c>
      <c r="X6" s="405">
        <v>347</v>
      </c>
      <c r="Y6" s="405">
        <v>10</v>
      </c>
      <c r="Z6" s="405">
        <v>347</v>
      </c>
      <c r="AA6" s="44"/>
      <c r="AB6" s="356"/>
    </row>
    <row r="7" spans="1:28">
      <c r="A7" s="45" t="s">
        <v>112</v>
      </c>
      <c r="B7" s="45" t="s">
        <v>113</v>
      </c>
      <c r="C7" s="46">
        <f t="shared" si="10"/>
        <v>84.758364312267659</v>
      </c>
      <c r="D7" s="46">
        <f t="shared" si="11"/>
        <v>79.553903345724905</v>
      </c>
      <c r="E7" s="46">
        <f t="shared" si="12"/>
        <v>86.245353159851305</v>
      </c>
      <c r="F7" s="46">
        <f t="shared" si="13"/>
        <v>90.706319702602229</v>
      </c>
      <c r="G7" s="46">
        <f t="shared" si="14"/>
        <v>95.910780669144984</v>
      </c>
      <c r="H7" s="46">
        <f t="shared" si="15"/>
        <v>3.7174721189591078</v>
      </c>
      <c r="I7" s="528">
        <f t="shared" si="16"/>
        <v>6.6914498141264005</v>
      </c>
      <c r="J7" s="528">
        <f t="shared" si="17"/>
        <v>4.4609665427509242</v>
      </c>
      <c r="K7" s="528">
        <f t="shared" si="18"/>
        <v>5.2044609665427544</v>
      </c>
      <c r="L7" s="531">
        <f t="shared" si="19"/>
        <v>9.6654275092936786</v>
      </c>
      <c r="M7" s="531">
        <f t="shared" si="20"/>
        <v>16.356877323420079</v>
      </c>
      <c r="N7" s="527">
        <v>95</v>
      </c>
      <c r="O7" s="405">
        <v>228</v>
      </c>
      <c r="P7" s="405">
        <v>269</v>
      </c>
      <c r="Q7" s="405">
        <v>214</v>
      </c>
      <c r="R7" s="405">
        <v>269</v>
      </c>
      <c r="S7" s="405">
        <v>232</v>
      </c>
      <c r="T7" s="405">
        <v>269</v>
      </c>
      <c r="U7" s="405">
        <v>244</v>
      </c>
      <c r="V7" s="405">
        <v>269</v>
      </c>
      <c r="W7" s="405">
        <v>258</v>
      </c>
      <c r="X7" s="405">
        <v>269</v>
      </c>
      <c r="Y7" s="405">
        <v>10</v>
      </c>
      <c r="Z7" s="405">
        <v>269</v>
      </c>
      <c r="AA7" s="44"/>
      <c r="AB7" s="356"/>
    </row>
    <row r="8" spans="1:28">
      <c r="A8" s="45" t="s">
        <v>459</v>
      </c>
      <c r="B8" s="45" t="s">
        <v>460</v>
      </c>
      <c r="C8" s="46">
        <f t="shared" si="10"/>
        <v>84.12017167381974</v>
      </c>
      <c r="D8" s="46">
        <f t="shared" si="11"/>
        <v>74.849785407725321</v>
      </c>
      <c r="E8" s="46">
        <f t="shared" si="12"/>
        <v>85.407725321888421</v>
      </c>
      <c r="F8" s="46">
        <f t="shared" si="13"/>
        <v>89.957081545064383</v>
      </c>
      <c r="G8" s="46">
        <f t="shared" si="14"/>
        <v>95.708154506437765</v>
      </c>
      <c r="H8" s="46">
        <f t="shared" si="15"/>
        <v>3.8626609442060089</v>
      </c>
      <c r="I8" s="528">
        <f t="shared" si="16"/>
        <v>10.5579399141631</v>
      </c>
      <c r="J8" s="528">
        <f t="shared" si="17"/>
        <v>4.5493562231759626</v>
      </c>
      <c r="K8" s="528">
        <f t="shared" si="18"/>
        <v>5.7510729613733815</v>
      </c>
      <c r="L8" s="531">
        <f t="shared" si="19"/>
        <v>10.300429184549344</v>
      </c>
      <c r="M8" s="531">
        <f t="shared" si="20"/>
        <v>20.858369098712444</v>
      </c>
      <c r="N8" s="527">
        <v>95</v>
      </c>
      <c r="O8" s="405">
        <v>980</v>
      </c>
      <c r="P8" s="405">
        <v>1165</v>
      </c>
      <c r="Q8" s="405">
        <v>872</v>
      </c>
      <c r="R8" s="405">
        <v>1165</v>
      </c>
      <c r="S8" s="405">
        <v>995</v>
      </c>
      <c r="T8" s="405">
        <v>1165</v>
      </c>
      <c r="U8" s="405">
        <v>1048</v>
      </c>
      <c r="V8" s="405">
        <v>1165</v>
      </c>
      <c r="W8" s="405">
        <v>1115</v>
      </c>
      <c r="X8" s="405">
        <v>1165</v>
      </c>
      <c r="Y8" s="405">
        <v>45</v>
      </c>
      <c r="Z8" s="405">
        <v>1165</v>
      </c>
      <c r="AA8" s="44"/>
      <c r="AB8" s="356"/>
    </row>
    <row r="9" spans="1:28">
      <c r="A9" s="45" t="s">
        <v>174</v>
      </c>
      <c r="B9" s="45" t="s">
        <v>71</v>
      </c>
      <c r="C9" s="46">
        <f t="shared" si="10"/>
        <v>78.345864661654133</v>
      </c>
      <c r="D9" s="46">
        <f t="shared" si="11"/>
        <v>68.120300751879697</v>
      </c>
      <c r="E9" s="46">
        <f t="shared" si="12"/>
        <v>81.05263157894737</v>
      </c>
      <c r="F9" s="46">
        <f t="shared" si="13"/>
        <v>89.172932330827066</v>
      </c>
      <c r="G9" s="46">
        <f t="shared" si="14"/>
        <v>95.187969924812037</v>
      </c>
      <c r="H9" s="46">
        <f t="shared" si="15"/>
        <v>4.6616541353383463</v>
      </c>
      <c r="I9" s="528">
        <f t="shared" si="16"/>
        <v>12.932330827067673</v>
      </c>
      <c r="J9" s="528">
        <f t="shared" si="17"/>
        <v>8.1203007518796966</v>
      </c>
      <c r="K9" s="528">
        <f t="shared" si="18"/>
        <v>6.015037593984971</v>
      </c>
      <c r="L9" s="531">
        <f t="shared" si="19"/>
        <v>14.135338345864668</v>
      </c>
      <c r="M9" s="531">
        <f t="shared" si="20"/>
        <v>27.067669172932341</v>
      </c>
      <c r="N9" s="527">
        <v>95</v>
      </c>
      <c r="O9" s="405">
        <v>521</v>
      </c>
      <c r="P9" s="405">
        <v>665</v>
      </c>
      <c r="Q9" s="405">
        <v>453</v>
      </c>
      <c r="R9" s="405">
        <v>665</v>
      </c>
      <c r="S9" s="405">
        <v>539</v>
      </c>
      <c r="T9" s="405">
        <v>665</v>
      </c>
      <c r="U9" s="405">
        <v>593</v>
      </c>
      <c r="V9" s="405">
        <v>665</v>
      </c>
      <c r="W9" s="405">
        <v>633</v>
      </c>
      <c r="X9" s="405">
        <v>665</v>
      </c>
      <c r="Y9" s="405">
        <v>31</v>
      </c>
      <c r="Z9" s="405">
        <v>665</v>
      </c>
      <c r="AA9" s="44"/>
      <c r="AB9" s="356"/>
    </row>
    <row r="10" spans="1:28">
      <c r="A10" s="45" t="s">
        <v>183</v>
      </c>
      <c r="B10" s="45" t="s">
        <v>73</v>
      </c>
      <c r="C10" s="46">
        <f t="shared" si="10"/>
        <v>62.571976967370446</v>
      </c>
      <c r="D10" s="46">
        <f t="shared" si="11"/>
        <v>47.02495201535509</v>
      </c>
      <c r="E10" s="46">
        <f t="shared" si="12"/>
        <v>62.955854126679469</v>
      </c>
      <c r="F10" s="46">
        <f t="shared" si="13"/>
        <v>80.230326295585414</v>
      </c>
      <c r="G10" s="46">
        <f t="shared" si="14"/>
        <v>95.009596928982717</v>
      </c>
      <c r="H10" s="46">
        <f t="shared" si="15"/>
        <v>3.8387715930902107</v>
      </c>
      <c r="I10" s="528">
        <f t="shared" si="16"/>
        <v>15.930902111324379</v>
      </c>
      <c r="J10" s="528">
        <f t="shared" si="17"/>
        <v>17.274472168905945</v>
      </c>
      <c r="K10" s="528">
        <f t="shared" si="18"/>
        <v>14.779270633397303</v>
      </c>
      <c r="L10" s="531">
        <f t="shared" si="19"/>
        <v>32.053742802303248</v>
      </c>
      <c r="M10" s="531">
        <f t="shared" si="20"/>
        <v>47.984644913627626</v>
      </c>
      <c r="N10" s="527">
        <v>95</v>
      </c>
      <c r="O10" s="405">
        <v>326</v>
      </c>
      <c r="P10" s="405">
        <v>521</v>
      </c>
      <c r="Q10" s="405">
        <v>245</v>
      </c>
      <c r="R10" s="405">
        <v>521</v>
      </c>
      <c r="S10" s="405">
        <v>328</v>
      </c>
      <c r="T10" s="405">
        <v>521</v>
      </c>
      <c r="U10" s="405">
        <v>418</v>
      </c>
      <c r="V10" s="405">
        <v>521</v>
      </c>
      <c r="W10" s="405">
        <v>495</v>
      </c>
      <c r="X10" s="405">
        <v>521</v>
      </c>
      <c r="Y10" s="405">
        <v>20</v>
      </c>
      <c r="Z10" s="405">
        <v>521</v>
      </c>
      <c r="AA10" s="44"/>
      <c r="AB10" s="356"/>
    </row>
    <row r="11" spans="1:28">
      <c r="A11" s="45" t="s">
        <v>92</v>
      </c>
      <c r="B11" s="45" t="s">
        <v>93</v>
      </c>
      <c r="C11" s="46">
        <f t="shared" si="10"/>
        <v>82.35294117647058</v>
      </c>
      <c r="D11" s="46">
        <f t="shared" si="11"/>
        <v>76.470588235294116</v>
      </c>
      <c r="E11" s="46">
        <f t="shared" si="12"/>
        <v>82.35294117647058</v>
      </c>
      <c r="F11" s="46">
        <f t="shared" si="13"/>
        <v>91.17647058823529</v>
      </c>
      <c r="G11" s="46">
        <f t="shared" si="14"/>
        <v>94.117647058823522</v>
      </c>
      <c r="H11" s="46">
        <f t="shared" si="15"/>
        <v>4.4117647058823533</v>
      </c>
      <c r="I11" s="528">
        <f t="shared" si="16"/>
        <v>5.8823529411764639</v>
      </c>
      <c r="J11" s="528">
        <f t="shared" si="17"/>
        <v>8.8235294117647101</v>
      </c>
      <c r="K11" s="528">
        <f t="shared" si="18"/>
        <v>2.941176470588232</v>
      </c>
      <c r="L11" s="531">
        <f t="shared" si="19"/>
        <v>11.764705882352942</v>
      </c>
      <c r="M11" s="531">
        <f t="shared" si="20"/>
        <v>17.647058823529406</v>
      </c>
      <c r="N11" s="527">
        <v>95</v>
      </c>
      <c r="O11" s="405">
        <v>56</v>
      </c>
      <c r="P11" s="405">
        <v>68</v>
      </c>
      <c r="Q11" s="405">
        <v>52</v>
      </c>
      <c r="R11" s="405">
        <v>68</v>
      </c>
      <c r="S11" s="405">
        <v>56</v>
      </c>
      <c r="T11" s="405">
        <v>68</v>
      </c>
      <c r="U11" s="405">
        <v>62</v>
      </c>
      <c r="V11" s="405">
        <v>68</v>
      </c>
      <c r="W11" s="405">
        <v>64</v>
      </c>
      <c r="X11" s="405">
        <v>68</v>
      </c>
      <c r="Y11" s="405">
        <v>3</v>
      </c>
      <c r="Z11" s="405">
        <v>68</v>
      </c>
      <c r="AA11" s="44"/>
      <c r="AB11" s="356"/>
    </row>
    <row r="12" spans="1:28">
      <c r="A12" s="45" t="s">
        <v>184</v>
      </c>
      <c r="B12" s="45" t="s">
        <v>80</v>
      </c>
      <c r="C12" s="46">
        <f t="shared" si="10"/>
        <v>77.471636952998381</v>
      </c>
      <c r="D12" s="46">
        <f t="shared" si="11"/>
        <v>60.29173419773096</v>
      </c>
      <c r="E12" s="46">
        <f t="shared" si="12"/>
        <v>78.930307941653155</v>
      </c>
      <c r="F12" s="46">
        <f t="shared" si="13"/>
        <v>86.061588330632091</v>
      </c>
      <c r="G12" s="46">
        <f t="shared" si="14"/>
        <v>93.841166936790927</v>
      </c>
      <c r="H12" s="46">
        <f t="shared" si="15"/>
        <v>5.8346839546191251</v>
      </c>
      <c r="I12" s="528">
        <f t="shared" si="16"/>
        <v>18.638573743922194</v>
      </c>
      <c r="J12" s="528">
        <f t="shared" si="17"/>
        <v>7.1312803889789365</v>
      </c>
      <c r="K12" s="528">
        <f t="shared" si="18"/>
        <v>7.7795786061588359</v>
      </c>
      <c r="L12" s="531">
        <f t="shared" si="19"/>
        <v>14.910858995137772</v>
      </c>
      <c r="M12" s="531">
        <f t="shared" si="20"/>
        <v>33.549432739059966</v>
      </c>
      <c r="N12" s="527">
        <v>95</v>
      </c>
      <c r="O12" s="405">
        <v>478</v>
      </c>
      <c r="P12" s="405">
        <v>617</v>
      </c>
      <c r="Q12" s="405">
        <v>372</v>
      </c>
      <c r="R12" s="405">
        <v>617</v>
      </c>
      <c r="S12" s="405">
        <v>487</v>
      </c>
      <c r="T12" s="405">
        <v>617</v>
      </c>
      <c r="U12" s="405">
        <v>531</v>
      </c>
      <c r="V12" s="405">
        <v>617</v>
      </c>
      <c r="W12" s="405">
        <v>579</v>
      </c>
      <c r="X12" s="405">
        <v>617</v>
      </c>
      <c r="Y12" s="405">
        <v>36</v>
      </c>
      <c r="Z12" s="405">
        <v>617</v>
      </c>
      <c r="AA12" s="44"/>
      <c r="AB12" s="356"/>
    </row>
    <row r="13" spans="1:28">
      <c r="A13" s="45" t="s">
        <v>89</v>
      </c>
      <c r="B13" s="45" t="s">
        <v>90</v>
      </c>
      <c r="C13" s="46">
        <f t="shared" si="10"/>
        <v>78.125</v>
      </c>
      <c r="D13" s="46">
        <f t="shared" si="11"/>
        <v>59.375</v>
      </c>
      <c r="E13" s="46">
        <f t="shared" si="12"/>
        <v>75</v>
      </c>
      <c r="F13" s="46">
        <f t="shared" si="13"/>
        <v>81.25</v>
      </c>
      <c r="G13" s="46">
        <f t="shared" si="14"/>
        <v>93.75</v>
      </c>
      <c r="H13" s="46">
        <f t="shared" si="15"/>
        <v>3.125</v>
      </c>
      <c r="I13" s="528">
        <f t="shared" si="16"/>
        <v>15.625</v>
      </c>
      <c r="J13" s="528">
        <f t="shared" si="17"/>
        <v>6.25</v>
      </c>
      <c r="K13" s="528">
        <f t="shared" si="18"/>
        <v>12.5</v>
      </c>
      <c r="L13" s="531">
        <f t="shared" si="19"/>
        <v>18.75</v>
      </c>
      <c r="M13" s="531">
        <f t="shared" si="20"/>
        <v>34.375</v>
      </c>
      <c r="N13" s="527">
        <v>95</v>
      </c>
      <c r="O13" s="405">
        <v>25</v>
      </c>
      <c r="P13" s="405">
        <v>32</v>
      </c>
      <c r="Q13" s="405">
        <v>19</v>
      </c>
      <c r="R13" s="405">
        <v>32</v>
      </c>
      <c r="S13" s="405">
        <v>24</v>
      </c>
      <c r="T13" s="405">
        <v>32</v>
      </c>
      <c r="U13" s="405">
        <v>26</v>
      </c>
      <c r="V13" s="405">
        <v>32</v>
      </c>
      <c r="W13" s="405">
        <v>30</v>
      </c>
      <c r="X13" s="405">
        <v>32</v>
      </c>
      <c r="Y13" s="405">
        <v>1</v>
      </c>
      <c r="Z13" s="405">
        <v>32</v>
      </c>
      <c r="AA13" s="44"/>
      <c r="AB13" s="356"/>
    </row>
    <row r="14" spans="1:28">
      <c r="A14" s="45" t="s">
        <v>101</v>
      </c>
      <c r="B14" s="45" t="s">
        <v>102</v>
      </c>
      <c r="C14" s="46">
        <f t="shared" si="10"/>
        <v>69.841269841269835</v>
      </c>
      <c r="D14" s="46">
        <f t="shared" si="11"/>
        <v>62.539682539682538</v>
      </c>
      <c r="E14" s="46">
        <f t="shared" si="12"/>
        <v>71.746031746031747</v>
      </c>
      <c r="F14" s="46">
        <f t="shared" si="13"/>
        <v>84.126984126984127</v>
      </c>
      <c r="G14" s="46">
        <f t="shared" si="14"/>
        <v>93.333333333333329</v>
      </c>
      <c r="H14" s="46">
        <f t="shared" si="15"/>
        <v>6.0317460317460316</v>
      </c>
      <c r="I14" s="528">
        <f t="shared" si="16"/>
        <v>9.2063492063492092</v>
      </c>
      <c r="J14" s="528">
        <f t="shared" si="17"/>
        <v>12.38095238095238</v>
      </c>
      <c r="K14" s="528">
        <f t="shared" si="18"/>
        <v>9.2063492063492021</v>
      </c>
      <c r="L14" s="531">
        <f t="shared" si="19"/>
        <v>21.587301587301582</v>
      </c>
      <c r="M14" s="531">
        <f t="shared" si="20"/>
        <v>30.793650793650791</v>
      </c>
      <c r="N14" s="527">
        <v>95</v>
      </c>
      <c r="O14" s="405">
        <v>220</v>
      </c>
      <c r="P14" s="405">
        <v>315</v>
      </c>
      <c r="Q14" s="405">
        <v>197</v>
      </c>
      <c r="R14" s="405">
        <v>315</v>
      </c>
      <c r="S14" s="405">
        <v>226</v>
      </c>
      <c r="T14" s="405">
        <v>315</v>
      </c>
      <c r="U14" s="405">
        <v>265</v>
      </c>
      <c r="V14" s="405">
        <v>315</v>
      </c>
      <c r="W14" s="405">
        <v>294</v>
      </c>
      <c r="X14" s="405">
        <v>315</v>
      </c>
      <c r="Y14" s="405">
        <v>19</v>
      </c>
      <c r="Z14" s="405">
        <v>315</v>
      </c>
      <c r="AA14" s="44"/>
      <c r="AB14" s="356"/>
    </row>
    <row r="15" spans="1:28">
      <c r="A15" s="45" t="s">
        <v>60</v>
      </c>
      <c r="B15" s="45" t="s">
        <v>61</v>
      </c>
      <c r="C15" s="46">
        <f t="shared" si="10"/>
        <v>53.526448362720402</v>
      </c>
      <c r="D15" s="46">
        <f t="shared" si="11"/>
        <v>40.931989924433246</v>
      </c>
      <c r="E15" s="46">
        <f t="shared" si="12"/>
        <v>54.030226700251895</v>
      </c>
      <c r="F15" s="46">
        <f t="shared" si="13"/>
        <v>68.387909319899236</v>
      </c>
      <c r="G15" s="46">
        <f t="shared" si="14"/>
        <v>93.19899244332494</v>
      </c>
      <c r="H15" s="46">
        <f t="shared" si="15"/>
        <v>6.4231738035264483</v>
      </c>
      <c r="I15" s="528">
        <f t="shared" si="16"/>
        <v>13.098236775818648</v>
      </c>
      <c r="J15" s="528">
        <f t="shared" si="17"/>
        <v>14.357682619647342</v>
      </c>
      <c r="K15" s="528">
        <f t="shared" si="18"/>
        <v>24.811083123425703</v>
      </c>
      <c r="L15" s="531">
        <f t="shared" si="19"/>
        <v>39.168765743073045</v>
      </c>
      <c r="M15" s="531">
        <f t="shared" si="20"/>
        <v>52.267002518891694</v>
      </c>
      <c r="N15" s="527">
        <v>95</v>
      </c>
      <c r="O15" s="405">
        <v>425</v>
      </c>
      <c r="P15" s="405">
        <v>794</v>
      </c>
      <c r="Q15" s="405">
        <v>325</v>
      </c>
      <c r="R15" s="405">
        <v>794</v>
      </c>
      <c r="S15" s="405">
        <v>429</v>
      </c>
      <c r="T15" s="405">
        <v>794</v>
      </c>
      <c r="U15" s="405">
        <v>543</v>
      </c>
      <c r="V15" s="405">
        <v>794</v>
      </c>
      <c r="W15" s="405">
        <v>740</v>
      </c>
      <c r="X15" s="405">
        <v>794</v>
      </c>
      <c r="Y15" s="405">
        <v>51</v>
      </c>
      <c r="Z15" s="405">
        <v>794</v>
      </c>
      <c r="AA15" s="44"/>
      <c r="AB15" s="356"/>
    </row>
    <row r="16" spans="1:28">
      <c r="A16" s="45" t="s">
        <v>175</v>
      </c>
      <c r="B16" s="45" t="s">
        <v>75</v>
      </c>
      <c r="C16" s="46">
        <f t="shared" si="10"/>
        <v>81.345565749235476</v>
      </c>
      <c r="D16" s="46">
        <f t="shared" si="11"/>
        <v>74.311926605504581</v>
      </c>
      <c r="E16" s="46">
        <f t="shared" si="12"/>
        <v>83.027522935779814</v>
      </c>
      <c r="F16" s="46">
        <f t="shared" si="13"/>
        <v>88.379204892966357</v>
      </c>
      <c r="G16" s="46">
        <f t="shared" si="14"/>
        <v>93.11926605504587</v>
      </c>
      <c r="H16" s="46">
        <f t="shared" si="15"/>
        <v>5.81039755351682</v>
      </c>
      <c r="I16" s="528">
        <f t="shared" si="16"/>
        <v>8.7155963302752326</v>
      </c>
      <c r="J16" s="528">
        <f t="shared" si="17"/>
        <v>5.3516819571865426</v>
      </c>
      <c r="K16" s="528">
        <f t="shared" si="18"/>
        <v>4.7400611620795132</v>
      </c>
      <c r="L16" s="531">
        <f t="shared" si="19"/>
        <v>10.091743119266056</v>
      </c>
      <c r="M16" s="531">
        <f t="shared" si="20"/>
        <v>18.807339449541288</v>
      </c>
      <c r="N16" s="527">
        <v>95</v>
      </c>
      <c r="O16" s="405">
        <v>532</v>
      </c>
      <c r="P16" s="405">
        <v>654</v>
      </c>
      <c r="Q16" s="405">
        <v>486</v>
      </c>
      <c r="R16" s="405">
        <v>654</v>
      </c>
      <c r="S16" s="405">
        <v>543</v>
      </c>
      <c r="T16" s="405">
        <v>654</v>
      </c>
      <c r="U16" s="405">
        <v>578</v>
      </c>
      <c r="V16" s="405">
        <v>654</v>
      </c>
      <c r="W16" s="405">
        <v>609</v>
      </c>
      <c r="X16" s="405">
        <v>654</v>
      </c>
      <c r="Y16" s="405">
        <v>38</v>
      </c>
      <c r="Z16" s="405">
        <v>654</v>
      </c>
      <c r="AA16" s="44"/>
      <c r="AB16" s="356"/>
    </row>
    <row r="17" spans="1:28">
      <c r="A17" s="45" t="s">
        <v>82</v>
      </c>
      <c r="B17" s="45" t="s">
        <v>83</v>
      </c>
      <c r="C17" s="46">
        <f t="shared" si="10"/>
        <v>68.686868686868678</v>
      </c>
      <c r="D17" s="46">
        <f t="shared" si="11"/>
        <v>58.080808080808076</v>
      </c>
      <c r="E17" s="46">
        <f t="shared" si="12"/>
        <v>67.171717171717177</v>
      </c>
      <c r="F17" s="46">
        <f t="shared" si="13"/>
        <v>76.767676767676761</v>
      </c>
      <c r="G17" s="46">
        <f t="shared" si="14"/>
        <v>92.929292929292927</v>
      </c>
      <c r="H17" s="46">
        <f t="shared" si="15"/>
        <v>6.0606060606060606</v>
      </c>
      <c r="I17" s="528">
        <f t="shared" si="16"/>
        <v>9.0909090909091006</v>
      </c>
      <c r="J17" s="528">
        <f t="shared" si="17"/>
        <v>9.5959595959595845</v>
      </c>
      <c r="K17" s="528">
        <f t="shared" si="18"/>
        <v>16.161616161616166</v>
      </c>
      <c r="L17" s="531">
        <f t="shared" si="19"/>
        <v>25.757575757575751</v>
      </c>
      <c r="M17" s="531">
        <f t="shared" si="20"/>
        <v>34.848484848484851</v>
      </c>
      <c r="N17" s="527">
        <v>95</v>
      </c>
      <c r="O17" s="405">
        <v>136</v>
      </c>
      <c r="P17" s="405">
        <v>198</v>
      </c>
      <c r="Q17" s="405">
        <v>115</v>
      </c>
      <c r="R17" s="405">
        <v>198</v>
      </c>
      <c r="S17" s="405">
        <v>133</v>
      </c>
      <c r="T17" s="405">
        <v>198</v>
      </c>
      <c r="U17" s="405">
        <v>152</v>
      </c>
      <c r="V17" s="405">
        <v>198</v>
      </c>
      <c r="W17" s="405">
        <v>184</v>
      </c>
      <c r="X17" s="405">
        <v>198</v>
      </c>
      <c r="Y17" s="405">
        <v>12</v>
      </c>
      <c r="Z17" s="405">
        <v>198</v>
      </c>
      <c r="AA17" s="44"/>
      <c r="AB17" s="356"/>
    </row>
    <row r="18" spans="1:28">
      <c r="A18" s="45" t="s">
        <v>121</v>
      </c>
      <c r="B18" s="45" t="s">
        <v>122</v>
      </c>
      <c r="C18" s="46">
        <f t="shared" si="10"/>
        <v>70.731707317073173</v>
      </c>
      <c r="D18" s="46">
        <f t="shared" si="11"/>
        <v>60.975609756097562</v>
      </c>
      <c r="E18" s="46">
        <f t="shared" si="12"/>
        <v>68.292682926829272</v>
      </c>
      <c r="F18" s="46">
        <f t="shared" si="13"/>
        <v>80.487804878048792</v>
      </c>
      <c r="G18" s="46">
        <f t="shared" si="14"/>
        <v>92.682926829268297</v>
      </c>
      <c r="H18" s="46">
        <f t="shared" si="15"/>
        <v>2.4390243902439024</v>
      </c>
      <c r="I18" s="528">
        <f t="shared" si="16"/>
        <v>7.3170731707317103</v>
      </c>
      <c r="J18" s="528">
        <f t="shared" si="17"/>
        <v>12.195121951219519</v>
      </c>
      <c r="K18" s="528">
        <f t="shared" si="18"/>
        <v>12.195121951219505</v>
      </c>
      <c r="L18" s="531">
        <f t="shared" si="19"/>
        <v>24.390243902439025</v>
      </c>
      <c r="M18" s="531">
        <f t="shared" si="20"/>
        <v>31.707317073170735</v>
      </c>
      <c r="N18" s="527">
        <v>95</v>
      </c>
      <c r="O18" s="405">
        <v>29</v>
      </c>
      <c r="P18" s="405">
        <v>41</v>
      </c>
      <c r="Q18" s="405">
        <v>25</v>
      </c>
      <c r="R18" s="405">
        <v>41</v>
      </c>
      <c r="S18" s="405">
        <v>28</v>
      </c>
      <c r="T18" s="405">
        <v>41</v>
      </c>
      <c r="U18" s="405">
        <v>33</v>
      </c>
      <c r="V18" s="405">
        <v>41</v>
      </c>
      <c r="W18" s="405">
        <v>38</v>
      </c>
      <c r="X18" s="405">
        <v>41</v>
      </c>
      <c r="Y18" s="405">
        <v>1</v>
      </c>
      <c r="Z18" s="405">
        <v>41</v>
      </c>
      <c r="AA18" s="44"/>
      <c r="AB18" s="356"/>
    </row>
    <row r="19" spans="1:28">
      <c r="A19" s="45" t="s">
        <v>115</v>
      </c>
      <c r="B19" s="45" t="s">
        <v>116</v>
      </c>
      <c r="C19" s="46">
        <f t="shared" si="10"/>
        <v>67.857142857142861</v>
      </c>
      <c r="D19" s="46">
        <f t="shared" si="11"/>
        <v>58.928571428571431</v>
      </c>
      <c r="E19" s="46">
        <f t="shared" si="12"/>
        <v>68.75</v>
      </c>
      <c r="F19" s="46">
        <f t="shared" si="13"/>
        <v>77.678571428571431</v>
      </c>
      <c r="G19" s="46">
        <f t="shared" si="14"/>
        <v>92.410714285714292</v>
      </c>
      <c r="H19" s="46">
        <f t="shared" si="15"/>
        <v>6.25</v>
      </c>
      <c r="I19" s="528">
        <f t="shared" si="16"/>
        <v>9.8214285714285694</v>
      </c>
      <c r="J19" s="528">
        <f t="shared" si="17"/>
        <v>8.9285714285714306</v>
      </c>
      <c r="K19" s="528">
        <f t="shared" si="18"/>
        <v>14.732142857142861</v>
      </c>
      <c r="L19" s="531">
        <f t="shared" si="19"/>
        <v>23.660714285714292</v>
      </c>
      <c r="M19" s="531">
        <f t="shared" si="20"/>
        <v>33.482142857142861</v>
      </c>
      <c r="N19" s="527">
        <v>95</v>
      </c>
      <c r="O19" s="405">
        <v>152</v>
      </c>
      <c r="P19" s="405">
        <v>224</v>
      </c>
      <c r="Q19" s="405">
        <v>132</v>
      </c>
      <c r="R19" s="405">
        <v>224</v>
      </c>
      <c r="S19" s="405">
        <v>154</v>
      </c>
      <c r="T19" s="405">
        <v>224</v>
      </c>
      <c r="U19" s="405">
        <v>174</v>
      </c>
      <c r="V19" s="405">
        <v>224</v>
      </c>
      <c r="W19" s="405">
        <v>207</v>
      </c>
      <c r="X19" s="405">
        <v>224</v>
      </c>
      <c r="Y19" s="405">
        <v>14</v>
      </c>
      <c r="Z19" s="405">
        <v>224</v>
      </c>
      <c r="AA19" s="44"/>
      <c r="AB19" s="356"/>
    </row>
    <row r="20" spans="1:28">
      <c r="A20" s="45" t="s">
        <v>77</v>
      </c>
      <c r="B20" s="45" t="s">
        <v>78</v>
      </c>
      <c r="C20" s="46">
        <f t="shared" si="10"/>
        <v>86.131386861313857</v>
      </c>
      <c r="D20" s="46">
        <f t="shared" si="11"/>
        <v>76.642335766423358</v>
      </c>
      <c r="E20" s="46">
        <f t="shared" si="12"/>
        <v>83.941605839416056</v>
      </c>
      <c r="F20" s="46">
        <f t="shared" si="13"/>
        <v>86.861313868613138</v>
      </c>
      <c r="G20" s="46">
        <f t="shared" si="14"/>
        <v>91.970802919708035</v>
      </c>
      <c r="H20" s="46">
        <f t="shared" si="15"/>
        <v>5.8394160583941606</v>
      </c>
      <c r="I20" s="528">
        <f t="shared" si="16"/>
        <v>7.299270072992698</v>
      </c>
      <c r="J20" s="528">
        <f t="shared" si="17"/>
        <v>2.9197080291970821</v>
      </c>
      <c r="K20" s="528">
        <f t="shared" si="18"/>
        <v>5.1094890510948971</v>
      </c>
      <c r="L20" s="531">
        <f t="shared" si="19"/>
        <v>8.0291970802919792</v>
      </c>
      <c r="M20" s="531">
        <f t="shared" si="20"/>
        <v>15.328467153284677</v>
      </c>
      <c r="N20" s="527">
        <v>95</v>
      </c>
      <c r="O20" s="405">
        <v>118</v>
      </c>
      <c r="P20" s="405">
        <v>137</v>
      </c>
      <c r="Q20" s="405">
        <v>105</v>
      </c>
      <c r="R20" s="405">
        <v>137</v>
      </c>
      <c r="S20" s="405">
        <v>115</v>
      </c>
      <c r="T20" s="405">
        <v>137</v>
      </c>
      <c r="U20" s="405">
        <v>119</v>
      </c>
      <c r="V20" s="405">
        <v>137</v>
      </c>
      <c r="W20" s="405">
        <v>126</v>
      </c>
      <c r="X20" s="405">
        <v>137</v>
      </c>
      <c r="Y20" s="405">
        <v>8</v>
      </c>
      <c r="Z20" s="405">
        <v>137</v>
      </c>
      <c r="AA20" s="44"/>
      <c r="AB20" s="356"/>
    </row>
    <row r="21" spans="1:28">
      <c r="A21" s="45" t="s">
        <v>127</v>
      </c>
      <c r="B21" s="45" t="s">
        <v>128</v>
      </c>
      <c r="C21" s="46">
        <f t="shared" si="10"/>
        <v>69.162995594713664</v>
      </c>
      <c r="D21" s="46">
        <f t="shared" si="11"/>
        <v>57.268722466960355</v>
      </c>
      <c r="E21" s="46">
        <f t="shared" si="12"/>
        <v>70.484581497797365</v>
      </c>
      <c r="F21" s="46">
        <f t="shared" si="13"/>
        <v>81.93832599118943</v>
      </c>
      <c r="G21" s="46">
        <f t="shared" si="14"/>
        <v>91.629955947136565</v>
      </c>
      <c r="H21" s="46">
        <f t="shared" si="15"/>
        <v>7.929515418502203</v>
      </c>
      <c r="I21" s="528">
        <f t="shared" si="16"/>
        <v>13.215859030837009</v>
      </c>
      <c r="J21" s="528">
        <f t="shared" si="17"/>
        <v>11.453744493392065</v>
      </c>
      <c r="K21" s="528">
        <f t="shared" si="18"/>
        <v>9.6916299559471355</v>
      </c>
      <c r="L21" s="531">
        <f t="shared" si="19"/>
        <v>21.145374449339201</v>
      </c>
      <c r="M21" s="531">
        <f t="shared" si="20"/>
        <v>34.36123348017621</v>
      </c>
      <c r="N21" s="527">
        <v>95</v>
      </c>
      <c r="O21" s="405">
        <v>157</v>
      </c>
      <c r="P21" s="405">
        <v>227</v>
      </c>
      <c r="Q21" s="405">
        <v>130</v>
      </c>
      <c r="R21" s="405">
        <v>227</v>
      </c>
      <c r="S21" s="405">
        <v>160</v>
      </c>
      <c r="T21" s="405">
        <v>227</v>
      </c>
      <c r="U21" s="405">
        <v>186</v>
      </c>
      <c r="V21" s="405">
        <v>227</v>
      </c>
      <c r="W21" s="405">
        <v>208</v>
      </c>
      <c r="X21" s="405">
        <v>227</v>
      </c>
      <c r="Y21" s="405">
        <v>18</v>
      </c>
      <c r="Z21" s="405">
        <v>227</v>
      </c>
      <c r="AA21" s="44"/>
      <c r="AB21" s="356"/>
    </row>
    <row r="22" spans="1:28">
      <c r="A22" s="45" t="s">
        <v>109</v>
      </c>
      <c r="B22" s="45" t="s">
        <v>110</v>
      </c>
      <c r="C22" s="46">
        <f t="shared" si="10"/>
        <v>80.3347280334728</v>
      </c>
      <c r="D22" s="46">
        <f t="shared" si="11"/>
        <v>70.0836820083682</v>
      </c>
      <c r="E22" s="46">
        <f t="shared" si="12"/>
        <v>81.171548117154813</v>
      </c>
      <c r="F22" s="46">
        <f t="shared" si="13"/>
        <v>86.29707112970712</v>
      </c>
      <c r="G22" s="46">
        <f t="shared" si="14"/>
        <v>91.527196652719667</v>
      </c>
      <c r="H22" s="46">
        <f t="shared" si="15"/>
        <v>7.4267782426778242</v>
      </c>
      <c r="I22" s="528">
        <f t="shared" si="16"/>
        <v>11.087866108786613</v>
      </c>
      <c r="J22" s="528">
        <f t="shared" si="17"/>
        <v>5.125523012552307</v>
      </c>
      <c r="K22" s="528">
        <f t="shared" si="18"/>
        <v>5.2301255230125463</v>
      </c>
      <c r="L22" s="531">
        <f t="shared" si="19"/>
        <v>10.355648535564853</v>
      </c>
      <c r="M22" s="531">
        <f t="shared" si="20"/>
        <v>21.443514644351467</v>
      </c>
      <c r="N22" s="527">
        <v>95</v>
      </c>
      <c r="O22" s="405">
        <v>768</v>
      </c>
      <c r="P22" s="405">
        <v>956</v>
      </c>
      <c r="Q22" s="405">
        <v>670</v>
      </c>
      <c r="R22" s="405">
        <v>956</v>
      </c>
      <c r="S22" s="405">
        <v>776</v>
      </c>
      <c r="T22" s="405">
        <v>956</v>
      </c>
      <c r="U22" s="405">
        <v>825</v>
      </c>
      <c r="V22" s="405">
        <v>956</v>
      </c>
      <c r="W22" s="405">
        <v>875</v>
      </c>
      <c r="X22" s="405">
        <v>956</v>
      </c>
      <c r="Y22" s="405">
        <v>71</v>
      </c>
      <c r="Z22" s="405">
        <v>956</v>
      </c>
      <c r="AA22" s="44"/>
      <c r="AB22" s="356"/>
    </row>
    <row r="23" spans="1:28">
      <c r="A23" s="45" t="s">
        <v>68</v>
      </c>
      <c r="B23" s="45" t="s">
        <v>69</v>
      </c>
      <c r="C23" s="46">
        <f t="shared" si="10"/>
        <v>81.818181818181827</v>
      </c>
      <c r="D23" s="46">
        <f t="shared" si="11"/>
        <v>78.787878787878782</v>
      </c>
      <c r="E23" s="46">
        <f t="shared" si="12"/>
        <v>81.818181818181827</v>
      </c>
      <c r="F23" s="46">
        <f t="shared" si="13"/>
        <v>87.878787878787875</v>
      </c>
      <c r="G23" s="46">
        <f t="shared" si="14"/>
        <v>90.909090909090907</v>
      </c>
      <c r="H23" s="46">
        <f t="shared" si="15"/>
        <v>9.0909090909090917</v>
      </c>
      <c r="I23" s="528">
        <f t="shared" si="16"/>
        <v>3.0303030303030454</v>
      </c>
      <c r="J23" s="528">
        <f t="shared" si="17"/>
        <v>6.0606060606060481</v>
      </c>
      <c r="K23" s="528">
        <f t="shared" si="18"/>
        <v>3.0303030303030312</v>
      </c>
      <c r="L23" s="531">
        <f t="shared" si="19"/>
        <v>9.0909090909090793</v>
      </c>
      <c r="M23" s="531">
        <f t="shared" si="20"/>
        <v>12.121212121212125</v>
      </c>
      <c r="N23" s="527">
        <v>95</v>
      </c>
      <c r="O23" s="405">
        <v>27</v>
      </c>
      <c r="P23" s="405">
        <v>33</v>
      </c>
      <c r="Q23" s="405">
        <v>26</v>
      </c>
      <c r="R23" s="405">
        <v>33</v>
      </c>
      <c r="S23" s="405">
        <v>27</v>
      </c>
      <c r="T23" s="405">
        <v>33</v>
      </c>
      <c r="U23" s="405">
        <v>29</v>
      </c>
      <c r="V23" s="405">
        <v>33</v>
      </c>
      <c r="W23" s="405">
        <v>30</v>
      </c>
      <c r="X23" s="405">
        <v>33</v>
      </c>
      <c r="Y23" s="405">
        <v>3</v>
      </c>
      <c r="Z23" s="405">
        <v>33</v>
      </c>
      <c r="AA23" s="44"/>
      <c r="AB23" s="356"/>
    </row>
    <row r="24" spans="1:28">
      <c r="A24" s="45" t="s">
        <v>65</v>
      </c>
      <c r="B24" s="45" t="s">
        <v>66</v>
      </c>
      <c r="C24" s="46">
        <f t="shared" si="10"/>
        <v>61.165048543689316</v>
      </c>
      <c r="D24" s="46">
        <f t="shared" si="11"/>
        <v>44.174757281553397</v>
      </c>
      <c r="E24" s="46">
        <f t="shared" si="12"/>
        <v>60.194174757281552</v>
      </c>
      <c r="F24" s="46">
        <f t="shared" si="13"/>
        <v>74.757281553398059</v>
      </c>
      <c r="G24" s="46">
        <f t="shared" si="14"/>
        <v>90.77669902912622</v>
      </c>
      <c r="H24" s="46">
        <f t="shared" si="15"/>
        <v>7.2815533980582519</v>
      </c>
      <c r="I24" s="528">
        <f t="shared" si="16"/>
        <v>16.019417475728154</v>
      </c>
      <c r="J24" s="528">
        <f t="shared" si="17"/>
        <v>14.563106796116507</v>
      </c>
      <c r="K24" s="528">
        <f t="shared" si="18"/>
        <v>16.019417475728162</v>
      </c>
      <c r="L24" s="531">
        <f t="shared" si="19"/>
        <v>30.582524271844669</v>
      </c>
      <c r="M24" s="531">
        <f t="shared" si="20"/>
        <v>46.601941747572823</v>
      </c>
      <c r="N24" s="527">
        <v>95</v>
      </c>
      <c r="O24" s="405">
        <v>126</v>
      </c>
      <c r="P24" s="405">
        <v>206</v>
      </c>
      <c r="Q24" s="405">
        <v>91</v>
      </c>
      <c r="R24" s="405">
        <v>206</v>
      </c>
      <c r="S24" s="405">
        <v>124</v>
      </c>
      <c r="T24" s="405">
        <v>206</v>
      </c>
      <c r="U24" s="405">
        <v>154</v>
      </c>
      <c r="V24" s="405">
        <v>206</v>
      </c>
      <c r="W24" s="405">
        <v>187</v>
      </c>
      <c r="X24" s="405">
        <v>206</v>
      </c>
      <c r="Y24" s="405">
        <v>15</v>
      </c>
      <c r="Z24" s="405">
        <v>206</v>
      </c>
      <c r="AA24" s="44"/>
      <c r="AB24" s="356"/>
    </row>
    <row r="25" spans="1:28">
      <c r="A25" s="45" t="s">
        <v>98</v>
      </c>
      <c r="B25" s="45" t="s">
        <v>99</v>
      </c>
      <c r="C25" s="46">
        <f t="shared" si="10"/>
        <v>65.161290322580641</v>
      </c>
      <c r="D25" s="46">
        <f t="shared" si="11"/>
        <v>56.451612903225815</v>
      </c>
      <c r="E25" s="46">
        <f t="shared" si="12"/>
        <v>67.741935483870961</v>
      </c>
      <c r="F25" s="46">
        <f t="shared" si="13"/>
        <v>80.967741935483872</v>
      </c>
      <c r="G25" s="46">
        <f t="shared" si="14"/>
        <v>90.645161290322591</v>
      </c>
      <c r="H25" s="46">
        <f t="shared" si="15"/>
        <v>5.4838709677419359</v>
      </c>
      <c r="I25" s="528">
        <f t="shared" si="16"/>
        <v>11.290322580645146</v>
      </c>
      <c r="J25" s="528">
        <f t="shared" si="17"/>
        <v>13.225806451612911</v>
      </c>
      <c r="K25" s="528">
        <f t="shared" si="18"/>
        <v>9.6774193548387188</v>
      </c>
      <c r="L25" s="531">
        <f t="shared" si="19"/>
        <v>22.90322580645163</v>
      </c>
      <c r="M25" s="531">
        <f t="shared" si="20"/>
        <v>34.193548387096776</v>
      </c>
      <c r="N25" s="527">
        <v>95</v>
      </c>
      <c r="O25" s="405">
        <v>202</v>
      </c>
      <c r="P25" s="405">
        <v>310</v>
      </c>
      <c r="Q25" s="405">
        <v>175</v>
      </c>
      <c r="R25" s="405">
        <v>310</v>
      </c>
      <c r="S25" s="405">
        <v>210</v>
      </c>
      <c r="T25" s="405">
        <v>310</v>
      </c>
      <c r="U25" s="405">
        <v>251</v>
      </c>
      <c r="V25" s="405">
        <v>310</v>
      </c>
      <c r="W25" s="405">
        <v>281</v>
      </c>
      <c r="X25" s="405">
        <v>310</v>
      </c>
      <c r="Y25" s="405">
        <v>17</v>
      </c>
      <c r="Z25" s="405">
        <v>310</v>
      </c>
      <c r="AA25" s="44"/>
      <c r="AB25" s="356"/>
    </row>
    <row r="26" spans="1:28">
      <c r="A26" s="45" t="s">
        <v>185</v>
      </c>
      <c r="B26" s="45" t="s">
        <v>85</v>
      </c>
      <c r="C26" s="46">
        <f t="shared" si="10"/>
        <v>60.789473684210527</v>
      </c>
      <c r="D26" s="46">
        <f t="shared" si="11"/>
        <v>48.947368421052637</v>
      </c>
      <c r="E26" s="46">
        <f t="shared" si="12"/>
        <v>61.315789473684212</v>
      </c>
      <c r="F26" s="46">
        <f t="shared" si="13"/>
        <v>72.368421052631575</v>
      </c>
      <c r="G26" s="46">
        <f t="shared" si="14"/>
        <v>89.473684210526315</v>
      </c>
      <c r="H26" s="46">
        <f t="shared" si="15"/>
        <v>9.4736842105263168</v>
      </c>
      <c r="I26" s="528">
        <f t="shared" si="16"/>
        <v>12.368421052631575</v>
      </c>
      <c r="J26" s="528">
        <f t="shared" si="17"/>
        <v>11.052631578947363</v>
      </c>
      <c r="K26" s="528">
        <f t="shared" si="18"/>
        <v>17.10526315789474</v>
      </c>
      <c r="L26" s="531">
        <f t="shared" si="19"/>
        <v>28.157894736842103</v>
      </c>
      <c r="M26" s="531">
        <f t="shared" si="20"/>
        <v>40.526315789473678</v>
      </c>
      <c r="N26" s="527">
        <v>95</v>
      </c>
      <c r="O26" s="405">
        <v>231</v>
      </c>
      <c r="P26" s="405">
        <v>380</v>
      </c>
      <c r="Q26" s="405">
        <v>186</v>
      </c>
      <c r="R26" s="405">
        <v>380</v>
      </c>
      <c r="S26" s="405">
        <v>233</v>
      </c>
      <c r="T26" s="405">
        <v>380</v>
      </c>
      <c r="U26" s="405">
        <v>275</v>
      </c>
      <c r="V26" s="405">
        <v>380</v>
      </c>
      <c r="W26" s="405">
        <v>340</v>
      </c>
      <c r="X26" s="405">
        <v>380</v>
      </c>
      <c r="Y26" s="405">
        <v>36</v>
      </c>
      <c r="Z26" s="405">
        <v>380</v>
      </c>
      <c r="AA26" s="44"/>
      <c r="AB26" s="356"/>
    </row>
    <row r="27" spans="1:28">
      <c r="A27" s="45" t="s">
        <v>118</v>
      </c>
      <c r="B27" s="45" t="s">
        <v>119</v>
      </c>
      <c r="C27" s="46">
        <f t="shared" si="10"/>
        <v>75</v>
      </c>
      <c r="D27" s="46">
        <f t="shared" si="11"/>
        <v>72.222222222222214</v>
      </c>
      <c r="E27" s="46">
        <f t="shared" si="12"/>
        <v>77.777777777777786</v>
      </c>
      <c r="F27" s="46">
        <f t="shared" si="13"/>
        <v>77.777777777777786</v>
      </c>
      <c r="G27" s="46">
        <f t="shared" si="14"/>
        <v>88.888888888888886</v>
      </c>
      <c r="H27" s="46">
        <f t="shared" si="15"/>
        <v>5.5555555555555554</v>
      </c>
      <c r="I27" s="528">
        <f t="shared" si="16"/>
        <v>5.5555555555555713</v>
      </c>
      <c r="J27" s="528">
        <f t="shared" si="17"/>
        <v>0</v>
      </c>
      <c r="K27" s="528">
        <f t="shared" si="18"/>
        <v>11.1111111111111</v>
      </c>
      <c r="L27" s="531">
        <f t="shared" si="19"/>
        <v>11.1111111111111</v>
      </c>
      <c r="M27" s="531">
        <f t="shared" si="20"/>
        <v>16.666666666666671</v>
      </c>
      <c r="N27" s="527">
        <v>95</v>
      </c>
      <c r="O27" s="405">
        <v>27</v>
      </c>
      <c r="P27" s="405">
        <v>36</v>
      </c>
      <c r="Q27" s="405">
        <v>26</v>
      </c>
      <c r="R27" s="405">
        <v>36</v>
      </c>
      <c r="S27" s="405">
        <v>28</v>
      </c>
      <c r="T27" s="405">
        <v>36</v>
      </c>
      <c r="U27" s="405">
        <v>28</v>
      </c>
      <c r="V27" s="405">
        <v>36</v>
      </c>
      <c r="W27" s="405">
        <v>32</v>
      </c>
      <c r="X27" s="405">
        <v>36</v>
      </c>
      <c r="Y27" s="405">
        <v>2</v>
      </c>
      <c r="Z27" s="405">
        <v>36</v>
      </c>
      <c r="AA27" s="44"/>
      <c r="AB27" s="356"/>
    </row>
    <row r="28" spans="1:28">
      <c r="A28" s="45" t="s">
        <v>104</v>
      </c>
      <c r="B28" s="45" t="s">
        <v>105</v>
      </c>
      <c r="C28" s="46">
        <f t="shared" si="10"/>
        <v>51.666666666666671</v>
      </c>
      <c r="D28" s="46">
        <f t="shared" si="11"/>
        <v>39</v>
      </c>
      <c r="E28" s="46">
        <f t="shared" si="12"/>
        <v>52.333333333333329</v>
      </c>
      <c r="F28" s="46">
        <f t="shared" si="13"/>
        <v>66.666666666666657</v>
      </c>
      <c r="G28" s="46">
        <f t="shared" si="14"/>
        <v>88</v>
      </c>
      <c r="H28" s="46">
        <f t="shared" si="15"/>
        <v>11.666666666666666</v>
      </c>
      <c r="I28" s="528">
        <f t="shared" si="16"/>
        <v>13.333333333333329</v>
      </c>
      <c r="J28" s="528">
        <f t="shared" si="17"/>
        <v>14.333333333333329</v>
      </c>
      <c r="K28" s="528">
        <f t="shared" si="18"/>
        <v>21.333333333333343</v>
      </c>
      <c r="L28" s="531">
        <f t="shared" si="19"/>
        <v>35.666666666666671</v>
      </c>
      <c r="M28" s="531">
        <f t="shared" si="20"/>
        <v>49</v>
      </c>
      <c r="N28" s="527">
        <v>95</v>
      </c>
      <c r="O28" s="405">
        <v>155</v>
      </c>
      <c r="P28" s="405">
        <v>300</v>
      </c>
      <c r="Q28" s="405">
        <v>117</v>
      </c>
      <c r="R28" s="405">
        <v>300</v>
      </c>
      <c r="S28" s="405">
        <v>157</v>
      </c>
      <c r="T28" s="405">
        <v>300</v>
      </c>
      <c r="U28" s="405">
        <v>200</v>
      </c>
      <c r="V28" s="405">
        <v>300</v>
      </c>
      <c r="W28" s="405">
        <v>264</v>
      </c>
      <c r="X28" s="405">
        <v>300</v>
      </c>
      <c r="Y28" s="405">
        <v>35</v>
      </c>
      <c r="Z28" s="405">
        <v>300</v>
      </c>
      <c r="AA28" s="44"/>
      <c r="AB28" s="356"/>
    </row>
    <row r="29" spans="1:28">
      <c r="A29" s="45" t="s">
        <v>95</v>
      </c>
      <c r="B29" s="45" t="s">
        <v>96</v>
      </c>
      <c r="C29" s="46">
        <f t="shared" si="10"/>
        <v>61.403508771929829</v>
      </c>
      <c r="D29" s="46">
        <f t="shared" si="11"/>
        <v>56.140350877192979</v>
      </c>
      <c r="E29" s="46">
        <f t="shared" si="12"/>
        <v>59.649122807017541</v>
      </c>
      <c r="F29" s="46">
        <f t="shared" si="13"/>
        <v>71.929824561403507</v>
      </c>
      <c r="G29" s="46">
        <f t="shared" si="14"/>
        <v>85.964912280701753</v>
      </c>
      <c r="H29" s="46">
        <f t="shared" si="15"/>
        <v>8.7719298245614024</v>
      </c>
      <c r="I29" s="528">
        <f t="shared" si="16"/>
        <v>3.5087719298245617</v>
      </c>
      <c r="J29" s="528">
        <f t="shared" si="17"/>
        <v>12.280701754385966</v>
      </c>
      <c r="K29" s="528">
        <f t="shared" si="18"/>
        <v>14.035087719298247</v>
      </c>
      <c r="L29" s="531">
        <f t="shared" si="19"/>
        <v>26.315789473684212</v>
      </c>
      <c r="M29" s="531">
        <f t="shared" si="20"/>
        <v>29.824561403508774</v>
      </c>
      <c r="N29" s="527">
        <v>95</v>
      </c>
      <c r="O29" s="405">
        <v>35</v>
      </c>
      <c r="P29" s="405">
        <v>57</v>
      </c>
      <c r="Q29" s="405">
        <v>32</v>
      </c>
      <c r="R29" s="405">
        <v>57</v>
      </c>
      <c r="S29" s="405">
        <v>34</v>
      </c>
      <c r="T29" s="405">
        <v>57</v>
      </c>
      <c r="U29" s="405">
        <v>41</v>
      </c>
      <c r="V29" s="405">
        <v>57</v>
      </c>
      <c r="W29" s="405">
        <v>49</v>
      </c>
      <c r="X29" s="405">
        <v>57</v>
      </c>
      <c r="Y29" s="405">
        <v>5</v>
      </c>
      <c r="Z29" s="405">
        <v>57</v>
      </c>
      <c r="AA29" s="44"/>
      <c r="AB29" s="356"/>
    </row>
    <row r="30" spans="1:28">
      <c r="A30" s="45" t="s">
        <v>124</v>
      </c>
      <c r="B30" s="45" t="s">
        <v>125</v>
      </c>
      <c r="C30" s="46">
        <f t="shared" si="10"/>
        <v>43.478260869565219</v>
      </c>
      <c r="D30" s="46">
        <f t="shared" si="11"/>
        <v>27.74327122153209</v>
      </c>
      <c r="E30" s="46">
        <f t="shared" si="12"/>
        <v>44.099378881987576</v>
      </c>
      <c r="F30" s="46">
        <f t="shared" si="13"/>
        <v>57.556935817805389</v>
      </c>
      <c r="G30" s="46">
        <f t="shared" si="14"/>
        <v>85.921325051759837</v>
      </c>
      <c r="H30" s="46">
        <f t="shared" si="15"/>
        <v>13.250517598343686</v>
      </c>
      <c r="I30" s="528">
        <f t="shared" si="16"/>
        <v>16.356107660455486</v>
      </c>
      <c r="J30" s="528">
        <f t="shared" si="17"/>
        <v>13.457556935817813</v>
      </c>
      <c r="K30" s="528">
        <f t="shared" si="18"/>
        <v>28.364389233954448</v>
      </c>
      <c r="L30" s="531">
        <f t="shared" si="19"/>
        <v>41.821946169772261</v>
      </c>
      <c r="M30" s="531">
        <f t="shared" si="20"/>
        <v>58.178053830227746</v>
      </c>
      <c r="N30" s="527">
        <v>95</v>
      </c>
      <c r="O30" s="405">
        <v>210</v>
      </c>
      <c r="P30" s="405">
        <v>483</v>
      </c>
      <c r="Q30" s="405">
        <v>134</v>
      </c>
      <c r="R30" s="405">
        <v>483</v>
      </c>
      <c r="S30" s="405">
        <v>213</v>
      </c>
      <c r="T30" s="405">
        <v>483</v>
      </c>
      <c r="U30" s="405">
        <v>278</v>
      </c>
      <c r="V30" s="405">
        <v>483</v>
      </c>
      <c r="W30" s="405">
        <v>415</v>
      </c>
      <c r="X30" s="405">
        <v>483</v>
      </c>
      <c r="Y30" s="405">
        <v>64</v>
      </c>
      <c r="Z30" s="405">
        <v>483</v>
      </c>
      <c r="AA30" s="44"/>
      <c r="AB30" s="356"/>
    </row>
    <row r="31" spans="1:28">
      <c r="A31" s="45" t="s">
        <v>58</v>
      </c>
      <c r="B31" s="45" t="s">
        <v>57</v>
      </c>
      <c r="C31" s="46">
        <f t="shared" si="10"/>
        <v>45.098039215686278</v>
      </c>
      <c r="D31" s="46">
        <f t="shared" si="11"/>
        <v>25.490196078431371</v>
      </c>
      <c r="E31" s="46">
        <f t="shared" si="12"/>
        <v>39.215686274509807</v>
      </c>
      <c r="F31" s="46">
        <f t="shared" si="13"/>
        <v>49.019607843137251</v>
      </c>
      <c r="G31" s="46">
        <f t="shared" si="14"/>
        <v>68.627450980392155</v>
      </c>
      <c r="H31" s="46">
        <f t="shared" si="15"/>
        <v>31.372549019607842</v>
      </c>
      <c r="I31" s="526">
        <f t="shared" si="16"/>
        <v>13.725490196078436</v>
      </c>
      <c r="J31" s="525">
        <f t="shared" si="17"/>
        <v>9.8039215686274446</v>
      </c>
      <c r="K31" s="525">
        <f t="shared" si="18"/>
        <v>19.607843137254903</v>
      </c>
      <c r="L31" s="530">
        <f t="shared" si="19"/>
        <v>29.411764705882348</v>
      </c>
      <c r="M31" s="530">
        <f t="shared" si="20"/>
        <v>43.137254901960787</v>
      </c>
      <c r="N31" s="524">
        <v>95</v>
      </c>
      <c r="O31" s="405">
        <v>23</v>
      </c>
      <c r="P31" s="405">
        <v>51</v>
      </c>
      <c r="Q31" s="405">
        <v>13</v>
      </c>
      <c r="R31" s="405">
        <v>51</v>
      </c>
      <c r="S31" s="405">
        <v>20</v>
      </c>
      <c r="T31" s="405">
        <v>51</v>
      </c>
      <c r="U31" s="405">
        <v>25</v>
      </c>
      <c r="V31" s="405">
        <v>51</v>
      </c>
      <c r="W31" s="405">
        <v>35</v>
      </c>
      <c r="X31" s="405">
        <v>51</v>
      </c>
      <c r="Y31" s="405">
        <v>16</v>
      </c>
      <c r="Z31" s="405">
        <v>51</v>
      </c>
      <c r="AA31" s="44"/>
      <c r="AB31" s="356"/>
    </row>
    <row r="32" spans="1:28">
      <c r="A32" s="51"/>
      <c r="C32" s="34"/>
      <c r="D32" s="34"/>
      <c r="E32" s="34"/>
      <c r="F32" s="34"/>
      <c r="G32" s="34"/>
      <c r="H32" s="34"/>
      <c r="I32" s="34"/>
      <c r="J32" s="34"/>
      <c r="K32" s="34"/>
      <c r="L32" s="34"/>
      <c r="M32" s="34"/>
    </row>
    <row r="33" spans="1:26" ht="30" customHeight="1">
      <c r="A33" s="1030" t="s">
        <v>135</v>
      </c>
      <c r="B33" s="1031"/>
      <c r="C33" s="1015" t="s">
        <v>42</v>
      </c>
      <c r="D33" s="1016"/>
      <c r="E33" s="1016"/>
      <c r="F33" s="1016"/>
      <c r="G33" s="1016"/>
      <c r="H33" s="1017"/>
      <c r="I33" s="1032"/>
      <c r="J33" s="1033"/>
      <c r="K33" s="1033"/>
      <c r="L33" s="1033"/>
      <c r="M33" s="1033"/>
      <c r="N33" s="1034"/>
      <c r="O33" s="1018" t="s">
        <v>48</v>
      </c>
      <c r="P33" s="1018"/>
      <c r="Q33" s="1018" t="s">
        <v>142</v>
      </c>
      <c r="R33" s="1018"/>
      <c r="S33" s="1018" t="s">
        <v>143</v>
      </c>
      <c r="T33" s="1018"/>
      <c r="U33" s="1018" t="s">
        <v>144</v>
      </c>
      <c r="V33" s="1018"/>
      <c r="W33" s="1018" t="s">
        <v>145</v>
      </c>
      <c r="X33" s="1018"/>
      <c r="Y33" s="1018" t="s">
        <v>146</v>
      </c>
      <c r="Z33" s="1019"/>
    </row>
    <row r="34" spans="1:26" ht="35.1" customHeight="1">
      <c r="A34" s="52"/>
      <c r="B34" s="53" t="s">
        <v>137</v>
      </c>
      <c r="C34" s="40" t="s">
        <v>51</v>
      </c>
      <c r="D34" s="40" t="s">
        <v>147</v>
      </c>
      <c r="E34" s="40" t="s">
        <v>148</v>
      </c>
      <c r="F34" s="40" t="s">
        <v>149</v>
      </c>
      <c r="G34" s="40" t="s">
        <v>150</v>
      </c>
      <c r="H34" s="40" t="s">
        <v>151</v>
      </c>
      <c r="I34" s="1035"/>
      <c r="J34" s="1036"/>
      <c r="K34" s="1036"/>
      <c r="L34" s="1036"/>
      <c r="M34" s="1036"/>
      <c r="N34" s="1037"/>
      <c r="O34" s="43" t="s">
        <v>26</v>
      </c>
      <c r="P34" s="43" t="s">
        <v>27</v>
      </c>
      <c r="Q34" s="43" t="s">
        <v>26</v>
      </c>
      <c r="R34" s="43" t="s">
        <v>27</v>
      </c>
      <c r="S34" s="43" t="s">
        <v>26</v>
      </c>
      <c r="T34" s="43" t="s">
        <v>27</v>
      </c>
      <c r="U34" s="43" t="s">
        <v>26</v>
      </c>
      <c r="V34" s="43" t="s">
        <v>27</v>
      </c>
      <c r="W34" s="43" t="s">
        <v>26</v>
      </c>
      <c r="X34" s="43" t="s">
        <v>27</v>
      </c>
      <c r="Y34" s="43" t="s">
        <v>26</v>
      </c>
      <c r="Z34" s="65" t="s">
        <v>27</v>
      </c>
    </row>
    <row r="35" spans="1:26">
      <c r="A35" s="1020"/>
      <c r="B35" s="45" t="s">
        <v>33</v>
      </c>
      <c r="C35" s="46">
        <f t="shared" ref="C35:C48" si="21">IF(ISERR(O35/P35*100),"",O35/P35*100)</f>
        <v>53.017751479289942</v>
      </c>
      <c r="D35" s="46">
        <f t="shared" ref="D35:D48" si="22">IF(ISERR(Q35/R35*100),"",Q35/R35*100)</f>
        <v>40</v>
      </c>
      <c r="E35" s="46">
        <f t="shared" ref="E35:E48" si="23">IF(ISERR(S35/T35*100),"",S35/T35*100)</f>
        <v>53.136094674556212</v>
      </c>
      <c r="F35" s="46">
        <f t="shared" ref="F35:F48" si="24">IF(ISERR(U35/V35*100),"",U35/V35*100)</f>
        <v>67.218934911242599</v>
      </c>
      <c r="G35" s="46">
        <f t="shared" ref="G35:G48" si="25">IF(ISERR(W35/X35*100),"",W35/X35*100)</f>
        <v>91.715976331360949</v>
      </c>
      <c r="H35" s="46">
        <f t="shared" ref="H35:H48" si="26">IF(ISERR(Y35/Z35*100),"",Y35/Z35*100)</f>
        <v>7.9289940828402363</v>
      </c>
      <c r="I35" s="1023"/>
      <c r="J35" s="1024"/>
      <c r="K35" s="1024"/>
      <c r="L35" s="1024"/>
      <c r="M35" s="1024"/>
      <c r="N35" s="1025"/>
      <c r="O35" s="406">
        <v>448</v>
      </c>
      <c r="P35" s="406">
        <v>845</v>
      </c>
      <c r="Q35" s="520">
        <v>338</v>
      </c>
      <c r="R35" s="520">
        <v>845</v>
      </c>
      <c r="S35" s="407">
        <v>449</v>
      </c>
      <c r="T35" s="407">
        <v>845</v>
      </c>
      <c r="U35" s="407">
        <v>568</v>
      </c>
      <c r="V35" s="407">
        <v>845</v>
      </c>
      <c r="W35" s="407">
        <v>775</v>
      </c>
      <c r="X35" s="407">
        <v>845</v>
      </c>
      <c r="Y35" s="407">
        <v>67</v>
      </c>
      <c r="Z35" s="407">
        <v>845</v>
      </c>
    </row>
    <row r="36" spans="1:26">
      <c r="A36" s="1021"/>
      <c r="B36" s="45" t="s">
        <v>28</v>
      </c>
      <c r="C36" s="46">
        <f t="shared" si="21"/>
        <v>82.407407407407405</v>
      </c>
      <c r="D36" s="46">
        <f t="shared" si="22"/>
        <v>69.444444444444443</v>
      </c>
      <c r="E36" s="46">
        <f t="shared" si="23"/>
        <v>80.555555555555557</v>
      </c>
      <c r="F36" s="46">
        <f t="shared" si="24"/>
        <v>89.351851851851848</v>
      </c>
      <c r="G36" s="46">
        <f t="shared" si="25"/>
        <v>98.611111111111114</v>
      </c>
      <c r="H36" s="46">
        <f t="shared" si="26"/>
        <v>0.46296296296296291</v>
      </c>
      <c r="I36" s="1026"/>
      <c r="J36" s="1024"/>
      <c r="K36" s="1024"/>
      <c r="L36" s="1024"/>
      <c r="M36" s="1024"/>
      <c r="N36" s="1025"/>
      <c r="O36" s="406">
        <v>178</v>
      </c>
      <c r="P36" s="406">
        <v>216</v>
      </c>
      <c r="Q36" s="406">
        <v>150</v>
      </c>
      <c r="R36" s="406">
        <v>216</v>
      </c>
      <c r="S36" s="407">
        <v>174</v>
      </c>
      <c r="T36" s="407">
        <v>216</v>
      </c>
      <c r="U36" s="407">
        <v>193</v>
      </c>
      <c r="V36" s="407">
        <v>216</v>
      </c>
      <c r="W36" s="407">
        <v>213</v>
      </c>
      <c r="X36" s="407">
        <v>216</v>
      </c>
      <c r="Y36" s="407">
        <v>1</v>
      </c>
      <c r="Z36" s="407">
        <v>216</v>
      </c>
    </row>
    <row r="37" spans="1:26">
      <c r="A37" s="1021"/>
      <c r="B37" s="45" t="s">
        <v>31</v>
      </c>
      <c r="C37" s="46">
        <f t="shared" si="21"/>
        <v>64.01673640167364</v>
      </c>
      <c r="D37" s="46">
        <f t="shared" si="22"/>
        <v>48.953974895397486</v>
      </c>
      <c r="E37" s="46">
        <f t="shared" si="23"/>
        <v>63.179916317991633</v>
      </c>
      <c r="F37" s="46">
        <f t="shared" si="24"/>
        <v>76.569037656903774</v>
      </c>
      <c r="G37" s="46">
        <f t="shared" si="25"/>
        <v>90.794979079497907</v>
      </c>
      <c r="H37" s="46">
        <f t="shared" si="26"/>
        <v>7.5313807531380759</v>
      </c>
      <c r="I37" s="1026"/>
      <c r="J37" s="1024"/>
      <c r="K37" s="1024"/>
      <c r="L37" s="1024"/>
      <c r="M37" s="1024"/>
      <c r="N37" s="1025"/>
      <c r="O37" s="406">
        <v>153</v>
      </c>
      <c r="P37" s="406">
        <v>239</v>
      </c>
      <c r="Q37" s="406">
        <v>117</v>
      </c>
      <c r="R37" s="406">
        <v>239</v>
      </c>
      <c r="S37" s="407">
        <v>151</v>
      </c>
      <c r="T37" s="407">
        <v>239</v>
      </c>
      <c r="U37" s="407">
        <v>183</v>
      </c>
      <c r="V37" s="407">
        <v>239</v>
      </c>
      <c r="W37" s="407">
        <v>217</v>
      </c>
      <c r="X37" s="407">
        <v>239</v>
      </c>
      <c r="Y37" s="407">
        <v>18</v>
      </c>
      <c r="Z37" s="407">
        <v>239</v>
      </c>
    </row>
    <row r="38" spans="1:26" ht="14.25">
      <c r="A38" s="1021"/>
      <c r="B38" s="45" t="s">
        <v>156</v>
      </c>
      <c r="C38" s="46">
        <f t="shared" si="21"/>
        <v>78.345864661654133</v>
      </c>
      <c r="D38" s="46">
        <f t="shared" si="22"/>
        <v>68.120300751879697</v>
      </c>
      <c r="E38" s="46">
        <f t="shared" si="23"/>
        <v>81.05263157894737</v>
      </c>
      <c r="F38" s="46">
        <f t="shared" si="24"/>
        <v>89.172932330827066</v>
      </c>
      <c r="G38" s="46">
        <f t="shared" si="25"/>
        <v>95.187969924812037</v>
      </c>
      <c r="H38" s="46">
        <f t="shared" si="26"/>
        <v>4.6616541353383463</v>
      </c>
      <c r="I38" s="1026"/>
      <c r="J38" s="1024"/>
      <c r="K38" s="1024"/>
      <c r="L38" s="1024"/>
      <c r="M38" s="1024"/>
      <c r="N38" s="1025"/>
      <c r="O38" s="406">
        <v>521</v>
      </c>
      <c r="P38" s="406">
        <v>665</v>
      </c>
      <c r="Q38" s="406">
        <v>453</v>
      </c>
      <c r="R38" s="406">
        <v>665</v>
      </c>
      <c r="S38" s="407">
        <v>539</v>
      </c>
      <c r="T38" s="407">
        <v>665</v>
      </c>
      <c r="U38" s="407">
        <v>593</v>
      </c>
      <c r="V38" s="407">
        <v>665</v>
      </c>
      <c r="W38" s="407">
        <v>633</v>
      </c>
      <c r="X38" s="407">
        <v>665</v>
      </c>
      <c r="Y38" s="407">
        <v>31</v>
      </c>
      <c r="Z38" s="407">
        <v>665</v>
      </c>
    </row>
    <row r="39" spans="1:26" ht="14.25">
      <c r="A39" s="1021"/>
      <c r="B39" s="45" t="s">
        <v>157</v>
      </c>
      <c r="C39" s="46">
        <f t="shared" si="21"/>
        <v>62.571976967370446</v>
      </c>
      <c r="D39" s="46">
        <f t="shared" si="22"/>
        <v>47.02495201535509</v>
      </c>
      <c r="E39" s="46">
        <f t="shared" si="23"/>
        <v>62.955854126679469</v>
      </c>
      <c r="F39" s="46">
        <f t="shared" si="24"/>
        <v>80.230326295585414</v>
      </c>
      <c r="G39" s="46">
        <f t="shared" si="25"/>
        <v>95.009596928982717</v>
      </c>
      <c r="H39" s="46">
        <f t="shared" si="26"/>
        <v>3.8387715930902107</v>
      </c>
      <c r="I39" s="1026"/>
      <c r="J39" s="1024"/>
      <c r="K39" s="1024"/>
      <c r="L39" s="1024"/>
      <c r="M39" s="1024"/>
      <c r="N39" s="1025"/>
      <c r="O39" s="406">
        <v>326</v>
      </c>
      <c r="P39" s="406">
        <v>521</v>
      </c>
      <c r="Q39" s="406">
        <v>245</v>
      </c>
      <c r="R39" s="406">
        <v>521</v>
      </c>
      <c r="S39" s="407">
        <v>328</v>
      </c>
      <c r="T39" s="407">
        <v>521</v>
      </c>
      <c r="U39" s="407">
        <v>418</v>
      </c>
      <c r="V39" s="407">
        <v>521</v>
      </c>
      <c r="W39" s="407">
        <v>495</v>
      </c>
      <c r="X39" s="407">
        <v>521</v>
      </c>
      <c r="Y39" s="407">
        <v>20</v>
      </c>
      <c r="Z39" s="407">
        <v>521</v>
      </c>
    </row>
    <row r="40" spans="1:26" ht="14.25">
      <c r="A40" s="1021"/>
      <c r="B40" s="45" t="s">
        <v>158</v>
      </c>
      <c r="C40" s="46">
        <f t="shared" si="21"/>
        <v>82.174462705436156</v>
      </c>
      <c r="D40" s="46">
        <f t="shared" si="22"/>
        <v>74.715549936788875</v>
      </c>
      <c r="E40" s="46">
        <f t="shared" si="23"/>
        <v>83.185840707964601</v>
      </c>
      <c r="F40" s="46">
        <f t="shared" si="24"/>
        <v>88.116308470290775</v>
      </c>
      <c r="G40" s="46">
        <f t="shared" si="25"/>
        <v>92.920353982300881</v>
      </c>
      <c r="H40" s="46">
        <f t="shared" si="26"/>
        <v>5.8154235145385593</v>
      </c>
      <c r="I40" s="1026"/>
      <c r="J40" s="1024"/>
      <c r="K40" s="1024"/>
      <c r="L40" s="1024"/>
      <c r="M40" s="1024"/>
      <c r="N40" s="1025"/>
      <c r="O40" s="406">
        <v>650</v>
      </c>
      <c r="P40" s="406">
        <v>791</v>
      </c>
      <c r="Q40" s="406">
        <v>591</v>
      </c>
      <c r="R40" s="406">
        <v>791</v>
      </c>
      <c r="S40" s="407">
        <v>658</v>
      </c>
      <c r="T40" s="407">
        <v>791</v>
      </c>
      <c r="U40" s="407">
        <v>697</v>
      </c>
      <c r="V40" s="407">
        <v>791</v>
      </c>
      <c r="W40" s="407">
        <v>735</v>
      </c>
      <c r="X40" s="407">
        <v>791</v>
      </c>
      <c r="Y40" s="407">
        <v>46</v>
      </c>
      <c r="Z40" s="407">
        <v>791</v>
      </c>
    </row>
    <row r="41" spans="1:26" ht="14.25">
      <c r="A41" s="1021"/>
      <c r="B41" s="45" t="s">
        <v>159</v>
      </c>
      <c r="C41" s="46">
        <f t="shared" si="21"/>
        <v>77.330508474576277</v>
      </c>
      <c r="D41" s="46">
        <f t="shared" si="22"/>
        <v>65.466101694915253</v>
      </c>
      <c r="E41" s="46">
        <f t="shared" si="23"/>
        <v>78.305084745762713</v>
      </c>
      <c r="F41" s="46">
        <f t="shared" si="24"/>
        <v>85</v>
      </c>
      <c r="G41" s="46">
        <f t="shared" si="25"/>
        <v>93.983050847457633</v>
      </c>
      <c r="H41" s="46">
        <f t="shared" si="26"/>
        <v>5.4661016949152543</v>
      </c>
      <c r="I41" s="1026"/>
      <c r="J41" s="1024"/>
      <c r="K41" s="1024"/>
      <c r="L41" s="1024"/>
      <c r="M41" s="1024"/>
      <c r="N41" s="1025"/>
      <c r="O41" s="406">
        <v>1825</v>
      </c>
      <c r="P41" s="406">
        <v>2360</v>
      </c>
      <c r="Q41" s="406">
        <v>1545</v>
      </c>
      <c r="R41" s="406">
        <v>2360</v>
      </c>
      <c r="S41" s="407">
        <v>1848</v>
      </c>
      <c r="T41" s="407">
        <v>2360</v>
      </c>
      <c r="U41" s="407">
        <v>2006</v>
      </c>
      <c r="V41" s="407">
        <v>2360</v>
      </c>
      <c r="W41" s="407">
        <v>2218</v>
      </c>
      <c r="X41" s="407">
        <v>2360</v>
      </c>
      <c r="Y41" s="407">
        <v>129</v>
      </c>
      <c r="Z41" s="407">
        <v>2360</v>
      </c>
    </row>
    <row r="42" spans="1:26">
      <c r="A42" s="1021"/>
      <c r="B42" s="45" t="s">
        <v>36</v>
      </c>
      <c r="C42" s="46">
        <f t="shared" si="21"/>
        <v>68.094218415417558</v>
      </c>
      <c r="D42" s="46">
        <f t="shared" si="22"/>
        <v>59.528907922912211</v>
      </c>
      <c r="E42" s="46">
        <f t="shared" si="23"/>
        <v>69.379014989293367</v>
      </c>
      <c r="F42" s="46">
        <f t="shared" si="24"/>
        <v>81.370449678800867</v>
      </c>
      <c r="G42" s="46">
        <f t="shared" si="25"/>
        <v>90.792291220556748</v>
      </c>
      <c r="H42" s="46">
        <f t="shared" si="26"/>
        <v>5.5674518201284791</v>
      </c>
      <c r="I42" s="1026"/>
      <c r="J42" s="1024"/>
      <c r="K42" s="1024"/>
      <c r="L42" s="1024"/>
      <c r="M42" s="1024"/>
      <c r="N42" s="1025"/>
      <c r="O42" s="406">
        <v>318</v>
      </c>
      <c r="P42" s="406">
        <v>467</v>
      </c>
      <c r="Q42" s="406">
        <v>278</v>
      </c>
      <c r="R42" s="406">
        <v>467</v>
      </c>
      <c r="S42" s="407">
        <v>324</v>
      </c>
      <c r="T42" s="407">
        <v>467</v>
      </c>
      <c r="U42" s="407">
        <v>380</v>
      </c>
      <c r="V42" s="407">
        <v>467</v>
      </c>
      <c r="W42" s="407">
        <v>424</v>
      </c>
      <c r="X42" s="407">
        <v>467</v>
      </c>
      <c r="Y42" s="407">
        <v>26</v>
      </c>
      <c r="Z42" s="407">
        <v>467</v>
      </c>
    </row>
    <row r="43" spans="1:26">
      <c r="A43" s="1021"/>
      <c r="B43" s="45" t="s">
        <v>29</v>
      </c>
      <c r="C43" s="46">
        <f t="shared" si="21"/>
        <v>63.09771309771309</v>
      </c>
      <c r="D43" s="46">
        <f t="shared" si="22"/>
        <v>51.871101871101864</v>
      </c>
      <c r="E43" s="46">
        <f t="shared" si="23"/>
        <v>63.409563409563404</v>
      </c>
      <c r="F43" s="46">
        <f t="shared" si="24"/>
        <v>77.858627858627855</v>
      </c>
      <c r="G43" s="46">
        <f t="shared" si="25"/>
        <v>92.619542619542614</v>
      </c>
      <c r="H43" s="46">
        <f t="shared" si="26"/>
        <v>6.6528066528066532</v>
      </c>
      <c r="I43" s="1026"/>
      <c r="J43" s="1024"/>
      <c r="K43" s="1024"/>
      <c r="L43" s="1024"/>
      <c r="M43" s="1024"/>
      <c r="N43" s="1025"/>
      <c r="O43" s="406">
        <v>607</v>
      </c>
      <c r="P43" s="406">
        <v>962</v>
      </c>
      <c r="Q43" s="406">
        <v>499</v>
      </c>
      <c r="R43" s="406">
        <v>962</v>
      </c>
      <c r="S43" s="407">
        <v>610</v>
      </c>
      <c r="T43" s="407">
        <v>962</v>
      </c>
      <c r="U43" s="407">
        <v>749</v>
      </c>
      <c r="V43" s="407">
        <v>962</v>
      </c>
      <c r="W43" s="407">
        <v>891</v>
      </c>
      <c r="X43" s="407">
        <v>962</v>
      </c>
      <c r="Y43" s="407">
        <v>64</v>
      </c>
      <c r="Z43" s="407">
        <v>962</v>
      </c>
    </row>
    <row r="44" spans="1:26">
      <c r="A44" s="1021"/>
      <c r="B44" s="45" t="s">
        <v>38</v>
      </c>
      <c r="C44" s="46">
        <f t="shared" si="21"/>
        <v>79.227053140096615</v>
      </c>
      <c r="D44" s="46">
        <f t="shared" si="22"/>
        <v>70.11732229123534</v>
      </c>
      <c r="E44" s="46">
        <f t="shared" si="23"/>
        <v>80.193236714975853</v>
      </c>
      <c r="F44" s="46">
        <f t="shared" si="24"/>
        <v>85.783298826777084</v>
      </c>
      <c r="G44" s="46">
        <f t="shared" si="25"/>
        <v>92.477570738440306</v>
      </c>
      <c r="H44" s="46">
        <f t="shared" si="26"/>
        <v>6.5562456866804686</v>
      </c>
      <c r="I44" s="1026"/>
      <c r="J44" s="1024"/>
      <c r="K44" s="1024"/>
      <c r="L44" s="1024"/>
      <c r="M44" s="1024"/>
      <c r="N44" s="1025"/>
      <c r="O44" s="406">
        <v>1148</v>
      </c>
      <c r="P44" s="406">
        <v>1449</v>
      </c>
      <c r="Q44" s="406">
        <v>1016</v>
      </c>
      <c r="R44" s="406">
        <v>1449</v>
      </c>
      <c r="S44" s="407">
        <v>1162</v>
      </c>
      <c r="T44" s="407">
        <v>1449</v>
      </c>
      <c r="U44" s="407">
        <v>1243</v>
      </c>
      <c r="V44" s="407">
        <v>1449</v>
      </c>
      <c r="W44" s="407">
        <v>1340</v>
      </c>
      <c r="X44" s="407">
        <v>1449</v>
      </c>
      <c r="Y44" s="407">
        <v>95</v>
      </c>
      <c r="Z44" s="407">
        <v>1449</v>
      </c>
    </row>
    <row r="45" spans="1:26" ht="14.25">
      <c r="A45" s="1021"/>
      <c r="B45" s="45" t="s">
        <v>160</v>
      </c>
      <c r="C45" s="46">
        <f t="shared" si="21"/>
        <v>75</v>
      </c>
      <c r="D45" s="46">
        <f t="shared" si="22"/>
        <v>72.222222222222214</v>
      </c>
      <c r="E45" s="46">
        <f t="shared" si="23"/>
        <v>77.777777777777786</v>
      </c>
      <c r="F45" s="46">
        <f t="shared" si="24"/>
        <v>77.777777777777786</v>
      </c>
      <c r="G45" s="46">
        <f t="shared" si="25"/>
        <v>88.888888888888886</v>
      </c>
      <c r="H45" s="46">
        <f t="shared" si="26"/>
        <v>5.5555555555555554</v>
      </c>
      <c r="I45" s="1026"/>
      <c r="J45" s="1024"/>
      <c r="K45" s="1024"/>
      <c r="L45" s="1024"/>
      <c r="M45" s="1024"/>
      <c r="N45" s="1025"/>
      <c r="O45" s="406">
        <v>27</v>
      </c>
      <c r="P45" s="406">
        <v>36</v>
      </c>
      <c r="Q45" s="406">
        <v>26</v>
      </c>
      <c r="R45" s="406">
        <v>36</v>
      </c>
      <c r="S45" s="407">
        <v>28</v>
      </c>
      <c r="T45" s="407">
        <v>36</v>
      </c>
      <c r="U45" s="407">
        <v>28</v>
      </c>
      <c r="V45" s="407">
        <v>36</v>
      </c>
      <c r="W45" s="407">
        <v>32</v>
      </c>
      <c r="X45" s="407">
        <v>36</v>
      </c>
      <c r="Y45" s="407">
        <v>2</v>
      </c>
      <c r="Z45" s="407">
        <v>36</v>
      </c>
    </row>
    <row r="46" spans="1:26">
      <c r="A46" s="1021"/>
      <c r="B46" s="45" t="s">
        <v>39</v>
      </c>
      <c r="C46" s="46">
        <f t="shared" si="21"/>
        <v>70.731707317073173</v>
      </c>
      <c r="D46" s="46">
        <f t="shared" si="22"/>
        <v>60.975609756097562</v>
      </c>
      <c r="E46" s="46">
        <f t="shared" si="23"/>
        <v>68.292682926829272</v>
      </c>
      <c r="F46" s="46">
        <f t="shared" si="24"/>
        <v>80.487804878048792</v>
      </c>
      <c r="G46" s="46">
        <f t="shared" si="25"/>
        <v>92.682926829268297</v>
      </c>
      <c r="H46" s="46">
        <f t="shared" si="26"/>
        <v>2.4390243902439024</v>
      </c>
      <c r="I46" s="1026"/>
      <c r="J46" s="1024"/>
      <c r="K46" s="1024"/>
      <c r="L46" s="1024"/>
      <c r="M46" s="1024"/>
      <c r="N46" s="1025"/>
      <c r="O46" s="406">
        <v>29</v>
      </c>
      <c r="P46" s="406">
        <v>41</v>
      </c>
      <c r="Q46" s="406">
        <v>25</v>
      </c>
      <c r="R46" s="406">
        <v>41</v>
      </c>
      <c r="S46" s="407">
        <v>28</v>
      </c>
      <c r="T46" s="407">
        <v>41</v>
      </c>
      <c r="U46" s="407">
        <v>33</v>
      </c>
      <c r="V46" s="407">
        <v>41</v>
      </c>
      <c r="W46" s="407">
        <v>38</v>
      </c>
      <c r="X46" s="407">
        <v>41</v>
      </c>
      <c r="Y46" s="407">
        <v>1</v>
      </c>
      <c r="Z46" s="407">
        <v>41</v>
      </c>
    </row>
    <row r="47" spans="1:26">
      <c r="A47" s="1021"/>
      <c r="B47" s="45" t="s">
        <v>32</v>
      </c>
      <c r="C47" s="46">
        <f t="shared" si="21"/>
        <v>51.690140845070417</v>
      </c>
      <c r="D47" s="46">
        <f t="shared" si="22"/>
        <v>37.183098591549296</v>
      </c>
      <c r="E47" s="46">
        <f t="shared" si="23"/>
        <v>52.535211267605632</v>
      </c>
      <c r="F47" s="46">
        <f t="shared" si="24"/>
        <v>65.352112676056336</v>
      </c>
      <c r="G47" s="46">
        <f t="shared" si="25"/>
        <v>87.74647887323944</v>
      </c>
      <c r="H47" s="46">
        <f t="shared" si="26"/>
        <v>11.549295774647888</v>
      </c>
      <c r="I47" s="1026"/>
      <c r="J47" s="1024"/>
      <c r="K47" s="1024"/>
      <c r="L47" s="1024"/>
      <c r="M47" s="1024"/>
      <c r="N47" s="1025"/>
      <c r="O47" s="406">
        <v>367</v>
      </c>
      <c r="P47" s="406">
        <v>710</v>
      </c>
      <c r="Q47" s="406">
        <v>264</v>
      </c>
      <c r="R47" s="406">
        <v>710</v>
      </c>
      <c r="S47" s="407">
        <v>373</v>
      </c>
      <c r="T47" s="407">
        <v>710</v>
      </c>
      <c r="U47" s="407">
        <v>464</v>
      </c>
      <c r="V47" s="407">
        <v>710</v>
      </c>
      <c r="W47" s="407">
        <v>623</v>
      </c>
      <c r="X47" s="407">
        <v>710</v>
      </c>
      <c r="Y47" s="407">
        <v>82</v>
      </c>
      <c r="Z47" s="407">
        <v>710</v>
      </c>
    </row>
    <row r="48" spans="1:26" ht="14.25">
      <c r="A48" s="1022"/>
      <c r="B48" s="45" t="s">
        <v>161</v>
      </c>
      <c r="C48" s="46">
        <f t="shared" si="21"/>
        <v>72.41379310344827</v>
      </c>
      <c r="D48" s="46">
        <f t="shared" si="22"/>
        <v>72.41379310344827</v>
      </c>
      <c r="E48" s="46">
        <f t="shared" si="23"/>
        <v>72.41379310344827</v>
      </c>
      <c r="F48" s="46">
        <f t="shared" si="24"/>
        <v>89.65517241379311</v>
      </c>
      <c r="G48" s="46">
        <f t="shared" si="25"/>
        <v>100</v>
      </c>
      <c r="H48" s="46">
        <f t="shared" si="26"/>
        <v>0</v>
      </c>
      <c r="I48" s="1027"/>
      <c r="J48" s="1028"/>
      <c r="K48" s="1028"/>
      <c r="L48" s="1028"/>
      <c r="M48" s="1028"/>
      <c r="N48" s="1029"/>
      <c r="O48" s="406">
        <v>21</v>
      </c>
      <c r="P48" s="406">
        <v>29</v>
      </c>
      <c r="Q48" s="406">
        <v>21</v>
      </c>
      <c r="R48" s="406">
        <v>29</v>
      </c>
      <c r="S48" s="407">
        <v>21</v>
      </c>
      <c r="T48" s="407">
        <v>29</v>
      </c>
      <c r="U48" s="407">
        <v>26</v>
      </c>
      <c r="V48" s="407">
        <v>29</v>
      </c>
      <c r="W48" s="407">
        <v>29</v>
      </c>
      <c r="X48" s="407">
        <v>29</v>
      </c>
      <c r="Y48" s="407">
        <v>0</v>
      </c>
      <c r="Z48" s="407">
        <v>29</v>
      </c>
    </row>
    <row r="49" spans="1:28">
      <c r="A49" s="61"/>
      <c r="C49" s="34"/>
      <c r="D49" s="34"/>
      <c r="E49" s="34"/>
      <c r="F49" s="34"/>
      <c r="G49" s="34"/>
      <c r="H49" s="34"/>
      <c r="I49" s="34"/>
      <c r="J49" s="34"/>
      <c r="M49" s="684"/>
      <c r="N49" s="684"/>
    </row>
    <row r="50" spans="1:28">
      <c r="A50" s="62" t="s">
        <v>139</v>
      </c>
      <c r="C50" s="34"/>
      <c r="D50" s="34"/>
      <c r="E50" s="34"/>
      <c r="F50" s="34"/>
      <c r="G50" s="34"/>
      <c r="H50" s="34"/>
      <c r="I50" s="34"/>
      <c r="J50" s="34"/>
      <c r="M50" s="684"/>
      <c r="N50" s="684"/>
      <c r="O50" s="763"/>
    </row>
    <row r="51" spans="1:28" s="680" customFormat="1">
      <c r="A51" s="51"/>
      <c r="B51" s="684"/>
      <c r="C51" s="34"/>
      <c r="D51" s="34"/>
      <c r="E51" s="34"/>
      <c r="F51" s="34"/>
      <c r="G51" s="34"/>
      <c r="H51" s="34"/>
      <c r="I51" s="34"/>
      <c r="J51" s="34"/>
      <c r="K51" s="34"/>
      <c r="L51" s="34"/>
      <c r="M51" s="34"/>
      <c r="O51" s="684"/>
      <c r="P51" s="684"/>
      <c r="Q51" s="684"/>
      <c r="R51" s="684"/>
      <c r="S51" s="684"/>
      <c r="T51" s="684"/>
      <c r="U51" s="684"/>
      <c r="V51" s="684"/>
      <c r="W51" s="684"/>
      <c r="X51" s="684"/>
      <c r="Y51" s="684"/>
      <c r="Z51" s="684"/>
      <c r="AA51" s="684"/>
      <c r="AB51" s="684"/>
    </row>
    <row r="52" spans="1:28" s="680" customFormat="1">
      <c r="A52" s="51"/>
      <c r="B52" s="684"/>
      <c r="C52" s="34"/>
      <c r="D52" s="34"/>
      <c r="E52" s="34"/>
      <c r="F52" s="34"/>
      <c r="G52" s="34"/>
      <c r="H52" s="34"/>
      <c r="I52" s="34"/>
      <c r="J52" s="34"/>
      <c r="K52" s="34"/>
      <c r="L52" s="34"/>
      <c r="M52" s="34"/>
      <c r="O52" s="684"/>
      <c r="P52" s="684"/>
      <c r="Q52" s="684"/>
      <c r="R52" s="684"/>
      <c r="S52" s="684"/>
      <c r="T52" s="684"/>
      <c r="U52" s="684"/>
      <c r="V52" s="684"/>
      <c r="W52" s="684"/>
      <c r="X52" s="684"/>
      <c r="Y52" s="684"/>
      <c r="Z52" s="684"/>
      <c r="AA52" s="684"/>
      <c r="AB52" s="684"/>
    </row>
    <row r="53" spans="1:28" s="680" customFormat="1">
      <c r="A53" s="51"/>
      <c r="B53" s="684"/>
      <c r="C53" s="34"/>
      <c r="D53" s="34"/>
      <c r="E53" s="34"/>
      <c r="F53" s="34"/>
      <c r="G53" s="34"/>
      <c r="H53" s="34"/>
      <c r="I53" s="34"/>
      <c r="J53" s="34"/>
      <c r="K53" s="34"/>
      <c r="L53" s="34"/>
      <c r="M53" s="34"/>
      <c r="O53" s="684"/>
      <c r="P53" s="684"/>
      <c r="Q53" s="684"/>
      <c r="R53" s="684"/>
      <c r="S53" s="684"/>
      <c r="T53" s="684"/>
      <c r="U53" s="684"/>
      <c r="V53" s="684"/>
      <c r="W53" s="684"/>
      <c r="X53" s="684"/>
      <c r="Y53" s="684"/>
      <c r="Z53" s="684"/>
      <c r="AA53" s="684"/>
      <c r="AB53" s="684"/>
    </row>
  </sheetData>
  <sheetProtection password="B8D9" sheet="1" objects="1" scenarios="1"/>
  <sortState ref="A4:Z31">
    <sortCondition descending="1" ref="G4:G31"/>
  </sortState>
  <mergeCells count="19">
    <mergeCell ref="A1:B1"/>
    <mergeCell ref="C1:H1"/>
    <mergeCell ref="O1:P1"/>
    <mergeCell ref="Q1:R1"/>
    <mergeCell ref="S1:T1"/>
    <mergeCell ref="U1:V1"/>
    <mergeCell ref="Y33:Z33"/>
    <mergeCell ref="A35:A48"/>
    <mergeCell ref="I35:N48"/>
    <mergeCell ref="W1:X1"/>
    <mergeCell ref="Y1:Z1"/>
    <mergeCell ref="A33:B33"/>
    <mergeCell ref="C33:H33"/>
    <mergeCell ref="I33:N34"/>
    <mergeCell ref="O33:P33"/>
    <mergeCell ref="Q33:R33"/>
    <mergeCell ref="S33:T33"/>
    <mergeCell ref="U33:V33"/>
    <mergeCell ref="W33:X33"/>
  </mergeCells>
  <pageMargins left="0.70866141732283472" right="0.70866141732283472" top="0.74803149606299213" bottom="0.74803149606299213" header="0.31496062992125984" footer="0.31496062992125984"/>
  <pageSetup paperSize="9" scale="50"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35.xml><?xml version="1.0" encoding="utf-8"?>
<worksheet xmlns="http://schemas.openxmlformats.org/spreadsheetml/2006/main" xmlns:r="http://schemas.openxmlformats.org/officeDocument/2006/relationships">
  <sheetPr codeName="Sheet36">
    <pageSetUpPr fitToPage="1"/>
  </sheetPr>
  <dimension ref="B1:AA48"/>
  <sheetViews>
    <sheetView workbookViewId="0"/>
  </sheetViews>
  <sheetFormatPr defaultRowHeight="12.75"/>
  <cols>
    <col min="1" max="1" width="2.7109375" style="698" customWidth="1"/>
    <col min="2" max="16384" width="9.140625" style="698"/>
  </cols>
  <sheetData>
    <row r="1" spans="2:27" s="684" customFormat="1">
      <c r="B1" s="26" t="s">
        <v>528</v>
      </c>
      <c r="C1" s="26"/>
      <c r="D1" s="26"/>
      <c r="E1" s="26"/>
      <c r="F1" s="26"/>
      <c r="G1" s="26"/>
      <c r="H1" s="26"/>
      <c r="I1" s="26"/>
      <c r="J1" s="26"/>
      <c r="K1" s="26"/>
      <c r="L1" s="26"/>
      <c r="M1" s="26"/>
      <c r="N1" s="26"/>
      <c r="O1" s="26"/>
      <c r="P1" s="985" t="s">
        <v>45</v>
      </c>
      <c r="Q1" s="26"/>
      <c r="R1" s="26"/>
      <c r="S1" s="26"/>
      <c r="T1" s="26"/>
    </row>
    <row r="2" spans="2:27" s="684" customFormat="1" ht="12.75" customHeight="1">
      <c r="B2" s="1041" t="s">
        <v>13</v>
      </c>
      <c r="C2" s="1041"/>
      <c r="D2" s="1041"/>
      <c r="E2" s="1041"/>
      <c r="F2" s="1041"/>
      <c r="G2" s="1041"/>
      <c r="H2" s="1041"/>
      <c r="I2" s="1041"/>
      <c r="J2" s="1041"/>
      <c r="K2" s="1041"/>
      <c r="L2" s="1041"/>
      <c r="M2" s="1041"/>
      <c r="O2" s="27"/>
      <c r="P2" s="985"/>
      <c r="Q2" s="28"/>
      <c r="R2" s="987"/>
      <c r="S2" s="987"/>
      <c r="T2" s="987"/>
    </row>
    <row r="3" spans="2:27" s="684" customFormat="1" ht="12.75" customHeight="1">
      <c r="B3" s="1041"/>
      <c r="C3" s="1041"/>
      <c r="D3" s="1041"/>
      <c r="E3" s="1041"/>
      <c r="F3" s="1041"/>
      <c r="G3" s="1041"/>
      <c r="H3" s="1041"/>
      <c r="I3" s="1041"/>
      <c r="J3" s="1041"/>
      <c r="K3" s="1041"/>
      <c r="L3" s="1041"/>
      <c r="M3" s="1041"/>
      <c r="O3" s="519"/>
      <c r="P3" s="985"/>
      <c r="Q3" s="29"/>
      <c r="R3" s="682"/>
      <c r="S3" s="682"/>
      <c r="T3" s="682"/>
    </row>
    <row r="4" spans="2:27" s="684" customFormat="1" ht="12.75" customHeight="1">
      <c r="B4" s="1013" t="s">
        <v>300</v>
      </c>
      <c r="C4" s="1013"/>
      <c r="D4" s="1013"/>
      <c r="E4" s="1013"/>
      <c r="F4" s="1013"/>
      <c r="G4" s="1013"/>
      <c r="H4" s="1013"/>
      <c r="I4" s="1013"/>
      <c r="J4" s="1013"/>
      <c r="K4" s="1013"/>
      <c r="L4" s="1013"/>
      <c r="M4" s="279"/>
      <c r="N4" s="279"/>
      <c r="O4" s="27"/>
      <c r="P4" s="985"/>
      <c r="Q4" s="683"/>
      <c r="R4" s="27"/>
      <c r="S4" s="28"/>
      <c r="T4" s="28"/>
      <c r="U4" s="28"/>
      <c r="V4" s="28"/>
      <c r="W4" s="28"/>
      <c r="X4" s="28"/>
      <c r="Y4" s="28"/>
      <c r="Z4" s="682"/>
      <c r="AA4" s="682"/>
    </row>
    <row r="5" spans="2:27" s="684" customFormat="1" ht="12.75" customHeight="1">
      <c r="B5" s="1013"/>
      <c r="C5" s="1013"/>
      <c r="D5" s="1013"/>
      <c r="E5" s="1013"/>
      <c r="F5" s="1013"/>
      <c r="G5" s="1013"/>
      <c r="H5" s="1013"/>
      <c r="I5" s="1013"/>
      <c r="J5" s="1013"/>
      <c r="K5" s="1013"/>
      <c r="L5" s="1013"/>
      <c r="M5" s="279"/>
      <c r="N5" s="279"/>
      <c r="O5" s="27"/>
      <c r="P5" s="92"/>
      <c r="Q5" s="30"/>
      <c r="R5" s="30"/>
      <c r="S5" s="29"/>
      <c r="T5" s="682"/>
      <c r="U5" s="682"/>
      <c r="V5" s="682"/>
      <c r="W5" s="682"/>
      <c r="X5" s="682"/>
      <c r="Y5" s="682"/>
      <c r="Z5" s="682"/>
      <c r="AA5" s="682"/>
    </row>
    <row r="6" spans="2:27" s="684" customFormat="1" ht="15" customHeight="1">
      <c r="B6" s="1013"/>
      <c r="C6" s="1013"/>
      <c r="D6" s="1013"/>
      <c r="E6" s="1013"/>
      <c r="F6" s="1013"/>
      <c r="G6" s="1013"/>
      <c r="H6" s="1013"/>
      <c r="I6" s="1013"/>
      <c r="J6" s="1013"/>
      <c r="K6" s="1013"/>
      <c r="L6" s="1013"/>
      <c r="M6" s="681"/>
      <c r="N6" s="681"/>
      <c r="O6" s="30"/>
      <c r="P6" s="682" t="s">
        <v>569</v>
      </c>
      <c r="Q6" s="29"/>
      <c r="R6" s="682"/>
      <c r="S6" s="682"/>
      <c r="T6" s="682"/>
    </row>
    <row r="12" spans="2:27">
      <c r="Q12" s="699"/>
    </row>
    <row r="41" spans="2:17" s="684" customFormat="1">
      <c r="B41" s="32" t="s">
        <v>806</v>
      </c>
      <c r="C41" s="33"/>
      <c r="D41" s="34"/>
      <c r="E41" s="34"/>
      <c r="F41" s="34"/>
      <c r="G41" s="34"/>
      <c r="H41" s="34"/>
      <c r="I41" s="34"/>
      <c r="J41" s="34"/>
      <c r="K41" s="34"/>
      <c r="L41" s="680"/>
      <c r="M41" s="680"/>
      <c r="N41" s="35"/>
      <c r="O41" s="35"/>
      <c r="P41" s="35"/>
      <c r="Q41" s="35"/>
    </row>
    <row r="42" spans="2:17" s="684" customFormat="1" ht="21.75" customHeight="1">
      <c r="B42" s="1042" t="s">
        <v>661</v>
      </c>
      <c r="C42" s="1042"/>
      <c r="D42" s="1042"/>
      <c r="E42" s="1042"/>
      <c r="F42" s="1042"/>
      <c r="G42" s="1042"/>
      <c r="H42" s="1042"/>
      <c r="I42" s="1042"/>
      <c r="J42" s="1042"/>
      <c r="K42" s="1042"/>
      <c r="L42" s="1042"/>
      <c r="M42" s="1042"/>
      <c r="N42" s="1042"/>
      <c r="O42" s="1042"/>
      <c r="P42" s="1042"/>
    </row>
    <row r="43" spans="2:17" s="684" customFormat="1" ht="21.75" customHeight="1">
      <c r="B43" s="1042"/>
      <c r="C43" s="1042"/>
      <c r="D43" s="1042"/>
      <c r="E43" s="1042"/>
      <c r="F43" s="1042"/>
      <c r="G43" s="1042"/>
      <c r="H43" s="1042"/>
      <c r="I43" s="1042"/>
      <c r="J43" s="1042"/>
      <c r="K43" s="1042"/>
      <c r="L43" s="1042"/>
      <c r="M43" s="1042"/>
      <c r="N43" s="1042"/>
      <c r="O43" s="1042"/>
      <c r="P43" s="1042"/>
    </row>
    <row r="44" spans="2:17" s="684" customFormat="1" ht="23.25" customHeight="1">
      <c r="B44" s="1040" t="s">
        <v>291</v>
      </c>
      <c r="C44" s="956"/>
      <c r="D44" s="956"/>
      <c r="E44" s="956"/>
      <c r="F44" s="956"/>
      <c r="G44" s="956"/>
      <c r="H44" s="956"/>
      <c r="I44" s="956"/>
      <c r="J44" s="956"/>
      <c r="K44" s="956"/>
      <c r="L44" s="956"/>
      <c r="M44" s="956"/>
      <c r="N44" s="956"/>
      <c r="O44" s="956"/>
      <c r="P44" s="956"/>
    </row>
    <row r="45" spans="2:17">
      <c r="B45" s="1012" t="s">
        <v>809</v>
      </c>
      <c r="C45" s="1012"/>
      <c r="D45" s="1012"/>
      <c r="E45" s="1012"/>
      <c r="F45" s="1012"/>
      <c r="G45" s="1012"/>
      <c r="H45" s="1012"/>
      <c r="I45" s="1012"/>
      <c r="J45" s="1012"/>
      <c r="K45" s="1012"/>
      <c r="L45" s="1012"/>
      <c r="M45" s="1012"/>
      <c r="N45" s="1012"/>
      <c r="O45" s="1012"/>
    </row>
    <row r="46" spans="2:17">
      <c r="B46" s="1012"/>
      <c r="C46" s="1012"/>
      <c r="D46" s="1012"/>
      <c r="E46" s="1012"/>
      <c r="F46" s="1012"/>
      <c r="G46" s="1012"/>
      <c r="H46" s="1012"/>
      <c r="I46" s="1012"/>
      <c r="J46" s="1012"/>
      <c r="K46" s="1012"/>
      <c r="L46" s="1012"/>
      <c r="M46" s="1012"/>
      <c r="N46" s="1012"/>
      <c r="O46" s="1012"/>
    </row>
    <row r="47" spans="2:17">
      <c r="B47" s="1012"/>
      <c r="C47" s="1012"/>
      <c r="D47" s="1012"/>
      <c r="E47" s="1012"/>
      <c r="F47" s="1012"/>
      <c r="G47" s="1012"/>
      <c r="H47" s="1012"/>
      <c r="I47" s="1012"/>
      <c r="J47" s="1012"/>
      <c r="K47" s="1012"/>
      <c r="L47" s="1012"/>
      <c r="M47" s="1012"/>
      <c r="N47" s="1012"/>
      <c r="O47" s="1012"/>
    </row>
    <row r="48" spans="2:17">
      <c r="B48" s="1012"/>
      <c r="C48" s="1012"/>
      <c r="D48" s="1012"/>
      <c r="E48" s="1012"/>
      <c r="F48" s="1012"/>
      <c r="G48" s="1012"/>
      <c r="H48" s="1012"/>
      <c r="I48" s="1012"/>
      <c r="J48" s="1012"/>
      <c r="K48" s="1012"/>
      <c r="L48" s="1012"/>
      <c r="M48" s="1012"/>
      <c r="N48" s="1012"/>
      <c r="O48" s="1012"/>
    </row>
  </sheetData>
  <sheetProtection password="B8D9" sheet="1" objects="1" scenarios="1"/>
  <mergeCells count="7">
    <mergeCell ref="B45:O48"/>
    <mergeCell ref="B44:P44"/>
    <mergeCell ref="P1:P4"/>
    <mergeCell ref="B2:M3"/>
    <mergeCell ref="R2:T2"/>
    <mergeCell ref="B4:L6"/>
    <mergeCell ref="B42:P43"/>
  </mergeCells>
  <hyperlinks>
    <hyperlink ref="P1" location="'List of Tables &amp; Charts'!A1" display="return to List of Tables &amp; Charts"/>
    <hyperlink ref="P6" location="'Chart 4 (2015) DATA'!A1" display="view Chart 4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36.xml><?xml version="1.0" encoding="utf-8"?>
<worksheet xmlns="http://schemas.openxmlformats.org/spreadsheetml/2006/main" xmlns:r="http://schemas.openxmlformats.org/officeDocument/2006/relationships">
  <sheetPr codeName="Sheet40">
    <pageSetUpPr fitToPage="1"/>
  </sheetPr>
  <dimension ref="A1:AB54"/>
  <sheetViews>
    <sheetView showGridLines="0" workbookViewId="0">
      <selection sqref="A1:B1"/>
    </sheetView>
  </sheetViews>
  <sheetFormatPr defaultRowHeight="12.75"/>
  <cols>
    <col min="1" max="1" width="16.7109375" style="684" customWidth="1"/>
    <col min="2" max="2" width="45.7109375" style="684" bestFit="1" customWidth="1"/>
    <col min="3" max="8" width="6.7109375" style="680" customWidth="1"/>
    <col min="9" max="14" width="2.7109375" style="680" customWidth="1"/>
    <col min="15" max="15" width="9.28515625" style="684" customWidth="1"/>
    <col min="16" max="16" width="11.28515625" style="684" customWidth="1"/>
    <col min="17" max="17" width="9.28515625" style="684" customWidth="1"/>
    <col min="18" max="18" width="11.28515625" style="684" customWidth="1"/>
    <col min="19" max="19" width="9.28515625" style="684" customWidth="1"/>
    <col min="20" max="20" width="11.28515625" style="684" customWidth="1"/>
    <col min="21" max="21" width="9.28515625" style="684" customWidth="1"/>
    <col min="22" max="22" width="11.28515625" style="684" customWidth="1"/>
    <col min="23" max="23" width="9.28515625" style="684" customWidth="1"/>
    <col min="24" max="24" width="11.28515625" style="684" customWidth="1"/>
    <col min="25" max="25" width="9.28515625" style="684" customWidth="1"/>
    <col min="26" max="26" width="11.28515625" style="684" customWidth="1"/>
    <col min="27" max="16384" width="9.140625" style="684"/>
  </cols>
  <sheetData>
    <row r="1" spans="1:28" ht="25.5" customHeight="1">
      <c r="A1" s="1038">
        <v>2015</v>
      </c>
      <c r="B1" s="1039"/>
      <c r="C1" s="1015" t="s">
        <v>42</v>
      </c>
      <c r="D1" s="1016"/>
      <c r="E1" s="1016"/>
      <c r="F1" s="1016"/>
      <c r="G1" s="1016"/>
      <c r="H1" s="1017"/>
      <c r="I1" s="37"/>
      <c r="J1" s="37"/>
      <c r="K1" s="37"/>
      <c r="L1" s="63"/>
      <c r="M1" s="540"/>
      <c r="N1" s="539"/>
      <c r="O1" s="1018" t="s">
        <v>48</v>
      </c>
      <c r="P1" s="1018"/>
      <c r="Q1" s="1018" t="s">
        <v>142</v>
      </c>
      <c r="R1" s="1018"/>
      <c r="S1" s="1018" t="s">
        <v>143</v>
      </c>
      <c r="T1" s="1018"/>
      <c r="U1" s="1018" t="s">
        <v>144</v>
      </c>
      <c r="V1" s="1018"/>
      <c r="W1" s="1018" t="s">
        <v>145</v>
      </c>
      <c r="X1" s="1018"/>
      <c r="Y1" s="1018" t="s">
        <v>146</v>
      </c>
      <c r="Z1" s="1019"/>
    </row>
    <row r="2" spans="1:28" ht="45" customHeight="1">
      <c r="A2" s="38" t="s">
        <v>24</v>
      </c>
      <c r="B2" s="39" t="s">
        <v>25</v>
      </c>
      <c r="C2" s="40" t="s">
        <v>51</v>
      </c>
      <c r="D2" s="40" t="s">
        <v>147</v>
      </c>
      <c r="E2" s="40" t="s">
        <v>148</v>
      </c>
      <c r="F2" s="40" t="s">
        <v>149</v>
      </c>
      <c r="G2" s="40" t="s">
        <v>150</v>
      </c>
      <c r="H2" s="40" t="s">
        <v>151</v>
      </c>
      <c r="I2" s="42" t="s">
        <v>152</v>
      </c>
      <c r="J2" s="42" t="s">
        <v>153</v>
      </c>
      <c r="K2" s="42" t="s">
        <v>154</v>
      </c>
      <c r="L2" s="64" t="s">
        <v>155</v>
      </c>
      <c r="M2" s="538" t="s">
        <v>150</v>
      </c>
      <c r="N2" s="537" t="s">
        <v>274</v>
      </c>
      <c r="O2" s="43" t="s">
        <v>26</v>
      </c>
      <c r="P2" s="43" t="s">
        <v>27</v>
      </c>
      <c r="Q2" s="43" t="s">
        <v>26</v>
      </c>
      <c r="R2" s="43" t="s">
        <v>27</v>
      </c>
      <c r="S2" s="43" t="s">
        <v>26</v>
      </c>
      <c r="T2" s="43" t="s">
        <v>27</v>
      </c>
      <c r="U2" s="43" t="s">
        <v>26</v>
      </c>
      <c r="V2" s="43" t="s">
        <v>27</v>
      </c>
      <c r="W2" s="43" t="s">
        <v>26</v>
      </c>
      <c r="X2" s="43" t="s">
        <v>27</v>
      </c>
      <c r="Y2" s="43" t="s">
        <v>26</v>
      </c>
      <c r="Z2" s="65" t="s">
        <v>27</v>
      </c>
      <c r="AA2" s="823" t="s">
        <v>627</v>
      </c>
    </row>
    <row r="3" spans="1:28">
      <c r="A3" s="45" t="s">
        <v>134</v>
      </c>
      <c r="B3" s="45" t="s">
        <v>134</v>
      </c>
      <c r="C3" s="46">
        <f t="shared" ref="C3" si="0">IF(ISERR(O3/P3*100),"",O3/P3*100)</f>
        <v>69.340782122905026</v>
      </c>
      <c r="D3" s="46">
        <f t="shared" ref="D3" si="1">IF(ISERR(Q3/R3*100),"",Q3/R3*100)</f>
        <v>57.128491620111731</v>
      </c>
      <c r="E3" s="46">
        <f t="shared" ref="E3" si="2">IF(ISERR(S3/T3*100),"",S3/T3*100)</f>
        <v>69.206703910614522</v>
      </c>
      <c r="F3" s="46">
        <f t="shared" ref="F3" si="3">IF(ISERR(U3/V3*100),"",U3/V3*100)</f>
        <v>78.759776536312856</v>
      </c>
      <c r="G3" s="46">
        <f t="shared" ref="G3" si="4">IF(ISERR(W3/X3*100),"",W3/X3*100)</f>
        <v>91.519553072625698</v>
      </c>
      <c r="H3" s="46">
        <f t="shared" ref="H3" si="5">IF(ISERR(Y3/Z3*100),"",Y3/Z3*100)</f>
        <v>7.3296089385474854</v>
      </c>
      <c r="I3" s="536">
        <f t="shared" ref="I3:K3" si="6">E3-D3</f>
        <v>12.07821229050279</v>
      </c>
      <c r="J3" s="535">
        <f t="shared" si="6"/>
        <v>9.5530726256983343</v>
      </c>
      <c r="K3" s="535">
        <f t="shared" si="6"/>
        <v>12.759776536312842</v>
      </c>
      <c r="L3" s="534">
        <f t="shared" ref="L3" si="7">G3-E3</f>
        <v>22.312849162011176</v>
      </c>
      <c r="M3" s="534">
        <f t="shared" ref="M3" si="8">G3-D3</f>
        <v>34.391061452513966</v>
      </c>
      <c r="N3" s="533">
        <v>90</v>
      </c>
      <c r="O3" s="405">
        <f>SUM(O4:O32)</f>
        <v>6206</v>
      </c>
      <c r="P3" s="405">
        <f t="shared" ref="P3:Z3" si="9">SUM(P4:P32)</f>
        <v>8950</v>
      </c>
      <c r="Q3" s="405">
        <f t="shared" si="9"/>
        <v>5113</v>
      </c>
      <c r="R3" s="405">
        <f t="shared" si="9"/>
        <v>8950</v>
      </c>
      <c r="S3" s="405">
        <f t="shared" si="9"/>
        <v>6194</v>
      </c>
      <c r="T3" s="405">
        <f t="shared" si="9"/>
        <v>8950</v>
      </c>
      <c r="U3" s="405">
        <f t="shared" si="9"/>
        <v>7049</v>
      </c>
      <c r="V3" s="405">
        <f t="shared" si="9"/>
        <v>8950</v>
      </c>
      <c r="W3" s="405">
        <f t="shared" si="9"/>
        <v>8191</v>
      </c>
      <c r="X3" s="405">
        <f t="shared" si="9"/>
        <v>8950</v>
      </c>
      <c r="Y3" s="405">
        <f t="shared" si="9"/>
        <v>656</v>
      </c>
      <c r="Z3" s="405">
        <f t="shared" si="9"/>
        <v>8950</v>
      </c>
      <c r="AA3" s="822">
        <v>95</v>
      </c>
      <c r="AB3" s="356">
        <v>1</v>
      </c>
    </row>
    <row r="4" spans="1:28">
      <c r="A4" s="45" t="s">
        <v>28</v>
      </c>
      <c r="B4" s="45" t="s">
        <v>63</v>
      </c>
      <c r="C4" s="46">
        <f t="shared" ref="C4:C32" si="10">IF(ISERR(O4/P4*100),"",O4/P4*100)</f>
        <v>82.062780269058294</v>
      </c>
      <c r="D4" s="46">
        <f t="shared" ref="D4:D32" si="11">IF(ISERR(Q4/R4*100),"",Q4/R4*100)</f>
        <v>68.609865470852014</v>
      </c>
      <c r="E4" s="46">
        <f t="shared" ref="E4:E32" si="12">IF(ISERR(S4/T4*100),"",S4/T4*100)</f>
        <v>81.61434977578476</v>
      </c>
      <c r="F4" s="46">
        <f t="shared" ref="F4:F32" si="13">IF(ISERR(U4/V4*100),"",U4/V4*100)</f>
        <v>91.031390134529147</v>
      </c>
      <c r="G4" s="46">
        <f t="shared" ref="G4:G32" si="14">IF(ISERR(W4/X4*100),"",W4/X4*100)</f>
        <v>99.103139013452918</v>
      </c>
      <c r="H4" s="46">
        <f t="shared" ref="H4:H32" si="15">IF(ISERR(Y4/Z4*100),"",Y4/Z4*100)</f>
        <v>0.89686098654708524</v>
      </c>
      <c r="I4" s="522">
        <f t="shared" ref="I4:I32" si="16">E4-D4</f>
        <v>13.004484304932745</v>
      </c>
      <c r="J4" s="522">
        <f t="shared" ref="J4:J32" si="17">F4-E4</f>
        <v>9.4170403587443872</v>
      </c>
      <c r="K4" s="522">
        <f t="shared" ref="K4:K32" si="18">G4-F4</f>
        <v>8.0717488789237706</v>
      </c>
      <c r="L4" s="532">
        <f t="shared" ref="L4:L32" si="19">G4-E4</f>
        <v>17.488789237668158</v>
      </c>
      <c r="M4" s="532">
        <f t="shared" ref="M4:M32" si="20">G4-D4</f>
        <v>30.493273542600903</v>
      </c>
      <c r="N4" s="521">
        <v>90</v>
      </c>
      <c r="O4" s="405">
        <v>183</v>
      </c>
      <c r="P4" s="405">
        <v>223</v>
      </c>
      <c r="Q4" s="405">
        <v>153</v>
      </c>
      <c r="R4" s="405">
        <v>223</v>
      </c>
      <c r="S4" s="405">
        <v>182</v>
      </c>
      <c r="T4" s="405">
        <v>223</v>
      </c>
      <c r="U4" s="405">
        <v>203</v>
      </c>
      <c r="V4" s="405">
        <v>223</v>
      </c>
      <c r="W4" s="405">
        <v>221</v>
      </c>
      <c r="X4" s="405">
        <v>223</v>
      </c>
      <c r="Y4" s="405">
        <v>2</v>
      </c>
      <c r="Z4" s="405">
        <v>223</v>
      </c>
      <c r="AA4" s="822">
        <v>95</v>
      </c>
      <c r="AB4" s="356">
        <v>2</v>
      </c>
    </row>
    <row r="5" spans="1:28">
      <c r="A5" s="45" t="s">
        <v>92</v>
      </c>
      <c r="B5" s="45" t="s">
        <v>93</v>
      </c>
      <c r="C5" s="46">
        <f t="shared" si="10"/>
        <v>80.555555555555557</v>
      </c>
      <c r="D5" s="46">
        <f t="shared" si="11"/>
        <v>62.5</v>
      </c>
      <c r="E5" s="46">
        <f t="shared" si="12"/>
        <v>77.777777777777786</v>
      </c>
      <c r="F5" s="46">
        <f t="shared" si="13"/>
        <v>91.666666666666657</v>
      </c>
      <c r="G5" s="46">
        <f t="shared" si="14"/>
        <v>97.222222222222214</v>
      </c>
      <c r="H5" s="46">
        <f t="shared" si="15"/>
        <v>1.3888888888888888</v>
      </c>
      <c r="I5" s="522">
        <f t="shared" si="16"/>
        <v>15.277777777777786</v>
      </c>
      <c r="J5" s="522">
        <f t="shared" si="17"/>
        <v>13.888888888888872</v>
      </c>
      <c r="K5" s="522">
        <f t="shared" si="18"/>
        <v>5.5555555555555571</v>
      </c>
      <c r="L5" s="532">
        <f t="shared" si="19"/>
        <v>19.444444444444429</v>
      </c>
      <c r="M5" s="532">
        <f t="shared" si="20"/>
        <v>34.722222222222214</v>
      </c>
      <c r="N5" s="521">
        <v>90</v>
      </c>
      <c r="O5" s="405">
        <v>58</v>
      </c>
      <c r="P5" s="405">
        <v>72</v>
      </c>
      <c r="Q5" s="405">
        <v>45</v>
      </c>
      <c r="R5" s="405">
        <v>72</v>
      </c>
      <c r="S5" s="405">
        <v>56</v>
      </c>
      <c r="T5" s="405">
        <v>72</v>
      </c>
      <c r="U5" s="405">
        <v>66</v>
      </c>
      <c r="V5" s="405">
        <v>72</v>
      </c>
      <c r="W5" s="405">
        <v>70</v>
      </c>
      <c r="X5" s="405">
        <v>72</v>
      </c>
      <c r="Y5" s="405">
        <v>1</v>
      </c>
      <c r="Z5" s="405">
        <v>72</v>
      </c>
      <c r="AA5" s="822">
        <v>95</v>
      </c>
      <c r="AB5" s="356"/>
    </row>
    <row r="6" spans="1:28">
      <c r="A6" s="45" t="s">
        <v>37</v>
      </c>
      <c r="B6" s="45" t="s">
        <v>133</v>
      </c>
      <c r="C6" s="46">
        <f t="shared" si="10"/>
        <v>94.117647058823522</v>
      </c>
      <c r="D6" s="46">
        <f t="shared" si="11"/>
        <v>91.17647058823529</v>
      </c>
      <c r="E6" s="46">
        <f t="shared" si="12"/>
        <v>94.117647058823522</v>
      </c>
      <c r="F6" s="46">
        <f t="shared" si="13"/>
        <v>97.058823529411768</v>
      </c>
      <c r="G6" s="46">
        <f t="shared" si="14"/>
        <v>97.058823529411768</v>
      </c>
      <c r="H6" s="46">
        <f t="shared" si="15"/>
        <v>2.9411764705882351</v>
      </c>
      <c r="I6" s="528">
        <f t="shared" si="16"/>
        <v>2.941176470588232</v>
      </c>
      <c r="J6" s="528">
        <f t="shared" si="17"/>
        <v>2.9411764705882462</v>
      </c>
      <c r="K6" s="528">
        <f t="shared" si="18"/>
        <v>0</v>
      </c>
      <c r="L6" s="531">
        <f t="shared" si="19"/>
        <v>2.9411764705882462</v>
      </c>
      <c r="M6" s="531">
        <f t="shared" si="20"/>
        <v>5.8823529411764781</v>
      </c>
      <c r="N6" s="527">
        <v>90</v>
      </c>
      <c r="O6" s="405">
        <v>32</v>
      </c>
      <c r="P6" s="405">
        <v>34</v>
      </c>
      <c r="Q6" s="405">
        <v>31</v>
      </c>
      <c r="R6" s="405">
        <v>34</v>
      </c>
      <c r="S6" s="405">
        <v>32</v>
      </c>
      <c r="T6" s="405">
        <v>34</v>
      </c>
      <c r="U6" s="405">
        <v>33</v>
      </c>
      <c r="V6" s="405">
        <v>34</v>
      </c>
      <c r="W6" s="405">
        <v>33</v>
      </c>
      <c r="X6" s="405">
        <v>34</v>
      </c>
      <c r="Y6" s="405">
        <v>1</v>
      </c>
      <c r="Z6" s="405">
        <v>34</v>
      </c>
      <c r="AA6" s="822">
        <v>95</v>
      </c>
      <c r="AB6" s="356"/>
    </row>
    <row r="7" spans="1:28">
      <c r="A7" s="45" t="s">
        <v>112</v>
      </c>
      <c r="B7" s="45" t="s">
        <v>113</v>
      </c>
      <c r="C7" s="46">
        <f t="shared" si="10"/>
        <v>84.210526315789465</v>
      </c>
      <c r="D7" s="46">
        <f t="shared" si="11"/>
        <v>77.732793522267201</v>
      </c>
      <c r="E7" s="46">
        <f t="shared" si="12"/>
        <v>85.425101214574894</v>
      </c>
      <c r="F7" s="46">
        <f t="shared" si="13"/>
        <v>89.068825910931167</v>
      </c>
      <c r="G7" s="46">
        <f t="shared" si="14"/>
        <v>96.761133603238875</v>
      </c>
      <c r="H7" s="46">
        <f t="shared" si="15"/>
        <v>1.6194331983805668</v>
      </c>
      <c r="I7" s="528">
        <f t="shared" si="16"/>
        <v>7.6923076923076934</v>
      </c>
      <c r="J7" s="528">
        <f t="shared" si="17"/>
        <v>3.6437246963562728</v>
      </c>
      <c r="K7" s="528">
        <f t="shared" si="18"/>
        <v>7.6923076923077076</v>
      </c>
      <c r="L7" s="531">
        <f t="shared" si="19"/>
        <v>11.33603238866398</v>
      </c>
      <c r="M7" s="531">
        <f t="shared" si="20"/>
        <v>19.028340080971674</v>
      </c>
      <c r="N7" s="527">
        <v>90</v>
      </c>
      <c r="O7" s="405">
        <v>208</v>
      </c>
      <c r="P7" s="405">
        <v>247</v>
      </c>
      <c r="Q7" s="405">
        <v>192</v>
      </c>
      <c r="R7" s="405">
        <v>247</v>
      </c>
      <c r="S7" s="405">
        <v>211</v>
      </c>
      <c r="T7" s="405">
        <v>247</v>
      </c>
      <c r="U7" s="405">
        <v>220</v>
      </c>
      <c r="V7" s="405">
        <v>247</v>
      </c>
      <c r="W7" s="405">
        <v>239</v>
      </c>
      <c r="X7" s="405">
        <v>247</v>
      </c>
      <c r="Y7" s="405">
        <v>4</v>
      </c>
      <c r="Z7" s="405">
        <v>247</v>
      </c>
      <c r="AA7" s="822">
        <v>95</v>
      </c>
      <c r="AB7" s="356"/>
    </row>
    <row r="8" spans="1:28">
      <c r="A8" s="45" t="s">
        <v>107</v>
      </c>
      <c r="B8" s="45" t="s">
        <v>106</v>
      </c>
      <c r="C8" s="46">
        <f t="shared" si="10"/>
        <v>68.389057750759875</v>
      </c>
      <c r="D8" s="46">
        <f t="shared" si="11"/>
        <v>56.534954407294833</v>
      </c>
      <c r="E8" s="46">
        <f t="shared" si="12"/>
        <v>69.908814589665653</v>
      </c>
      <c r="F8" s="46">
        <f t="shared" si="13"/>
        <v>85.714285714285708</v>
      </c>
      <c r="G8" s="46">
        <f t="shared" si="14"/>
        <v>96.352583586626139</v>
      </c>
      <c r="H8" s="46">
        <f t="shared" si="15"/>
        <v>3.3434650455927049</v>
      </c>
      <c r="I8" s="528">
        <f t="shared" si="16"/>
        <v>13.373860182370819</v>
      </c>
      <c r="J8" s="528">
        <f t="shared" si="17"/>
        <v>15.805471124620055</v>
      </c>
      <c r="K8" s="528">
        <f t="shared" si="18"/>
        <v>10.638297872340431</v>
      </c>
      <c r="L8" s="531">
        <f t="shared" si="19"/>
        <v>26.443768996960486</v>
      </c>
      <c r="M8" s="531">
        <f t="shared" si="20"/>
        <v>39.817629179331306</v>
      </c>
      <c r="N8" s="527">
        <v>90</v>
      </c>
      <c r="O8" s="405">
        <v>225</v>
      </c>
      <c r="P8" s="405">
        <v>329</v>
      </c>
      <c r="Q8" s="405">
        <v>186</v>
      </c>
      <c r="R8" s="405">
        <v>329</v>
      </c>
      <c r="S8" s="405">
        <v>230</v>
      </c>
      <c r="T8" s="405">
        <v>329</v>
      </c>
      <c r="U8" s="405">
        <v>282</v>
      </c>
      <c r="V8" s="405">
        <v>329</v>
      </c>
      <c r="W8" s="405">
        <v>317</v>
      </c>
      <c r="X8" s="405">
        <v>329</v>
      </c>
      <c r="Y8" s="405">
        <v>11</v>
      </c>
      <c r="Z8" s="405">
        <v>329</v>
      </c>
      <c r="AA8" s="822">
        <v>95</v>
      </c>
      <c r="AB8" s="356"/>
    </row>
    <row r="9" spans="1:28">
      <c r="A9" s="45" t="s">
        <v>183</v>
      </c>
      <c r="B9" s="45" t="s">
        <v>73</v>
      </c>
      <c r="C9" s="46">
        <f t="shared" si="10"/>
        <v>62.361623616236159</v>
      </c>
      <c r="D9" s="46">
        <f t="shared" si="11"/>
        <v>44.280442804428041</v>
      </c>
      <c r="E9" s="46">
        <f t="shared" si="12"/>
        <v>61.808118081180808</v>
      </c>
      <c r="F9" s="46">
        <f t="shared" si="13"/>
        <v>76.014760147601478</v>
      </c>
      <c r="G9" s="46">
        <f t="shared" si="14"/>
        <v>96.309963099630991</v>
      </c>
      <c r="H9" s="46">
        <f t="shared" si="15"/>
        <v>3.3210332103321036</v>
      </c>
      <c r="I9" s="528">
        <f t="shared" si="16"/>
        <v>17.527675276752767</v>
      </c>
      <c r="J9" s="528">
        <f t="shared" si="17"/>
        <v>14.20664206642067</v>
      </c>
      <c r="K9" s="528">
        <f t="shared" si="18"/>
        <v>20.295202952029513</v>
      </c>
      <c r="L9" s="531">
        <f t="shared" si="19"/>
        <v>34.501845018450183</v>
      </c>
      <c r="M9" s="531">
        <f t="shared" si="20"/>
        <v>52.02952029520295</v>
      </c>
      <c r="N9" s="527">
        <v>90</v>
      </c>
      <c r="O9" s="405">
        <v>338</v>
      </c>
      <c r="P9" s="405">
        <v>542</v>
      </c>
      <c r="Q9" s="405">
        <v>240</v>
      </c>
      <c r="R9" s="405">
        <v>542</v>
      </c>
      <c r="S9" s="405">
        <v>335</v>
      </c>
      <c r="T9" s="405">
        <v>542</v>
      </c>
      <c r="U9" s="405">
        <v>412</v>
      </c>
      <c r="V9" s="405">
        <v>542</v>
      </c>
      <c r="W9" s="405">
        <v>522</v>
      </c>
      <c r="X9" s="405">
        <v>542</v>
      </c>
      <c r="Y9" s="405">
        <v>18</v>
      </c>
      <c r="Z9" s="405">
        <v>542</v>
      </c>
      <c r="AA9" s="822">
        <v>95</v>
      </c>
      <c r="AB9" s="356"/>
    </row>
    <row r="10" spans="1:28">
      <c r="A10" s="45" t="s">
        <v>174</v>
      </c>
      <c r="B10" s="45" t="s">
        <v>71</v>
      </c>
      <c r="C10" s="46">
        <f t="shared" si="10"/>
        <v>76.862123613312207</v>
      </c>
      <c r="D10" s="46">
        <f t="shared" si="11"/>
        <v>65.293185419968296</v>
      </c>
      <c r="E10" s="46">
        <f t="shared" si="12"/>
        <v>77.496038034865293</v>
      </c>
      <c r="F10" s="46">
        <f t="shared" si="13"/>
        <v>85.895404120443743</v>
      </c>
      <c r="G10" s="46">
        <f t="shared" si="14"/>
        <v>95.721077654516634</v>
      </c>
      <c r="H10" s="46">
        <f t="shared" si="15"/>
        <v>3.8034865293185423</v>
      </c>
      <c r="I10" s="528">
        <f t="shared" si="16"/>
        <v>12.202852614896997</v>
      </c>
      <c r="J10" s="528">
        <f t="shared" si="17"/>
        <v>8.3993660855784498</v>
      </c>
      <c r="K10" s="528">
        <f t="shared" si="18"/>
        <v>9.8256735340728909</v>
      </c>
      <c r="L10" s="531">
        <f t="shared" si="19"/>
        <v>18.225039619651341</v>
      </c>
      <c r="M10" s="531">
        <f t="shared" si="20"/>
        <v>30.427892234548338</v>
      </c>
      <c r="N10" s="527">
        <v>90</v>
      </c>
      <c r="O10" s="405">
        <v>485</v>
      </c>
      <c r="P10" s="405">
        <v>631</v>
      </c>
      <c r="Q10" s="405">
        <v>412</v>
      </c>
      <c r="R10" s="405">
        <v>631</v>
      </c>
      <c r="S10" s="405">
        <v>489</v>
      </c>
      <c r="T10" s="405">
        <v>631</v>
      </c>
      <c r="U10" s="405">
        <v>542</v>
      </c>
      <c r="V10" s="405">
        <v>631</v>
      </c>
      <c r="W10" s="405">
        <v>604</v>
      </c>
      <c r="X10" s="405">
        <v>631</v>
      </c>
      <c r="Y10" s="405">
        <v>24</v>
      </c>
      <c r="Z10" s="405">
        <v>631</v>
      </c>
      <c r="AA10" s="822">
        <v>95</v>
      </c>
      <c r="AB10" s="356"/>
    </row>
    <row r="11" spans="1:28">
      <c r="A11" s="45" t="s">
        <v>101</v>
      </c>
      <c r="B11" s="45" t="s">
        <v>102</v>
      </c>
      <c r="C11" s="46">
        <f t="shared" si="10"/>
        <v>75</v>
      </c>
      <c r="D11" s="46">
        <f t="shared" si="11"/>
        <v>60.666666666666671</v>
      </c>
      <c r="E11" s="46">
        <f t="shared" si="12"/>
        <v>69.333333333333343</v>
      </c>
      <c r="F11" s="46">
        <f t="shared" si="13"/>
        <v>80.666666666666657</v>
      </c>
      <c r="G11" s="46">
        <f t="shared" si="14"/>
        <v>95</v>
      </c>
      <c r="H11" s="46">
        <f t="shared" si="15"/>
        <v>3.6666666666666665</v>
      </c>
      <c r="I11" s="528">
        <f t="shared" si="16"/>
        <v>8.6666666666666714</v>
      </c>
      <c r="J11" s="528">
        <f t="shared" si="17"/>
        <v>11.333333333333314</v>
      </c>
      <c r="K11" s="528">
        <f t="shared" si="18"/>
        <v>14.333333333333343</v>
      </c>
      <c r="L11" s="531">
        <f t="shared" si="19"/>
        <v>25.666666666666657</v>
      </c>
      <c r="M11" s="531">
        <f t="shared" si="20"/>
        <v>34.333333333333329</v>
      </c>
      <c r="N11" s="527">
        <v>90</v>
      </c>
      <c r="O11" s="405">
        <v>225</v>
      </c>
      <c r="P11" s="405">
        <v>300</v>
      </c>
      <c r="Q11" s="405">
        <v>182</v>
      </c>
      <c r="R11" s="405">
        <v>300</v>
      </c>
      <c r="S11" s="405">
        <v>208</v>
      </c>
      <c r="T11" s="405">
        <v>300</v>
      </c>
      <c r="U11" s="405">
        <v>242</v>
      </c>
      <c r="V11" s="405">
        <v>300</v>
      </c>
      <c r="W11" s="405">
        <v>285</v>
      </c>
      <c r="X11" s="405">
        <v>300</v>
      </c>
      <c r="Y11" s="405">
        <v>11</v>
      </c>
      <c r="Z11" s="405">
        <v>300</v>
      </c>
      <c r="AA11" s="822">
        <v>95</v>
      </c>
      <c r="AB11" s="356"/>
    </row>
    <row r="12" spans="1:28">
      <c r="A12" s="45" t="s">
        <v>127</v>
      </c>
      <c r="B12" s="45" t="s">
        <v>128</v>
      </c>
      <c r="C12" s="46">
        <f t="shared" si="10"/>
        <v>74.331550802139034</v>
      </c>
      <c r="D12" s="46">
        <f t="shared" si="11"/>
        <v>56.149732620320862</v>
      </c>
      <c r="E12" s="46">
        <f t="shared" si="12"/>
        <v>73.262032085561501</v>
      </c>
      <c r="F12" s="46">
        <f t="shared" si="13"/>
        <v>83.957219251336895</v>
      </c>
      <c r="G12" s="46">
        <f t="shared" si="14"/>
        <v>94.652406417112303</v>
      </c>
      <c r="H12" s="46">
        <f t="shared" si="15"/>
        <v>4.8128342245989302</v>
      </c>
      <c r="I12" s="528">
        <f t="shared" si="16"/>
        <v>17.112299465240639</v>
      </c>
      <c r="J12" s="528">
        <f t="shared" si="17"/>
        <v>10.695187165775394</v>
      </c>
      <c r="K12" s="528">
        <f t="shared" si="18"/>
        <v>10.695187165775408</v>
      </c>
      <c r="L12" s="531">
        <f t="shared" si="19"/>
        <v>21.390374331550802</v>
      </c>
      <c r="M12" s="531">
        <f t="shared" si="20"/>
        <v>38.502673796791441</v>
      </c>
      <c r="N12" s="527">
        <v>90</v>
      </c>
      <c r="O12" s="405">
        <v>139</v>
      </c>
      <c r="P12" s="405">
        <v>187</v>
      </c>
      <c r="Q12" s="405">
        <v>105</v>
      </c>
      <c r="R12" s="405">
        <v>187</v>
      </c>
      <c r="S12" s="405">
        <v>137</v>
      </c>
      <c r="T12" s="405">
        <v>187</v>
      </c>
      <c r="U12" s="405">
        <v>157</v>
      </c>
      <c r="V12" s="405">
        <v>187</v>
      </c>
      <c r="W12" s="405">
        <v>177</v>
      </c>
      <c r="X12" s="405">
        <v>187</v>
      </c>
      <c r="Y12" s="405">
        <v>9</v>
      </c>
      <c r="Z12" s="405">
        <v>187</v>
      </c>
      <c r="AA12" s="822">
        <v>95</v>
      </c>
      <c r="AB12" s="356"/>
    </row>
    <row r="13" spans="1:28">
      <c r="A13" s="45" t="s">
        <v>459</v>
      </c>
      <c r="B13" s="45" t="s">
        <v>460</v>
      </c>
      <c r="C13" s="46">
        <f t="shared" si="10"/>
        <v>81.906443071491623</v>
      </c>
      <c r="D13" s="46">
        <f t="shared" si="11"/>
        <v>70.079435127978812</v>
      </c>
      <c r="E13" s="46">
        <f t="shared" si="12"/>
        <v>82.082965578111214</v>
      </c>
      <c r="F13" s="46">
        <f t="shared" si="13"/>
        <v>88.084730803177408</v>
      </c>
      <c r="G13" s="46">
        <f t="shared" si="14"/>
        <v>94.616063548102375</v>
      </c>
      <c r="H13" s="46">
        <f t="shared" si="15"/>
        <v>5.0308914386584291</v>
      </c>
      <c r="I13" s="528">
        <f t="shared" si="16"/>
        <v>12.003530450132402</v>
      </c>
      <c r="J13" s="528">
        <f t="shared" si="17"/>
        <v>6.0017652250661939</v>
      </c>
      <c r="K13" s="528">
        <f t="shared" si="18"/>
        <v>6.531332744924967</v>
      </c>
      <c r="L13" s="531">
        <f t="shared" si="19"/>
        <v>12.533097969991161</v>
      </c>
      <c r="M13" s="531">
        <f t="shared" si="20"/>
        <v>24.536628420123563</v>
      </c>
      <c r="N13" s="527">
        <v>90</v>
      </c>
      <c r="O13" s="405">
        <v>928</v>
      </c>
      <c r="P13" s="405">
        <v>1133</v>
      </c>
      <c r="Q13" s="405">
        <v>794</v>
      </c>
      <c r="R13" s="405">
        <v>1133</v>
      </c>
      <c r="S13" s="405">
        <v>930</v>
      </c>
      <c r="T13" s="405">
        <v>1133</v>
      </c>
      <c r="U13" s="405">
        <v>998</v>
      </c>
      <c r="V13" s="405">
        <v>1133</v>
      </c>
      <c r="W13" s="405">
        <v>1072</v>
      </c>
      <c r="X13" s="405">
        <v>1133</v>
      </c>
      <c r="Y13" s="405">
        <v>57</v>
      </c>
      <c r="Z13" s="405">
        <v>1133</v>
      </c>
      <c r="AA13" s="822">
        <v>95</v>
      </c>
      <c r="AB13" s="356"/>
    </row>
    <row r="14" spans="1:28">
      <c r="A14" s="45" t="s">
        <v>175</v>
      </c>
      <c r="B14" s="45" t="s">
        <v>75</v>
      </c>
      <c r="C14" s="46">
        <f t="shared" si="10"/>
        <v>79.209370424597367</v>
      </c>
      <c r="D14" s="46">
        <f t="shared" si="11"/>
        <v>72.035139092240115</v>
      </c>
      <c r="E14" s="46">
        <f t="shared" si="12"/>
        <v>80.966325036603223</v>
      </c>
      <c r="F14" s="46">
        <f t="shared" si="13"/>
        <v>87.26207906295754</v>
      </c>
      <c r="G14" s="46">
        <f t="shared" si="14"/>
        <v>93.850658857979511</v>
      </c>
      <c r="H14" s="46">
        <f t="shared" si="15"/>
        <v>4.8316251830161052</v>
      </c>
      <c r="I14" s="528">
        <f t="shared" si="16"/>
        <v>8.9311859443631079</v>
      </c>
      <c r="J14" s="528">
        <f t="shared" si="17"/>
        <v>6.2957540263543166</v>
      </c>
      <c r="K14" s="528">
        <f t="shared" si="18"/>
        <v>6.5885797950219711</v>
      </c>
      <c r="L14" s="531">
        <f t="shared" si="19"/>
        <v>12.884333821376288</v>
      </c>
      <c r="M14" s="531">
        <f t="shared" si="20"/>
        <v>21.815519765739396</v>
      </c>
      <c r="N14" s="527">
        <v>90</v>
      </c>
      <c r="O14" s="405">
        <v>541</v>
      </c>
      <c r="P14" s="405">
        <v>683</v>
      </c>
      <c r="Q14" s="405">
        <v>492</v>
      </c>
      <c r="R14" s="405">
        <v>683</v>
      </c>
      <c r="S14" s="405">
        <v>553</v>
      </c>
      <c r="T14" s="405">
        <v>683</v>
      </c>
      <c r="U14" s="405">
        <v>596</v>
      </c>
      <c r="V14" s="405">
        <v>683</v>
      </c>
      <c r="W14" s="405">
        <v>641</v>
      </c>
      <c r="X14" s="405">
        <v>683</v>
      </c>
      <c r="Y14" s="405">
        <v>33</v>
      </c>
      <c r="Z14" s="405">
        <v>683</v>
      </c>
      <c r="AA14" s="822">
        <v>95</v>
      </c>
      <c r="AB14" s="356"/>
    </row>
    <row r="15" spans="1:28">
      <c r="A15" s="45" t="s">
        <v>77</v>
      </c>
      <c r="B15" s="45" t="s">
        <v>78</v>
      </c>
      <c r="C15" s="46">
        <f t="shared" si="10"/>
        <v>72.65625</v>
      </c>
      <c r="D15" s="46">
        <f t="shared" si="11"/>
        <v>63.28125</v>
      </c>
      <c r="E15" s="46">
        <f t="shared" si="12"/>
        <v>77.34375</v>
      </c>
      <c r="F15" s="46">
        <f t="shared" si="13"/>
        <v>85.9375</v>
      </c>
      <c r="G15" s="46">
        <f t="shared" si="14"/>
        <v>93.75</v>
      </c>
      <c r="H15" s="46">
        <f t="shared" si="15"/>
        <v>3.125</v>
      </c>
      <c r="I15" s="528">
        <f t="shared" si="16"/>
        <v>14.0625</v>
      </c>
      <c r="J15" s="528">
        <f t="shared" si="17"/>
        <v>8.59375</v>
      </c>
      <c r="K15" s="528">
        <f t="shared" si="18"/>
        <v>7.8125</v>
      </c>
      <c r="L15" s="531">
        <f t="shared" si="19"/>
        <v>16.40625</v>
      </c>
      <c r="M15" s="531">
        <f t="shared" si="20"/>
        <v>30.46875</v>
      </c>
      <c r="N15" s="527">
        <v>90</v>
      </c>
      <c r="O15" s="405">
        <v>93</v>
      </c>
      <c r="P15" s="405">
        <v>128</v>
      </c>
      <c r="Q15" s="405">
        <v>81</v>
      </c>
      <c r="R15" s="405">
        <v>128</v>
      </c>
      <c r="S15" s="405">
        <v>99</v>
      </c>
      <c r="T15" s="405">
        <v>128</v>
      </c>
      <c r="U15" s="405">
        <v>110</v>
      </c>
      <c r="V15" s="405">
        <v>128</v>
      </c>
      <c r="W15" s="405">
        <v>120</v>
      </c>
      <c r="X15" s="405">
        <v>128</v>
      </c>
      <c r="Y15" s="405">
        <v>4</v>
      </c>
      <c r="Z15" s="405">
        <v>128</v>
      </c>
      <c r="AA15" s="822">
        <v>95</v>
      </c>
      <c r="AB15" s="356"/>
    </row>
    <row r="16" spans="1:28">
      <c r="A16" s="45" t="s">
        <v>65</v>
      </c>
      <c r="B16" s="45" t="s">
        <v>66</v>
      </c>
      <c r="C16" s="46">
        <f t="shared" si="10"/>
        <v>65.163934426229503</v>
      </c>
      <c r="D16" s="46">
        <f t="shared" si="11"/>
        <v>50.409836065573764</v>
      </c>
      <c r="E16" s="46">
        <f t="shared" si="12"/>
        <v>64.344262295081961</v>
      </c>
      <c r="F16" s="46">
        <f t="shared" si="13"/>
        <v>75.819672131147541</v>
      </c>
      <c r="G16" s="46">
        <f t="shared" si="14"/>
        <v>91.803278688524586</v>
      </c>
      <c r="H16" s="46">
        <f t="shared" si="15"/>
        <v>6.9672131147540979</v>
      </c>
      <c r="I16" s="528">
        <f t="shared" si="16"/>
        <v>13.934426229508198</v>
      </c>
      <c r="J16" s="528">
        <f t="shared" si="17"/>
        <v>11.47540983606558</v>
      </c>
      <c r="K16" s="528">
        <f t="shared" si="18"/>
        <v>15.983606557377044</v>
      </c>
      <c r="L16" s="531">
        <f t="shared" si="19"/>
        <v>27.459016393442624</v>
      </c>
      <c r="M16" s="531">
        <f t="shared" si="20"/>
        <v>41.393442622950822</v>
      </c>
      <c r="N16" s="527">
        <v>90</v>
      </c>
      <c r="O16" s="405">
        <v>159</v>
      </c>
      <c r="P16" s="405">
        <v>244</v>
      </c>
      <c r="Q16" s="405">
        <v>123</v>
      </c>
      <c r="R16" s="405">
        <v>244</v>
      </c>
      <c r="S16" s="405">
        <v>157</v>
      </c>
      <c r="T16" s="405">
        <v>244</v>
      </c>
      <c r="U16" s="405">
        <v>185</v>
      </c>
      <c r="V16" s="405">
        <v>244</v>
      </c>
      <c r="W16" s="405">
        <v>224</v>
      </c>
      <c r="X16" s="405">
        <v>244</v>
      </c>
      <c r="Y16" s="405">
        <v>17</v>
      </c>
      <c r="Z16" s="405">
        <v>244</v>
      </c>
      <c r="AA16" s="822">
        <v>95</v>
      </c>
      <c r="AB16" s="356"/>
    </row>
    <row r="17" spans="1:28">
      <c r="A17" s="45" t="s">
        <v>82</v>
      </c>
      <c r="B17" s="45" t="s">
        <v>83</v>
      </c>
      <c r="C17" s="46">
        <f t="shared" si="10"/>
        <v>55.714285714285715</v>
      </c>
      <c r="D17" s="46">
        <f t="shared" si="11"/>
        <v>44.761904761904766</v>
      </c>
      <c r="E17" s="46">
        <f t="shared" si="12"/>
        <v>55.714285714285715</v>
      </c>
      <c r="F17" s="46">
        <f t="shared" si="13"/>
        <v>73.80952380952381</v>
      </c>
      <c r="G17" s="46">
        <f t="shared" si="14"/>
        <v>90.952380952380949</v>
      </c>
      <c r="H17" s="46">
        <f t="shared" si="15"/>
        <v>7.6190476190476195</v>
      </c>
      <c r="I17" s="528">
        <f t="shared" si="16"/>
        <v>10.952380952380949</v>
      </c>
      <c r="J17" s="528">
        <f t="shared" si="17"/>
        <v>18.095238095238095</v>
      </c>
      <c r="K17" s="528">
        <f t="shared" si="18"/>
        <v>17.142857142857139</v>
      </c>
      <c r="L17" s="531">
        <f t="shared" si="19"/>
        <v>35.238095238095234</v>
      </c>
      <c r="M17" s="531">
        <f t="shared" si="20"/>
        <v>46.190476190476183</v>
      </c>
      <c r="N17" s="527">
        <v>90</v>
      </c>
      <c r="O17" s="405">
        <v>117</v>
      </c>
      <c r="P17" s="405">
        <v>210</v>
      </c>
      <c r="Q17" s="405">
        <v>94</v>
      </c>
      <c r="R17" s="405">
        <v>210</v>
      </c>
      <c r="S17" s="405">
        <v>117</v>
      </c>
      <c r="T17" s="405">
        <v>210</v>
      </c>
      <c r="U17" s="405">
        <v>155</v>
      </c>
      <c r="V17" s="405">
        <v>210</v>
      </c>
      <c r="W17" s="405">
        <v>191</v>
      </c>
      <c r="X17" s="405">
        <v>210</v>
      </c>
      <c r="Y17" s="405">
        <v>16</v>
      </c>
      <c r="Z17" s="405">
        <v>210</v>
      </c>
      <c r="AA17" s="822">
        <v>95</v>
      </c>
      <c r="AB17" s="356"/>
    </row>
    <row r="18" spans="1:28">
      <c r="A18" s="45" t="s">
        <v>109</v>
      </c>
      <c r="B18" s="45" t="s">
        <v>110</v>
      </c>
      <c r="C18" s="46">
        <f t="shared" si="10"/>
        <v>79.589632829373642</v>
      </c>
      <c r="D18" s="46">
        <f t="shared" si="11"/>
        <v>70.08639308855291</v>
      </c>
      <c r="E18" s="46">
        <f t="shared" si="12"/>
        <v>78.61771058315334</v>
      </c>
      <c r="F18" s="46">
        <f t="shared" si="13"/>
        <v>83.801295896328298</v>
      </c>
      <c r="G18" s="46">
        <f t="shared" si="14"/>
        <v>90.928725701943847</v>
      </c>
      <c r="H18" s="46">
        <f t="shared" si="15"/>
        <v>7.7753779697624186</v>
      </c>
      <c r="I18" s="528">
        <f t="shared" si="16"/>
        <v>8.5313174946004295</v>
      </c>
      <c r="J18" s="528">
        <f t="shared" si="17"/>
        <v>5.1835853131749587</v>
      </c>
      <c r="K18" s="528">
        <f t="shared" si="18"/>
        <v>7.1274298056155487</v>
      </c>
      <c r="L18" s="531">
        <f t="shared" si="19"/>
        <v>12.311015118790507</v>
      </c>
      <c r="M18" s="531">
        <f t="shared" si="20"/>
        <v>20.842332613390937</v>
      </c>
      <c r="N18" s="527">
        <v>90</v>
      </c>
      <c r="O18" s="405">
        <v>737</v>
      </c>
      <c r="P18" s="405">
        <v>926</v>
      </c>
      <c r="Q18" s="405">
        <v>649</v>
      </c>
      <c r="R18" s="405">
        <v>926</v>
      </c>
      <c r="S18" s="405">
        <v>728</v>
      </c>
      <c r="T18" s="405">
        <v>926</v>
      </c>
      <c r="U18" s="405">
        <v>776</v>
      </c>
      <c r="V18" s="405">
        <v>926</v>
      </c>
      <c r="W18" s="405">
        <v>842</v>
      </c>
      <c r="X18" s="405">
        <v>926</v>
      </c>
      <c r="Y18" s="405">
        <v>72</v>
      </c>
      <c r="Z18" s="405">
        <v>926</v>
      </c>
      <c r="AA18" s="822">
        <v>95</v>
      </c>
      <c r="AB18" s="356"/>
    </row>
    <row r="19" spans="1:28">
      <c r="A19" s="45" t="s">
        <v>68</v>
      </c>
      <c r="B19" s="45" t="s">
        <v>69</v>
      </c>
      <c r="C19" s="46">
        <f t="shared" si="10"/>
        <v>85</v>
      </c>
      <c r="D19" s="46">
        <f t="shared" si="11"/>
        <v>80</v>
      </c>
      <c r="E19" s="46">
        <f t="shared" si="12"/>
        <v>82.5</v>
      </c>
      <c r="F19" s="46">
        <f t="shared" si="13"/>
        <v>85</v>
      </c>
      <c r="G19" s="46">
        <f t="shared" si="14"/>
        <v>90</v>
      </c>
      <c r="H19" s="46">
        <f t="shared" si="15"/>
        <v>10</v>
      </c>
      <c r="I19" s="528">
        <f t="shared" si="16"/>
        <v>2.5</v>
      </c>
      <c r="J19" s="528">
        <f t="shared" si="17"/>
        <v>2.5</v>
      </c>
      <c r="K19" s="528">
        <f t="shared" si="18"/>
        <v>5</v>
      </c>
      <c r="L19" s="531">
        <f t="shared" si="19"/>
        <v>7.5</v>
      </c>
      <c r="M19" s="531">
        <f t="shared" si="20"/>
        <v>10</v>
      </c>
      <c r="N19" s="527">
        <v>90</v>
      </c>
      <c r="O19" s="405">
        <v>34</v>
      </c>
      <c r="P19" s="405">
        <v>40</v>
      </c>
      <c r="Q19" s="405">
        <v>32</v>
      </c>
      <c r="R19" s="405">
        <v>40</v>
      </c>
      <c r="S19" s="405">
        <v>33</v>
      </c>
      <c r="T19" s="405">
        <v>40</v>
      </c>
      <c r="U19" s="405">
        <v>34</v>
      </c>
      <c r="V19" s="405">
        <v>40</v>
      </c>
      <c r="W19" s="405">
        <v>36</v>
      </c>
      <c r="X19" s="405">
        <v>40</v>
      </c>
      <c r="Y19" s="405">
        <v>4</v>
      </c>
      <c r="Z19" s="405">
        <v>40</v>
      </c>
      <c r="AA19" s="822">
        <v>95</v>
      </c>
      <c r="AB19" s="356"/>
    </row>
    <row r="20" spans="1:28">
      <c r="A20" s="45" t="s">
        <v>115</v>
      </c>
      <c r="B20" s="45" t="s">
        <v>116</v>
      </c>
      <c r="C20" s="46">
        <f t="shared" si="10"/>
        <v>64.192139737991269</v>
      </c>
      <c r="D20" s="46">
        <f t="shared" si="11"/>
        <v>55.021834061135365</v>
      </c>
      <c r="E20" s="46">
        <f t="shared" si="12"/>
        <v>65.502183406113531</v>
      </c>
      <c r="F20" s="46">
        <f t="shared" si="13"/>
        <v>75.545851528384276</v>
      </c>
      <c r="G20" s="46">
        <f t="shared" si="14"/>
        <v>89.519650655021834</v>
      </c>
      <c r="H20" s="46">
        <f t="shared" si="15"/>
        <v>10.480349344978166</v>
      </c>
      <c r="I20" s="528">
        <f t="shared" si="16"/>
        <v>10.480349344978166</v>
      </c>
      <c r="J20" s="528">
        <f t="shared" si="17"/>
        <v>10.043668122270745</v>
      </c>
      <c r="K20" s="528">
        <f t="shared" si="18"/>
        <v>13.973799126637559</v>
      </c>
      <c r="L20" s="531">
        <f t="shared" si="19"/>
        <v>24.017467248908304</v>
      </c>
      <c r="M20" s="531">
        <f t="shared" si="20"/>
        <v>34.497816593886469</v>
      </c>
      <c r="N20" s="527">
        <v>90</v>
      </c>
      <c r="O20" s="405">
        <v>147</v>
      </c>
      <c r="P20" s="405">
        <v>229</v>
      </c>
      <c r="Q20" s="405">
        <v>126</v>
      </c>
      <c r="R20" s="405">
        <v>229</v>
      </c>
      <c r="S20" s="405">
        <v>150</v>
      </c>
      <c r="T20" s="405">
        <v>229</v>
      </c>
      <c r="U20" s="405">
        <v>173</v>
      </c>
      <c r="V20" s="405">
        <v>229</v>
      </c>
      <c r="W20" s="405">
        <v>205</v>
      </c>
      <c r="X20" s="405">
        <v>229</v>
      </c>
      <c r="Y20" s="405">
        <v>24</v>
      </c>
      <c r="Z20" s="405">
        <v>229</v>
      </c>
      <c r="AA20" s="822">
        <v>95</v>
      </c>
      <c r="AB20" s="356"/>
    </row>
    <row r="21" spans="1:28">
      <c r="A21" s="45" t="s">
        <v>185</v>
      </c>
      <c r="B21" s="45" t="s">
        <v>85</v>
      </c>
      <c r="C21" s="46">
        <f t="shared" si="10"/>
        <v>59.482758620689658</v>
      </c>
      <c r="D21" s="46">
        <f t="shared" si="11"/>
        <v>43.103448275862064</v>
      </c>
      <c r="E21" s="46">
        <f t="shared" si="12"/>
        <v>56.321839080459768</v>
      </c>
      <c r="F21" s="46">
        <f t="shared" si="13"/>
        <v>69.540229885057471</v>
      </c>
      <c r="G21" s="46">
        <f t="shared" si="14"/>
        <v>89.080459770114942</v>
      </c>
      <c r="H21" s="46">
        <f t="shared" si="15"/>
        <v>10.919540229885058</v>
      </c>
      <c r="I21" s="528">
        <f t="shared" si="16"/>
        <v>13.218390804597703</v>
      </c>
      <c r="J21" s="528">
        <f t="shared" si="17"/>
        <v>13.218390804597703</v>
      </c>
      <c r="K21" s="528">
        <f t="shared" si="18"/>
        <v>19.540229885057471</v>
      </c>
      <c r="L21" s="531">
        <f t="shared" si="19"/>
        <v>32.758620689655174</v>
      </c>
      <c r="M21" s="531">
        <f t="shared" si="20"/>
        <v>45.977011494252878</v>
      </c>
      <c r="N21" s="527">
        <v>90</v>
      </c>
      <c r="O21" s="405">
        <v>207</v>
      </c>
      <c r="P21" s="405">
        <v>348</v>
      </c>
      <c r="Q21" s="405">
        <v>150</v>
      </c>
      <c r="R21" s="405">
        <v>348</v>
      </c>
      <c r="S21" s="405">
        <v>196</v>
      </c>
      <c r="T21" s="405">
        <v>348</v>
      </c>
      <c r="U21" s="405">
        <v>242</v>
      </c>
      <c r="V21" s="405">
        <v>348</v>
      </c>
      <c r="W21" s="405">
        <v>310</v>
      </c>
      <c r="X21" s="405">
        <v>348</v>
      </c>
      <c r="Y21" s="405">
        <v>38</v>
      </c>
      <c r="Z21" s="405">
        <v>348</v>
      </c>
      <c r="AA21" s="822">
        <v>95</v>
      </c>
      <c r="AB21" s="356"/>
    </row>
    <row r="22" spans="1:28">
      <c r="A22" s="45" t="s">
        <v>184</v>
      </c>
      <c r="B22" s="45" t="s">
        <v>80</v>
      </c>
      <c r="C22" s="46">
        <f t="shared" si="10"/>
        <v>66.218809980806142</v>
      </c>
      <c r="D22" s="46">
        <f t="shared" si="11"/>
        <v>52.207293666026864</v>
      </c>
      <c r="E22" s="46">
        <f t="shared" si="12"/>
        <v>67.178502879078692</v>
      </c>
      <c r="F22" s="46">
        <f t="shared" si="13"/>
        <v>75.239923224568145</v>
      </c>
      <c r="G22" s="46">
        <f t="shared" si="14"/>
        <v>87.907869481765829</v>
      </c>
      <c r="H22" s="46">
        <f t="shared" si="15"/>
        <v>11.132437619961612</v>
      </c>
      <c r="I22" s="528">
        <f t="shared" si="16"/>
        <v>14.971209213051829</v>
      </c>
      <c r="J22" s="528">
        <f t="shared" si="17"/>
        <v>8.0614203454894522</v>
      </c>
      <c r="K22" s="528">
        <f t="shared" si="18"/>
        <v>12.667946257197684</v>
      </c>
      <c r="L22" s="531">
        <f t="shared" si="19"/>
        <v>20.729366602687136</v>
      </c>
      <c r="M22" s="531">
        <f t="shared" si="20"/>
        <v>35.700575815738965</v>
      </c>
      <c r="N22" s="527">
        <v>90</v>
      </c>
      <c r="O22" s="405">
        <v>345</v>
      </c>
      <c r="P22" s="405">
        <v>521</v>
      </c>
      <c r="Q22" s="405">
        <v>272</v>
      </c>
      <c r="R22" s="405">
        <v>521</v>
      </c>
      <c r="S22" s="405">
        <v>350</v>
      </c>
      <c r="T22" s="405">
        <v>521</v>
      </c>
      <c r="U22" s="405">
        <v>392</v>
      </c>
      <c r="V22" s="405">
        <v>521</v>
      </c>
      <c r="W22" s="405">
        <v>458</v>
      </c>
      <c r="X22" s="405">
        <v>521</v>
      </c>
      <c r="Y22" s="405">
        <v>58</v>
      </c>
      <c r="Z22" s="405">
        <v>521</v>
      </c>
      <c r="AA22" s="822">
        <v>95</v>
      </c>
      <c r="AB22" s="356"/>
    </row>
    <row r="23" spans="1:28">
      <c r="A23" s="45" t="s">
        <v>104</v>
      </c>
      <c r="B23" s="45" t="s">
        <v>105</v>
      </c>
      <c r="C23" s="46">
        <f t="shared" si="10"/>
        <v>50.476190476190474</v>
      </c>
      <c r="D23" s="46">
        <f t="shared" si="11"/>
        <v>39.047619047619051</v>
      </c>
      <c r="E23" s="46">
        <f t="shared" si="12"/>
        <v>50.476190476190474</v>
      </c>
      <c r="F23" s="46">
        <f t="shared" si="13"/>
        <v>65.714285714285708</v>
      </c>
      <c r="G23" s="46">
        <f t="shared" si="14"/>
        <v>87.301587301587304</v>
      </c>
      <c r="H23" s="46">
        <f t="shared" si="15"/>
        <v>11.746031746031745</v>
      </c>
      <c r="I23" s="528">
        <f t="shared" si="16"/>
        <v>11.428571428571423</v>
      </c>
      <c r="J23" s="528">
        <f t="shared" si="17"/>
        <v>15.238095238095234</v>
      </c>
      <c r="K23" s="528">
        <f t="shared" si="18"/>
        <v>21.587301587301596</v>
      </c>
      <c r="L23" s="531">
        <f t="shared" si="19"/>
        <v>36.82539682539683</v>
      </c>
      <c r="M23" s="531">
        <f t="shared" si="20"/>
        <v>48.253968253968253</v>
      </c>
      <c r="N23" s="527">
        <v>90</v>
      </c>
      <c r="O23" s="405">
        <v>159</v>
      </c>
      <c r="P23" s="405">
        <v>315</v>
      </c>
      <c r="Q23" s="405">
        <v>123</v>
      </c>
      <c r="R23" s="405">
        <v>315</v>
      </c>
      <c r="S23" s="405">
        <v>159</v>
      </c>
      <c r="T23" s="405">
        <v>315</v>
      </c>
      <c r="U23" s="405">
        <v>207</v>
      </c>
      <c r="V23" s="405">
        <v>315</v>
      </c>
      <c r="W23" s="405">
        <v>275</v>
      </c>
      <c r="X23" s="405">
        <v>315</v>
      </c>
      <c r="Y23" s="405">
        <v>37</v>
      </c>
      <c r="Z23" s="405">
        <v>315</v>
      </c>
      <c r="AA23" s="822">
        <v>95</v>
      </c>
      <c r="AB23" s="356"/>
    </row>
    <row r="24" spans="1:28">
      <c r="A24" s="45" t="s">
        <v>95</v>
      </c>
      <c r="B24" s="45" t="s">
        <v>96</v>
      </c>
      <c r="C24" s="46">
        <f t="shared" si="10"/>
        <v>67.391304347826093</v>
      </c>
      <c r="D24" s="46">
        <f t="shared" si="11"/>
        <v>58.695652173913047</v>
      </c>
      <c r="E24" s="46">
        <f t="shared" si="12"/>
        <v>67.391304347826093</v>
      </c>
      <c r="F24" s="46">
        <f t="shared" si="13"/>
        <v>78.260869565217391</v>
      </c>
      <c r="G24" s="46">
        <f t="shared" si="14"/>
        <v>86.956521739130437</v>
      </c>
      <c r="H24" s="46">
        <f t="shared" si="15"/>
        <v>8.695652173913043</v>
      </c>
      <c r="I24" s="528">
        <f t="shared" si="16"/>
        <v>8.6956521739130466</v>
      </c>
      <c r="J24" s="528">
        <f t="shared" si="17"/>
        <v>10.869565217391298</v>
      </c>
      <c r="K24" s="528">
        <f t="shared" si="18"/>
        <v>8.6956521739130466</v>
      </c>
      <c r="L24" s="531">
        <f t="shared" si="19"/>
        <v>19.565217391304344</v>
      </c>
      <c r="M24" s="531">
        <f t="shared" si="20"/>
        <v>28.260869565217391</v>
      </c>
      <c r="N24" s="527">
        <v>90</v>
      </c>
      <c r="O24" s="405">
        <v>31</v>
      </c>
      <c r="P24" s="405">
        <v>46</v>
      </c>
      <c r="Q24" s="405">
        <v>27</v>
      </c>
      <c r="R24" s="405">
        <v>46</v>
      </c>
      <c r="S24" s="405">
        <v>31</v>
      </c>
      <c r="T24" s="405">
        <v>46</v>
      </c>
      <c r="U24" s="405">
        <v>36</v>
      </c>
      <c r="V24" s="405">
        <v>46</v>
      </c>
      <c r="W24" s="405">
        <v>40</v>
      </c>
      <c r="X24" s="405">
        <v>46</v>
      </c>
      <c r="Y24" s="405">
        <v>4</v>
      </c>
      <c r="Z24" s="405">
        <v>46</v>
      </c>
      <c r="AA24" s="822">
        <v>95</v>
      </c>
      <c r="AB24" s="356"/>
    </row>
    <row r="25" spans="1:28">
      <c r="A25" s="45" t="s">
        <v>60</v>
      </c>
      <c r="B25" s="45" t="s">
        <v>61</v>
      </c>
      <c r="C25" s="46">
        <f t="shared" si="10"/>
        <v>57.069408740359897</v>
      </c>
      <c r="D25" s="46">
        <f t="shared" si="11"/>
        <v>42.159383033419026</v>
      </c>
      <c r="E25" s="46">
        <f t="shared" si="12"/>
        <v>56.041131105398456</v>
      </c>
      <c r="F25" s="46">
        <f t="shared" si="13"/>
        <v>68.123393316195376</v>
      </c>
      <c r="G25" s="46">
        <f t="shared" si="14"/>
        <v>86.889460154241647</v>
      </c>
      <c r="H25" s="46">
        <f t="shared" si="15"/>
        <v>11.568123393316196</v>
      </c>
      <c r="I25" s="528">
        <f t="shared" si="16"/>
        <v>13.88174807197943</v>
      </c>
      <c r="J25" s="528">
        <f t="shared" si="17"/>
        <v>12.08226221079692</v>
      </c>
      <c r="K25" s="528">
        <f t="shared" si="18"/>
        <v>18.766066838046271</v>
      </c>
      <c r="L25" s="531">
        <f t="shared" si="19"/>
        <v>30.84832904884319</v>
      </c>
      <c r="M25" s="531">
        <f t="shared" si="20"/>
        <v>44.730077120822621</v>
      </c>
      <c r="N25" s="527">
        <v>90</v>
      </c>
      <c r="O25" s="405">
        <v>222</v>
      </c>
      <c r="P25" s="405">
        <v>389</v>
      </c>
      <c r="Q25" s="405">
        <v>164</v>
      </c>
      <c r="R25" s="405">
        <v>389</v>
      </c>
      <c r="S25" s="405">
        <v>218</v>
      </c>
      <c r="T25" s="405">
        <v>389</v>
      </c>
      <c r="U25" s="405">
        <v>265</v>
      </c>
      <c r="V25" s="405">
        <v>389</v>
      </c>
      <c r="W25" s="405">
        <v>338</v>
      </c>
      <c r="X25" s="405">
        <v>389</v>
      </c>
      <c r="Y25" s="405">
        <v>45</v>
      </c>
      <c r="Z25" s="405">
        <v>389</v>
      </c>
      <c r="AA25" s="822">
        <v>95</v>
      </c>
      <c r="AB25" s="356"/>
    </row>
    <row r="26" spans="1:28">
      <c r="A26" s="45" t="s">
        <v>98</v>
      </c>
      <c r="B26" s="45" t="s">
        <v>99</v>
      </c>
      <c r="C26" s="46">
        <f t="shared" si="10"/>
        <v>57.507082152974512</v>
      </c>
      <c r="D26" s="46">
        <f t="shared" si="11"/>
        <v>44.759206798866856</v>
      </c>
      <c r="E26" s="46">
        <f t="shared" si="12"/>
        <v>58.92351274787535</v>
      </c>
      <c r="F26" s="46">
        <f t="shared" si="13"/>
        <v>70.821529745042483</v>
      </c>
      <c r="G26" s="46">
        <f t="shared" si="14"/>
        <v>86.685552407932008</v>
      </c>
      <c r="H26" s="46">
        <f t="shared" si="15"/>
        <v>8.2152974504249308</v>
      </c>
      <c r="I26" s="528">
        <f t="shared" si="16"/>
        <v>14.164305949008494</v>
      </c>
      <c r="J26" s="528">
        <f t="shared" si="17"/>
        <v>11.898016997167133</v>
      </c>
      <c r="K26" s="528">
        <f t="shared" si="18"/>
        <v>15.864022662889525</v>
      </c>
      <c r="L26" s="531">
        <f t="shared" si="19"/>
        <v>27.762039660056658</v>
      </c>
      <c r="M26" s="531">
        <f t="shared" si="20"/>
        <v>41.926345609065152</v>
      </c>
      <c r="N26" s="527">
        <v>90</v>
      </c>
      <c r="O26" s="405">
        <v>203</v>
      </c>
      <c r="P26" s="405">
        <v>353</v>
      </c>
      <c r="Q26" s="405">
        <v>158</v>
      </c>
      <c r="R26" s="405">
        <v>353</v>
      </c>
      <c r="S26" s="405">
        <v>208</v>
      </c>
      <c r="T26" s="405">
        <v>353</v>
      </c>
      <c r="U26" s="405">
        <v>250</v>
      </c>
      <c r="V26" s="405">
        <v>353</v>
      </c>
      <c r="W26" s="405">
        <v>306</v>
      </c>
      <c r="X26" s="405">
        <v>353</v>
      </c>
      <c r="Y26" s="405">
        <v>29</v>
      </c>
      <c r="Z26" s="405">
        <v>353</v>
      </c>
      <c r="AA26" s="822">
        <v>95</v>
      </c>
      <c r="AB26" s="356"/>
    </row>
    <row r="27" spans="1:28">
      <c r="A27" s="45" t="s">
        <v>121</v>
      </c>
      <c r="B27" s="45" t="s">
        <v>122</v>
      </c>
      <c r="C27" s="46">
        <f t="shared" si="10"/>
        <v>71.428571428571431</v>
      </c>
      <c r="D27" s="46">
        <f t="shared" si="11"/>
        <v>60</v>
      </c>
      <c r="E27" s="46">
        <f t="shared" si="12"/>
        <v>65.714285714285708</v>
      </c>
      <c r="F27" s="46">
        <f t="shared" si="13"/>
        <v>77.142857142857153</v>
      </c>
      <c r="G27" s="46">
        <f t="shared" si="14"/>
        <v>85.714285714285708</v>
      </c>
      <c r="H27" s="46">
        <f t="shared" si="15"/>
        <v>5.7142857142857144</v>
      </c>
      <c r="I27" s="528">
        <f t="shared" si="16"/>
        <v>5.7142857142857082</v>
      </c>
      <c r="J27" s="528">
        <f t="shared" si="17"/>
        <v>11.428571428571445</v>
      </c>
      <c r="K27" s="528">
        <f t="shared" si="18"/>
        <v>8.5714285714285552</v>
      </c>
      <c r="L27" s="531">
        <f t="shared" si="19"/>
        <v>20</v>
      </c>
      <c r="M27" s="531">
        <f t="shared" si="20"/>
        <v>25.714285714285708</v>
      </c>
      <c r="N27" s="527">
        <v>90</v>
      </c>
      <c r="O27" s="405">
        <v>25</v>
      </c>
      <c r="P27" s="405">
        <v>35</v>
      </c>
      <c r="Q27" s="405">
        <v>21</v>
      </c>
      <c r="R27" s="405">
        <v>35</v>
      </c>
      <c r="S27" s="405">
        <v>23</v>
      </c>
      <c r="T27" s="405">
        <v>35</v>
      </c>
      <c r="U27" s="405">
        <v>27</v>
      </c>
      <c r="V27" s="405">
        <v>35</v>
      </c>
      <c r="W27" s="405">
        <v>30</v>
      </c>
      <c r="X27" s="405">
        <v>35</v>
      </c>
      <c r="Y27" s="405">
        <v>2</v>
      </c>
      <c r="Z27" s="405">
        <v>35</v>
      </c>
      <c r="AA27" s="822">
        <v>95</v>
      </c>
      <c r="AB27" s="356"/>
    </row>
    <row r="28" spans="1:28">
      <c r="A28" s="45" t="s">
        <v>89</v>
      </c>
      <c r="B28" s="45" t="s">
        <v>90</v>
      </c>
      <c r="C28" s="46">
        <f t="shared" si="10"/>
        <v>60.714285714285708</v>
      </c>
      <c r="D28" s="46">
        <f t="shared" si="11"/>
        <v>60.714285714285708</v>
      </c>
      <c r="E28" s="46">
        <f t="shared" si="12"/>
        <v>64.285714285714292</v>
      </c>
      <c r="F28" s="46">
        <f t="shared" si="13"/>
        <v>71.428571428571431</v>
      </c>
      <c r="G28" s="46">
        <f t="shared" si="14"/>
        <v>82.142857142857139</v>
      </c>
      <c r="H28" s="46">
        <f t="shared" si="15"/>
        <v>14.285714285714285</v>
      </c>
      <c r="I28" s="528">
        <f t="shared" si="16"/>
        <v>3.5714285714285836</v>
      </c>
      <c r="J28" s="528">
        <f t="shared" si="17"/>
        <v>7.1428571428571388</v>
      </c>
      <c r="K28" s="528">
        <f t="shared" si="18"/>
        <v>10.714285714285708</v>
      </c>
      <c r="L28" s="531">
        <f t="shared" si="19"/>
        <v>17.857142857142847</v>
      </c>
      <c r="M28" s="531">
        <f t="shared" si="20"/>
        <v>21.428571428571431</v>
      </c>
      <c r="N28" s="527">
        <v>90</v>
      </c>
      <c r="O28" s="405">
        <v>17</v>
      </c>
      <c r="P28" s="405">
        <v>28</v>
      </c>
      <c r="Q28" s="405">
        <v>17</v>
      </c>
      <c r="R28" s="405">
        <v>28</v>
      </c>
      <c r="S28" s="405">
        <v>18</v>
      </c>
      <c r="T28" s="405">
        <v>28</v>
      </c>
      <c r="U28" s="405">
        <v>20</v>
      </c>
      <c r="V28" s="405">
        <v>28</v>
      </c>
      <c r="W28" s="405">
        <v>23</v>
      </c>
      <c r="X28" s="405">
        <v>28</v>
      </c>
      <c r="Y28" s="405">
        <v>4</v>
      </c>
      <c r="Z28" s="405">
        <v>28</v>
      </c>
      <c r="AA28" s="822">
        <v>95</v>
      </c>
      <c r="AB28" s="356"/>
    </row>
    <row r="29" spans="1:28">
      <c r="A29" s="45" t="s">
        <v>124</v>
      </c>
      <c r="B29" s="45" t="s">
        <v>125</v>
      </c>
      <c r="C29" s="46">
        <f t="shared" si="10"/>
        <v>43.55555555555555</v>
      </c>
      <c r="D29" s="46">
        <f t="shared" si="11"/>
        <v>30</v>
      </c>
      <c r="E29" s="46">
        <f t="shared" si="12"/>
        <v>44</v>
      </c>
      <c r="F29" s="46">
        <f t="shared" si="13"/>
        <v>55.555555555555557</v>
      </c>
      <c r="G29" s="46">
        <f t="shared" si="14"/>
        <v>82</v>
      </c>
      <c r="H29" s="46">
        <f t="shared" si="15"/>
        <v>17.111111111111111</v>
      </c>
      <c r="I29" s="528">
        <f t="shared" si="16"/>
        <v>14</v>
      </c>
      <c r="J29" s="528">
        <f t="shared" si="17"/>
        <v>11.555555555555557</v>
      </c>
      <c r="K29" s="528">
        <f t="shared" si="18"/>
        <v>26.444444444444443</v>
      </c>
      <c r="L29" s="531">
        <f t="shared" si="19"/>
        <v>38</v>
      </c>
      <c r="M29" s="531">
        <f t="shared" si="20"/>
        <v>52</v>
      </c>
      <c r="N29" s="527">
        <v>90</v>
      </c>
      <c r="O29" s="405">
        <v>196</v>
      </c>
      <c r="P29" s="405">
        <v>450</v>
      </c>
      <c r="Q29" s="405">
        <v>135</v>
      </c>
      <c r="R29" s="405">
        <v>450</v>
      </c>
      <c r="S29" s="405">
        <v>198</v>
      </c>
      <c r="T29" s="405">
        <v>450</v>
      </c>
      <c r="U29" s="405">
        <v>250</v>
      </c>
      <c r="V29" s="405">
        <v>450</v>
      </c>
      <c r="W29" s="405">
        <v>369</v>
      </c>
      <c r="X29" s="405">
        <v>450</v>
      </c>
      <c r="Y29" s="405">
        <v>77</v>
      </c>
      <c r="Z29" s="405">
        <v>450</v>
      </c>
      <c r="AA29" s="822">
        <v>95</v>
      </c>
      <c r="AB29" s="356"/>
    </row>
    <row r="30" spans="1:28">
      <c r="A30" s="45" t="s">
        <v>58</v>
      </c>
      <c r="B30" s="45" t="s">
        <v>57</v>
      </c>
      <c r="C30" s="46">
        <f t="shared" si="10"/>
        <v>48.301886792452834</v>
      </c>
      <c r="D30" s="46">
        <f t="shared" si="11"/>
        <v>32.830188679245282</v>
      </c>
      <c r="E30" s="46">
        <f t="shared" si="12"/>
        <v>45.660377358490564</v>
      </c>
      <c r="F30" s="46">
        <f t="shared" si="13"/>
        <v>56.60377358490566</v>
      </c>
      <c r="G30" s="46">
        <f t="shared" si="14"/>
        <v>80.377358490566039</v>
      </c>
      <c r="H30" s="46">
        <f t="shared" si="15"/>
        <v>18.490566037735849</v>
      </c>
      <c r="I30" s="528">
        <f t="shared" si="16"/>
        <v>12.830188679245282</v>
      </c>
      <c r="J30" s="528">
        <f t="shared" si="17"/>
        <v>10.943396226415096</v>
      </c>
      <c r="K30" s="528">
        <f t="shared" si="18"/>
        <v>23.773584905660378</v>
      </c>
      <c r="L30" s="531">
        <f t="shared" si="19"/>
        <v>34.716981132075475</v>
      </c>
      <c r="M30" s="531">
        <f t="shared" si="20"/>
        <v>47.547169811320757</v>
      </c>
      <c r="N30" s="527">
        <v>90</v>
      </c>
      <c r="O30" s="405">
        <v>128</v>
      </c>
      <c r="P30" s="405">
        <v>265</v>
      </c>
      <c r="Q30" s="405">
        <v>87</v>
      </c>
      <c r="R30" s="405">
        <v>265</v>
      </c>
      <c r="S30" s="405">
        <v>121</v>
      </c>
      <c r="T30" s="405">
        <v>265</v>
      </c>
      <c r="U30" s="405">
        <v>150</v>
      </c>
      <c r="V30" s="405">
        <v>265</v>
      </c>
      <c r="W30" s="405">
        <v>213</v>
      </c>
      <c r="X30" s="405">
        <v>265</v>
      </c>
      <c r="Y30" s="405">
        <v>49</v>
      </c>
      <c r="Z30" s="405">
        <v>265</v>
      </c>
      <c r="AA30" s="822">
        <v>95</v>
      </c>
      <c r="AB30" s="356"/>
    </row>
    <row r="31" spans="1:28">
      <c r="A31" s="45" t="s">
        <v>118</v>
      </c>
      <c r="B31" s="45" t="s">
        <v>119</v>
      </c>
      <c r="C31" s="46">
        <f t="shared" si="10"/>
        <v>58.536585365853654</v>
      </c>
      <c r="D31" s="46">
        <f t="shared" si="11"/>
        <v>53.658536585365859</v>
      </c>
      <c r="E31" s="46">
        <f t="shared" si="12"/>
        <v>60.975609756097562</v>
      </c>
      <c r="F31" s="46">
        <f t="shared" si="13"/>
        <v>63.414634146341463</v>
      </c>
      <c r="G31" s="46">
        <f t="shared" si="14"/>
        <v>73.170731707317074</v>
      </c>
      <c r="H31" s="46">
        <f t="shared" si="15"/>
        <v>12.195121951219512</v>
      </c>
      <c r="I31" s="804">
        <f t="shared" si="16"/>
        <v>7.3170731707317032</v>
      </c>
      <c r="J31" s="805">
        <f t="shared" si="17"/>
        <v>2.4390243902439011</v>
      </c>
      <c r="K31" s="805">
        <f t="shared" si="18"/>
        <v>9.7560975609756113</v>
      </c>
      <c r="L31" s="805">
        <f t="shared" si="19"/>
        <v>12.195121951219512</v>
      </c>
      <c r="M31" s="805">
        <f t="shared" si="20"/>
        <v>19.512195121951216</v>
      </c>
      <c r="N31" s="806">
        <v>90</v>
      </c>
      <c r="O31" s="405">
        <v>24</v>
      </c>
      <c r="P31" s="405">
        <v>41</v>
      </c>
      <c r="Q31" s="405">
        <v>22</v>
      </c>
      <c r="R31" s="405">
        <v>41</v>
      </c>
      <c r="S31" s="405">
        <v>25</v>
      </c>
      <c r="T31" s="405">
        <v>41</v>
      </c>
      <c r="U31" s="405">
        <v>26</v>
      </c>
      <c r="V31" s="405">
        <v>41</v>
      </c>
      <c r="W31" s="405">
        <v>30</v>
      </c>
      <c r="X31" s="405">
        <v>41</v>
      </c>
      <c r="Y31" s="405">
        <v>5</v>
      </c>
      <c r="Z31" s="405">
        <v>41</v>
      </c>
      <c r="AA31" s="822">
        <v>95</v>
      </c>
      <c r="AB31" s="356"/>
    </row>
    <row r="32" spans="1:28">
      <c r="A32" s="45" t="s">
        <v>130</v>
      </c>
      <c r="B32" s="45" t="s">
        <v>131</v>
      </c>
      <c r="C32" s="46">
        <f t="shared" si="10"/>
        <v>0</v>
      </c>
      <c r="D32" s="46">
        <f t="shared" si="11"/>
        <v>0</v>
      </c>
      <c r="E32" s="46">
        <f t="shared" si="12"/>
        <v>0</v>
      </c>
      <c r="F32" s="46">
        <f t="shared" si="13"/>
        <v>0</v>
      </c>
      <c r="G32" s="46">
        <f t="shared" si="14"/>
        <v>0</v>
      </c>
      <c r="H32" s="46">
        <f t="shared" si="15"/>
        <v>0</v>
      </c>
      <c r="I32" s="807">
        <f t="shared" si="16"/>
        <v>0</v>
      </c>
      <c r="J32" s="808">
        <f t="shared" si="17"/>
        <v>0</v>
      </c>
      <c r="K32" s="808">
        <f t="shared" si="18"/>
        <v>0</v>
      </c>
      <c r="L32" s="808">
        <f t="shared" si="19"/>
        <v>0</v>
      </c>
      <c r="M32" s="808">
        <f t="shared" si="20"/>
        <v>0</v>
      </c>
      <c r="N32" s="809">
        <v>90</v>
      </c>
      <c r="O32" s="405">
        <v>0</v>
      </c>
      <c r="P32" s="405">
        <v>1</v>
      </c>
      <c r="Q32" s="405">
        <v>0</v>
      </c>
      <c r="R32" s="405">
        <v>1</v>
      </c>
      <c r="S32" s="405">
        <v>0</v>
      </c>
      <c r="T32" s="405">
        <v>1</v>
      </c>
      <c r="U32" s="405">
        <v>0</v>
      </c>
      <c r="V32" s="405">
        <v>1</v>
      </c>
      <c r="W32" s="405">
        <v>0</v>
      </c>
      <c r="X32" s="405">
        <v>1</v>
      </c>
      <c r="Y32" s="405">
        <v>0</v>
      </c>
      <c r="Z32" s="405">
        <v>1</v>
      </c>
      <c r="AA32" s="822">
        <v>95</v>
      </c>
      <c r="AB32" s="356"/>
    </row>
    <row r="33" spans="1:26">
      <c r="A33" s="51"/>
      <c r="C33" s="34"/>
      <c r="D33" s="34"/>
      <c r="E33" s="34"/>
      <c r="F33" s="34"/>
      <c r="G33" s="34"/>
      <c r="H33" s="34"/>
      <c r="I33" s="34"/>
      <c r="J33" s="34"/>
      <c r="K33" s="34"/>
      <c r="L33" s="34"/>
      <c r="M33" s="34"/>
    </row>
    <row r="34" spans="1:26" ht="30" customHeight="1">
      <c r="A34" s="1030" t="s">
        <v>135</v>
      </c>
      <c r="B34" s="1031"/>
      <c r="C34" s="1015" t="s">
        <v>42</v>
      </c>
      <c r="D34" s="1016"/>
      <c r="E34" s="1016"/>
      <c r="F34" s="1016"/>
      <c r="G34" s="1016"/>
      <c r="H34" s="1017"/>
      <c r="I34" s="1032"/>
      <c r="J34" s="1033"/>
      <c r="K34" s="1033"/>
      <c r="L34" s="1033"/>
      <c r="M34" s="1033"/>
      <c r="N34" s="1034"/>
      <c r="O34" s="1018" t="s">
        <v>48</v>
      </c>
      <c r="P34" s="1018"/>
      <c r="Q34" s="1018" t="s">
        <v>142</v>
      </c>
      <c r="R34" s="1018"/>
      <c r="S34" s="1018" t="s">
        <v>143</v>
      </c>
      <c r="T34" s="1018"/>
      <c r="U34" s="1018" t="s">
        <v>144</v>
      </c>
      <c r="V34" s="1018"/>
      <c r="W34" s="1018" t="s">
        <v>145</v>
      </c>
      <c r="X34" s="1018"/>
      <c r="Y34" s="1018" t="s">
        <v>146</v>
      </c>
      <c r="Z34" s="1019"/>
    </row>
    <row r="35" spans="1:26" ht="35.1" customHeight="1">
      <c r="A35" s="52"/>
      <c r="B35" s="53" t="s">
        <v>137</v>
      </c>
      <c r="C35" s="40" t="s">
        <v>51</v>
      </c>
      <c r="D35" s="40" t="s">
        <v>147</v>
      </c>
      <c r="E35" s="40" t="s">
        <v>148</v>
      </c>
      <c r="F35" s="40" t="s">
        <v>149</v>
      </c>
      <c r="G35" s="40" t="s">
        <v>150</v>
      </c>
      <c r="H35" s="40" t="s">
        <v>151</v>
      </c>
      <c r="I35" s="1035"/>
      <c r="J35" s="1036"/>
      <c r="K35" s="1036"/>
      <c r="L35" s="1036"/>
      <c r="M35" s="1036"/>
      <c r="N35" s="1037"/>
      <c r="O35" s="43" t="s">
        <v>26</v>
      </c>
      <c r="P35" s="43" t="s">
        <v>27</v>
      </c>
      <c r="Q35" s="43" t="s">
        <v>26</v>
      </c>
      <c r="R35" s="43" t="s">
        <v>27</v>
      </c>
      <c r="S35" s="43" t="s">
        <v>26</v>
      </c>
      <c r="T35" s="43" t="s">
        <v>27</v>
      </c>
      <c r="U35" s="43" t="s">
        <v>26</v>
      </c>
      <c r="V35" s="43" t="s">
        <v>27</v>
      </c>
      <c r="W35" s="43" t="s">
        <v>26</v>
      </c>
      <c r="X35" s="43" t="s">
        <v>27</v>
      </c>
      <c r="Y35" s="43" t="s">
        <v>26</v>
      </c>
      <c r="Z35" s="65" t="s">
        <v>27</v>
      </c>
    </row>
    <row r="36" spans="1:26">
      <c r="A36" s="1020"/>
      <c r="B36" s="45" t="s">
        <v>33</v>
      </c>
      <c r="C36" s="46">
        <f t="shared" ref="C36:C49" si="21">IF(ISERR(O36/P36*100),"",O36/P36*100)</f>
        <v>53.516819571865447</v>
      </c>
      <c r="D36" s="46">
        <f t="shared" ref="D36:D49" si="22">IF(ISERR(Q36/R36*100),"",Q36/R36*100)</f>
        <v>38.379204892966364</v>
      </c>
      <c r="E36" s="46">
        <f t="shared" ref="E36:E49" si="23">IF(ISERR(S36/T36*100),"",S36/T36*100)</f>
        <v>51.834862385321102</v>
      </c>
      <c r="F36" s="46">
        <f t="shared" ref="F36:F49" si="24">IF(ISERR(U36/V36*100),"",U36/V36*100)</f>
        <v>63.455657492354746</v>
      </c>
      <c r="G36" s="46">
        <f t="shared" ref="G36:G49" si="25">IF(ISERR(W36/X36*100),"",W36/X36*100)</f>
        <v>84.250764525993887</v>
      </c>
      <c r="H36" s="46">
        <f t="shared" ref="H36:H49" si="26">IF(ISERR(Y36/Z36*100),"",Y36/Z36*100)</f>
        <v>14.37308868501529</v>
      </c>
      <c r="I36" s="1023"/>
      <c r="J36" s="1024"/>
      <c r="K36" s="1024"/>
      <c r="L36" s="1024"/>
      <c r="M36" s="1024"/>
      <c r="N36" s="1025"/>
      <c r="O36" s="406">
        <v>350</v>
      </c>
      <c r="P36" s="406">
        <v>654</v>
      </c>
      <c r="Q36" s="520">
        <v>251</v>
      </c>
      <c r="R36" s="520">
        <v>654</v>
      </c>
      <c r="S36" s="407">
        <v>339</v>
      </c>
      <c r="T36" s="407">
        <v>654</v>
      </c>
      <c r="U36" s="407">
        <v>415</v>
      </c>
      <c r="V36" s="407">
        <v>654</v>
      </c>
      <c r="W36" s="407">
        <v>551</v>
      </c>
      <c r="X36" s="407">
        <v>654</v>
      </c>
      <c r="Y36" s="407">
        <v>94</v>
      </c>
      <c r="Z36" s="407">
        <v>654</v>
      </c>
    </row>
    <row r="37" spans="1:26">
      <c r="A37" s="1021"/>
      <c r="B37" s="45" t="s">
        <v>28</v>
      </c>
      <c r="C37" s="46">
        <f t="shared" si="21"/>
        <v>82.062780269058294</v>
      </c>
      <c r="D37" s="46">
        <f t="shared" si="22"/>
        <v>68.609865470852014</v>
      </c>
      <c r="E37" s="46">
        <f t="shared" si="23"/>
        <v>81.61434977578476</v>
      </c>
      <c r="F37" s="46">
        <f t="shared" si="24"/>
        <v>91.031390134529147</v>
      </c>
      <c r="G37" s="46">
        <f t="shared" si="25"/>
        <v>99.103139013452918</v>
      </c>
      <c r="H37" s="46">
        <f t="shared" si="26"/>
        <v>0.89686098654708524</v>
      </c>
      <c r="I37" s="1026"/>
      <c r="J37" s="1024"/>
      <c r="K37" s="1024"/>
      <c r="L37" s="1024"/>
      <c r="M37" s="1024"/>
      <c r="N37" s="1025"/>
      <c r="O37" s="406">
        <v>183</v>
      </c>
      <c r="P37" s="406">
        <v>223</v>
      </c>
      <c r="Q37" s="406">
        <v>153</v>
      </c>
      <c r="R37" s="406">
        <v>223</v>
      </c>
      <c r="S37" s="407">
        <v>182</v>
      </c>
      <c r="T37" s="407">
        <v>223</v>
      </c>
      <c r="U37" s="407">
        <v>203</v>
      </c>
      <c r="V37" s="407">
        <v>223</v>
      </c>
      <c r="W37" s="407">
        <v>221</v>
      </c>
      <c r="X37" s="407">
        <v>223</v>
      </c>
      <c r="Y37" s="407">
        <v>2</v>
      </c>
      <c r="Z37" s="407">
        <v>223</v>
      </c>
    </row>
    <row r="38" spans="1:26">
      <c r="A38" s="1021"/>
      <c r="B38" s="45" t="s">
        <v>31</v>
      </c>
      <c r="C38" s="46">
        <f t="shared" si="21"/>
        <v>67.957746478873233</v>
      </c>
      <c r="D38" s="46">
        <f t="shared" si="22"/>
        <v>54.577464788732399</v>
      </c>
      <c r="E38" s="46">
        <f t="shared" si="23"/>
        <v>66.901408450704224</v>
      </c>
      <c r="F38" s="46">
        <f t="shared" si="24"/>
        <v>77.112676056338032</v>
      </c>
      <c r="G38" s="46">
        <f t="shared" si="25"/>
        <v>91.549295774647888</v>
      </c>
      <c r="H38" s="46">
        <f t="shared" si="26"/>
        <v>7.3943661971830981</v>
      </c>
      <c r="I38" s="1026"/>
      <c r="J38" s="1024"/>
      <c r="K38" s="1024"/>
      <c r="L38" s="1024"/>
      <c r="M38" s="1024"/>
      <c r="N38" s="1025"/>
      <c r="O38" s="406">
        <v>193</v>
      </c>
      <c r="P38" s="406">
        <v>284</v>
      </c>
      <c r="Q38" s="406">
        <v>155</v>
      </c>
      <c r="R38" s="406">
        <v>284</v>
      </c>
      <c r="S38" s="407">
        <v>190</v>
      </c>
      <c r="T38" s="407">
        <v>284</v>
      </c>
      <c r="U38" s="407">
        <v>219</v>
      </c>
      <c r="V38" s="407">
        <v>284</v>
      </c>
      <c r="W38" s="407">
        <v>260</v>
      </c>
      <c r="X38" s="407">
        <v>284</v>
      </c>
      <c r="Y38" s="407">
        <v>21</v>
      </c>
      <c r="Z38" s="407">
        <v>284</v>
      </c>
    </row>
    <row r="39" spans="1:26" ht="14.25">
      <c r="A39" s="1021"/>
      <c r="B39" s="45" t="s">
        <v>156</v>
      </c>
      <c r="C39" s="46">
        <f t="shared" si="21"/>
        <v>76.862123613312207</v>
      </c>
      <c r="D39" s="46">
        <f t="shared" si="22"/>
        <v>65.293185419968296</v>
      </c>
      <c r="E39" s="46">
        <f t="shared" si="23"/>
        <v>77.496038034865293</v>
      </c>
      <c r="F39" s="46">
        <f t="shared" si="24"/>
        <v>85.895404120443743</v>
      </c>
      <c r="G39" s="46">
        <f t="shared" si="25"/>
        <v>95.721077654516634</v>
      </c>
      <c r="H39" s="46">
        <f t="shared" si="26"/>
        <v>3.8034865293185423</v>
      </c>
      <c r="I39" s="1026"/>
      <c r="J39" s="1024"/>
      <c r="K39" s="1024"/>
      <c r="L39" s="1024"/>
      <c r="M39" s="1024"/>
      <c r="N39" s="1025"/>
      <c r="O39" s="406">
        <v>485</v>
      </c>
      <c r="P39" s="406">
        <v>631</v>
      </c>
      <c r="Q39" s="406">
        <v>412</v>
      </c>
      <c r="R39" s="406">
        <v>631</v>
      </c>
      <c r="S39" s="407">
        <v>489</v>
      </c>
      <c r="T39" s="407">
        <v>631</v>
      </c>
      <c r="U39" s="407">
        <v>542</v>
      </c>
      <c r="V39" s="407">
        <v>631</v>
      </c>
      <c r="W39" s="407">
        <v>604</v>
      </c>
      <c r="X39" s="407">
        <v>631</v>
      </c>
      <c r="Y39" s="407">
        <v>24</v>
      </c>
      <c r="Z39" s="407">
        <v>631</v>
      </c>
    </row>
    <row r="40" spans="1:26" ht="14.25">
      <c r="A40" s="1021"/>
      <c r="B40" s="45" t="s">
        <v>157</v>
      </c>
      <c r="C40" s="46">
        <f t="shared" si="21"/>
        <v>62.361623616236159</v>
      </c>
      <c r="D40" s="46">
        <f t="shared" si="22"/>
        <v>44.280442804428041</v>
      </c>
      <c r="E40" s="46">
        <f t="shared" si="23"/>
        <v>61.808118081180808</v>
      </c>
      <c r="F40" s="46">
        <f t="shared" si="24"/>
        <v>76.014760147601478</v>
      </c>
      <c r="G40" s="46">
        <f t="shared" si="25"/>
        <v>96.309963099630991</v>
      </c>
      <c r="H40" s="46">
        <f t="shared" si="26"/>
        <v>3.3210332103321036</v>
      </c>
      <c r="I40" s="1026"/>
      <c r="J40" s="1024"/>
      <c r="K40" s="1024"/>
      <c r="L40" s="1024"/>
      <c r="M40" s="1024"/>
      <c r="N40" s="1025"/>
      <c r="O40" s="406">
        <v>338</v>
      </c>
      <c r="P40" s="406">
        <v>542</v>
      </c>
      <c r="Q40" s="406">
        <v>240</v>
      </c>
      <c r="R40" s="406">
        <v>542</v>
      </c>
      <c r="S40" s="407">
        <v>335</v>
      </c>
      <c r="T40" s="407">
        <v>542</v>
      </c>
      <c r="U40" s="407">
        <v>412</v>
      </c>
      <c r="V40" s="407">
        <v>542</v>
      </c>
      <c r="W40" s="407">
        <v>522</v>
      </c>
      <c r="X40" s="407">
        <v>542</v>
      </c>
      <c r="Y40" s="407">
        <v>18</v>
      </c>
      <c r="Z40" s="407">
        <v>542</v>
      </c>
    </row>
    <row r="41" spans="1:26" ht="14.25">
      <c r="A41" s="1021"/>
      <c r="B41" s="45" t="s">
        <v>158</v>
      </c>
      <c r="C41" s="46">
        <f t="shared" si="21"/>
        <v>78.175092478421703</v>
      </c>
      <c r="D41" s="46">
        <f t="shared" si="22"/>
        <v>70.653514180024658</v>
      </c>
      <c r="E41" s="46">
        <f t="shared" si="23"/>
        <v>80.394574599260167</v>
      </c>
      <c r="F41" s="46">
        <f t="shared" si="24"/>
        <v>87.053020961775587</v>
      </c>
      <c r="G41" s="46">
        <f t="shared" si="25"/>
        <v>93.834771886559793</v>
      </c>
      <c r="H41" s="46">
        <f t="shared" si="26"/>
        <v>4.562268803945746</v>
      </c>
      <c r="I41" s="1026"/>
      <c r="J41" s="1024"/>
      <c r="K41" s="1024"/>
      <c r="L41" s="1024"/>
      <c r="M41" s="1024"/>
      <c r="N41" s="1025"/>
      <c r="O41" s="406">
        <v>634</v>
      </c>
      <c r="P41" s="406">
        <v>811</v>
      </c>
      <c r="Q41" s="406">
        <v>573</v>
      </c>
      <c r="R41" s="406">
        <v>811</v>
      </c>
      <c r="S41" s="407">
        <v>652</v>
      </c>
      <c r="T41" s="407">
        <v>811</v>
      </c>
      <c r="U41" s="407">
        <v>706</v>
      </c>
      <c r="V41" s="407">
        <v>811</v>
      </c>
      <c r="W41" s="407">
        <v>761</v>
      </c>
      <c r="X41" s="407">
        <v>811</v>
      </c>
      <c r="Y41" s="407">
        <v>37</v>
      </c>
      <c r="Z41" s="407">
        <v>811</v>
      </c>
    </row>
    <row r="42" spans="1:26" ht="14.25">
      <c r="A42" s="1021"/>
      <c r="B42" s="45" t="s">
        <v>159</v>
      </c>
      <c r="C42" s="46">
        <f t="shared" si="21"/>
        <v>72.197106690777574</v>
      </c>
      <c r="D42" s="46">
        <f t="shared" si="22"/>
        <v>59.22242314647378</v>
      </c>
      <c r="E42" s="46">
        <f t="shared" si="23"/>
        <v>72.016274864376129</v>
      </c>
      <c r="F42" s="46">
        <f t="shared" si="24"/>
        <v>80.786618444846297</v>
      </c>
      <c r="G42" s="46">
        <f t="shared" si="25"/>
        <v>91.81735985533453</v>
      </c>
      <c r="H42" s="46">
        <f t="shared" si="26"/>
        <v>7.6401446654611211</v>
      </c>
      <c r="I42" s="1026"/>
      <c r="J42" s="1024"/>
      <c r="K42" s="1024"/>
      <c r="L42" s="1024"/>
      <c r="M42" s="1024"/>
      <c r="N42" s="1025"/>
      <c r="O42" s="406">
        <v>1597</v>
      </c>
      <c r="P42" s="406">
        <v>2212</v>
      </c>
      <c r="Q42" s="406">
        <v>1310</v>
      </c>
      <c r="R42" s="406">
        <v>2212</v>
      </c>
      <c r="S42" s="407">
        <v>1593</v>
      </c>
      <c r="T42" s="407">
        <v>2212</v>
      </c>
      <c r="U42" s="407">
        <v>1787</v>
      </c>
      <c r="V42" s="407">
        <v>2212</v>
      </c>
      <c r="W42" s="407">
        <v>2031</v>
      </c>
      <c r="X42" s="407">
        <v>2212</v>
      </c>
      <c r="Y42" s="407">
        <v>169</v>
      </c>
      <c r="Z42" s="407">
        <v>2212</v>
      </c>
    </row>
    <row r="43" spans="1:26">
      <c r="A43" s="1021"/>
      <c r="B43" s="45" t="s">
        <v>36</v>
      </c>
      <c r="C43" s="46">
        <f t="shared" si="21"/>
        <v>61.923847695390776</v>
      </c>
      <c r="D43" s="46">
        <f t="shared" si="22"/>
        <v>49.498997995991985</v>
      </c>
      <c r="E43" s="46">
        <f t="shared" si="23"/>
        <v>62.725450901803605</v>
      </c>
      <c r="F43" s="46">
        <f t="shared" si="24"/>
        <v>74.549098196392777</v>
      </c>
      <c r="G43" s="46">
        <f t="shared" si="25"/>
        <v>87.975951903807612</v>
      </c>
      <c r="H43" s="46">
        <f t="shared" si="26"/>
        <v>7.6152304609218442</v>
      </c>
      <c r="I43" s="1026"/>
      <c r="J43" s="1024"/>
      <c r="K43" s="1024"/>
      <c r="L43" s="1024"/>
      <c r="M43" s="1024"/>
      <c r="N43" s="1025"/>
      <c r="O43" s="406">
        <v>309</v>
      </c>
      <c r="P43" s="406">
        <v>499</v>
      </c>
      <c r="Q43" s="406">
        <v>247</v>
      </c>
      <c r="R43" s="406">
        <v>499</v>
      </c>
      <c r="S43" s="407">
        <v>313</v>
      </c>
      <c r="T43" s="407">
        <v>499</v>
      </c>
      <c r="U43" s="407">
        <v>372</v>
      </c>
      <c r="V43" s="407">
        <v>499</v>
      </c>
      <c r="W43" s="407">
        <v>439</v>
      </c>
      <c r="X43" s="407">
        <v>499</v>
      </c>
      <c r="Y43" s="407">
        <v>38</v>
      </c>
      <c r="Z43" s="407">
        <v>499</v>
      </c>
    </row>
    <row r="44" spans="1:26">
      <c r="A44" s="1021"/>
      <c r="B44" s="45" t="s">
        <v>29</v>
      </c>
      <c r="C44" s="46">
        <f t="shared" si="21"/>
        <v>64.512711864406782</v>
      </c>
      <c r="D44" s="46">
        <f t="shared" si="22"/>
        <v>52.012711864406782</v>
      </c>
      <c r="E44" s="46">
        <f t="shared" si="23"/>
        <v>63.241525423728817</v>
      </c>
      <c r="F44" s="46">
        <f t="shared" si="24"/>
        <v>77.436440677966104</v>
      </c>
      <c r="G44" s="46">
        <f t="shared" si="25"/>
        <v>92.902542372881356</v>
      </c>
      <c r="H44" s="46">
        <f t="shared" si="26"/>
        <v>6.25</v>
      </c>
      <c r="I44" s="1026"/>
      <c r="J44" s="1024"/>
      <c r="K44" s="1024"/>
      <c r="L44" s="1024"/>
      <c r="M44" s="1024"/>
      <c r="N44" s="1025"/>
      <c r="O44" s="406">
        <v>609</v>
      </c>
      <c r="P44" s="406">
        <v>944</v>
      </c>
      <c r="Q44" s="406">
        <v>491</v>
      </c>
      <c r="R44" s="406">
        <v>944</v>
      </c>
      <c r="S44" s="407">
        <v>597</v>
      </c>
      <c r="T44" s="407">
        <v>944</v>
      </c>
      <c r="U44" s="407">
        <v>731</v>
      </c>
      <c r="V44" s="407">
        <v>944</v>
      </c>
      <c r="W44" s="407">
        <v>877</v>
      </c>
      <c r="X44" s="407">
        <v>944</v>
      </c>
      <c r="Y44" s="407">
        <v>59</v>
      </c>
      <c r="Z44" s="407">
        <v>944</v>
      </c>
    </row>
    <row r="45" spans="1:26">
      <c r="A45" s="1021"/>
      <c r="B45" s="45" t="s">
        <v>38</v>
      </c>
      <c r="C45" s="46">
        <f t="shared" si="21"/>
        <v>77.888730385164052</v>
      </c>
      <c r="D45" s="46">
        <f t="shared" si="22"/>
        <v>68.972895863052784</v>
      </c>
      <c r="E45" s="46">
        <f t="shared" si="23"/>
        <v>77.674750356633382</v>
      </c>
      <c r="F45" s="46">
        <f t="shared" si="24"/>
        <v>83.380884450784592</v>
      </c>
      <c r="G45" s="46">
        <f t="shared" si="25"/>
        <v>91.726105563480743</v>
      </c>
      <c r="H45" s="46">
        <f t="shared" si="26"/>
        <v>7.132667617689016</v>
      </c>
      <c r="I45" s="1026"/>
      <c r="J45" s="1024"/>
      <c r="K45" s="1024"/>
      <c r="L45" s="1024"/>
      <c r="M45" s="1024"/>
      <c r="N45" s="1025"/>
      <c r="O45" s="406">
        <v>1092</v>
      </c>
      <c r="P45" s="406">
        <v>1402</v>
      </c>
      <c r="Q45" s="406">
        <v>967</v>
      </c>
      <c r="R45" s="406">
        <v>1402</v>
      </c>
      <c r="S45" s="407">
        <v>1089</v>
      </c>
      <c r="T45" s="407">
        <v>1402</v>
      </c>
      <c r="U45" s="407">
        <v>1169</v>
      </c>
      <c r="V45" s="407">
        <v>1402</v>
      </c>
      <c r="W45" s="407">
        <v>1286</v>
      </c>
      <c r="X45" s="407">
        <v>1402</v>
      </c>
      <c r="Y45" s="407">
        <v>100</v>
      </c>
      <c r="Z45" s="407">
        <v>1402</v>
      </c>
    </row>
    <row r="46" spans="1:26" ht="14.25">
      <c r="A46" s="1021"/>
      <c r="B46" s="45" t="s">
        <v>160</v>
      </c>
      <c r="C46" s="46">
        <f t="shared" si="21"/>
        <v>58.536585365853654</v>
      </c>
      <c r="D46" s="46">
        <f t="shared" si="22"/>
        <v>53.658536585365859</v>
      </c>
      <c r="E46" s="46">
        <f t="shared" si="23"/>
        <v>60.975609756097562</v>
      </c>
      <c r="F46" s="46">
        <f t="shared" si="24"/>
        <v>63.414634146341463</v>
      </c>
      <c r="G46" s="46">
        <f t="shared" si="25"/>
        <v>73.170731707317074</v>
      </c>
      <c r="H46" s="46">
        <f t="shared" si="26"/>
        <v>12.195121951219512</v>
      </c>
      <c r="I46" s="1026"/>
      <c r="J46" s="1024"/>
      <c r="K46" s="1024"/>
      <c r="L46" s="1024"/>
      <c r="M46" s="1024"/>
      <c r="N46" s="1025"/>
      <c r="O46" s="406">
        <v>24</v>
      </c>
      <c r="P46" s="406">
        <v>41</v>
      </c>
      <c r="Q46" s="406">
        <v>22</v>
      </c>
      <c r="R46" s="406">
        <v>41</v>
      </c>
      <c r="S46" s="407">
        <v>25</v>
      </c>
      <c r="T46" s="407">
        <v>41</v>
      </c>
      <c r="U46" s="407">
        <v>26</v>
      </c>
      <c r="V46" s="407">
        <v>41</v>
      </c>
      <c r="W46" s="407">
        <v>30</v>
      </c>
      <c r="X46" s="407">
        <v>41</v>
      </c>
      <c r="Y46" s="407">
        <v>5</v>
      </c>
      <c r="Z46" s="407">
        <v>41</v>
      </c>
    </row>
    <row r="47" spans="1:26">
      <c r="A47" s="1021"/>
      <c r="B47" s="45" t="s">
        <v>39</v>
      </c>
      <c r="C47" s="46">
        <f t="shared" si="21"/>
        <v>71.428571428571431</v>
      </c>
      <c r="D47" s="46">
        <f t="shared" si="22"/>
        <v>60</v>
      </c>
      <c r="E47" s="46">
        <f t="shared" si="23"/>
        <v>65.714285714285708</v>
      </c>
      <c r="F47" s="46">
        <f t="shared" si="24"/>
        <v>77.142857142857153</v>
      </c>
      <c r="G47" s="46">
        <f t="shared" si="25"/>
        <v>85.714285714285708</v>
      </c>
      <c r="H47" s="46">
        <f t="shared" si="26"/>
        <v>5.7142857142857144</v>
      </c>
      <c r="I47" s="1026"/>
      <c r="J47" s="1024"/>
      <c r="K47" s="1024"/>
      <c r="L47" s="1024"/>
      <c r="M47" s="1024"/>
      <c r="N47" s="1025"/>
      <c r="O47" s="406">
        <v>25</v>
      </c>
      <c r="P47" s="406">
        <v>35</v>
      </c>
      <c r="Q47" s="406">
        <v>21</v>
      </c>
      <c r="R47" s="406">
        <v>35</v>
      </c>
      <c r="S47" s="407">
        <v>23</v>
      </c>
      <c r="T47" s="407">
        <v>35</v>
      </c>
      <c r="U47" s="407">
        <v>27</v>
      </c>
      <c r="V47" s="407">
        <v>35</v>
      </c>
      <c r="W47" s="407">
        <v>30</v>
      </c>
      <c r="X47" s="407">
        <v>35</v>
      </c>
      <c r="Y47" s="407">
        <v>2</v>
      </c>
      <c r="Z47" s="407">
        <v>35</v>
      </c>
    </row>
    <row r="48" spans="1:26">
      <c r="A48" s="1021"/>
      <c r="B48" s="45" t="s">
        <v>32</v>
      </c>
      <c r="C48" s="46">
        <f t="shared" si="21"/>
        <v>52.590266875981165</v>
      </c>
      <c r="D48" s="46">
        <f t="shared" si="22"/>
        <v>37.676609105180539</v>
      </c>
      <c r="E48" s="46">
        <f t="shared" si="23"/>
        <v>52.590266875981165</v>
      </c>
      <c r="F48" s="46">
        <f t="shared" si="24"/>
        <v>63.893249607535317</v>
      </c>
      <c r="G48" s="46">
        <f t="shared" si="25"/>
        <v>85.714285714285708</v>
      </c>
      <c r="H48" s="46">
        <f t="shared" si="26"/>
        <v>13.500784929356357</v>
      </c>
      <c r="I48" s="1026"/>
      <c r="J48" s="1024"/>
      <c r="K48" s="1024"/>
      <c r="L48" s="1024"/>
      <c r="M48" s="1024"/>
      <c r="N48" s="1025"/>
      <c r="O48" s="406">
        <v>335</v>
      </c>
      <c r="P48" s="406">
        <v>637</v>
      </c>
      <c r="Q48" s="406">
        <v>240</v>
      </c>
      <c r="R48" s="406">
        <v>637</v>
      </c>
      <c r="S48" s="407">
        <v>335</v>
      </c>
      <c r="T48" s="407">
        <v>637</v>
      </c>
      <c r="U48" s="407">
        <v>407</v>
      </c>
      <c r="V48" s="407">
        <v>637</v>
      </c>
      <c r="W48" s="407">
        <v>546</v>
      </c>
      <c r="X48" s="407">
        <v>637</v>
      </c>
      <c r="Y48" s="407">
        <v>86</v>
      </c>
      <c r="Z48" s="407">
        <v>637</v>
      </c>
    </row>
    <row r="49" spans="1:28" ht="14.25">
      <c r="A49" s="1022"/>
      <c r="B49" s="45" t="s">
        <v>161</v>
      </c>
      <c r="C49" s="46">
        <f t="shared" si="21"/>
        <v>91.428571428571431</v>
      </c>
      <c r="D49" s="46">
        <f t="shared" si="22"/>
        <v>88.571428571428569</v>
      </c>
      <c r="E49" s="46">
        <f t="shared" si="23"/>
        <v>91.428571428571431</v>
      </c>
      <c r="F49" s="46">
        <f t="shared" si="24"/>
        <v>94.285714285714278</v>
      </c>
      <c r="G49" s="46">
        <f t="shared" si="25"/>
        <v>94.285714285714278</v>
      </c>
      <c r="H49" s="46">
        <f t="shared" si="26"/>
        <v>2.8571428571428572</v>
      </c>
      <c r="I49" s="1027"/>
      <c r="J49" s="1028"/>
      <c r="K49" s="1028"/>
      <c r="L49" s="1028"/>
      <c r="M49" s="1028"/>
      <c r="N49" s="1029"/>
      <c r="O49" s="406">
        <v>32</v>
      </c>
      <c r="P49" s="406">
        <v>35</v>
      </c>
      <c r="Q49" s="406">
        <v>31</v>
      </c>
      <c r="R49" s="406">
        <v>35</v>
      </c>
      <c r="S49" s="407">
        <v>32</v>
      </c>
      <c r="T49" s="407">
        <v>35</v>
      </c>
      <c r="U49" s="407">
        <v>33</v>
      </c>
      <c r="V49" s="407">
        <v>35</v>
      </c>
      <c r="W49" s="407">
        <v>33</v>
      </c>
      <c r="X49" s="407">
        <v>35</v>
      </c>
      <c r="Y49" s="407">
        <v>1</v>
      </c>
      <c r="Z49" s="407">
        <v>35</v>
      </c>
    </row>
    <row r="50" spans="1:28">
      <c r="A50" s="61"/>
      <c r="C50" s="34"/>
      <c r="D50" s="34"/>
      <c r="E50" s="34"/>
      <c r="F50" s="34"/>
      <c r="G50" s="34"/>
      <c r="H50" s="34"/>
      <c r="I50" s="34"/>
      <c r="J50" s="34"/>
      <c r="M50" s="684"/>
      <c r="N50" s="684"/>
    </row>
    <row r="51" spans="1:28">
      <c r="A51" s="62" t="s">
        <v>139</v>
      </c>
      <c r="C51" s="34"/>
      <c r="D51" s="34"/>
      <c r="E51" s="34"/>
      <c r="F51" s="34"/>
      <c r="G51" s="34"/>
      <c r="H51" s="34"/>
      <c r="I51" s="34"/>
      <c r="J51" s="34"/>
      <c r="M51" s="684"/>
      <c r="N51" s="684"/>
    </row>
    <row r="52" spans="1:28" s="680" customFormat="1">
      <c r="A52" s="51"/>
      <c r="B52" s="684"/>
      <c r="C52" s="34"/>
      <c r="D52" s="34"/>
      <c r="E52" s="34"/>
      <c r="F52" s="34"/>
      <c r="G52" s="34"/>
      <c r="H52" s="34"/>
      <c r="I52" s="34"/>
      <c r="J52" s="34"/>
      <c r="K52" s="34"/>
      <c r="L52" s="34"/>
      <c r="M52" s="34"/>
      <c r="O52" s="684"/>
      <c r="P52" s="684"/>
      <c r="Q52" s="684"/>
      <c r="R52" s="684"/>
      <c r="S52" s="684"/>
      <c r="T52" s="684"/>
      <c r="U52" s="684"/>
      <c r="V52" s="684"/>
      <c r="W52" s="684"/>
      <c r="X52" s="684"/>
      <c r="Y52" s="684"/>
      <c r="Z52" s="684"/>
      <c r="AA52" s="684"/>
      <c r="AB52" s="684"/>
    </row>
    <row r="53" spans="1:28" s="680" customFormat="1">
      <c r="A53" s="51"/>
      <c r="B53" s="684"/>
      <c r="C53" s="34"/>
      <c r="D53" s="34"/>
      <c r="E53" s="34"/>
      <c r="F53" s="34"/>
      <c r="G53" s="34"/>
      <c r="H53" s="34"/>
      <c r="I53" s="34"/>
      <c r="J53" s="34"/>
      <c r="K53" s="34"/>
      <c r="L53" s="34"/>
      <c r="M53" s="34"/>
      <c r="O53" s="684"/>
      <c r="P53" s="684"/>
      <c r="Q53" s="684"/>
      <c r="R53" s="684"/>
      <c r="S53" s="684"/>
      <c r="T53" s="684"/>
      <c r="U53" s="684"/>
      <c r="V53" s="684"/>
      <c r="W53" s="684"/>
      <c r="X53" s="684"/>
      <c r="Y53" s="684"/>
      <c r="Z53" s="684"/>
      <c r="AA53" s="684"/>
      <c r="AB53" s="684"/>
    </row>
    <row r="54" spans="1:28" s="680" customFormat="1">
      <c r="A54" s="51"/>
      <c r="B54" s="684"/>
      <c r="C54" s="34"/>
      <c r="D54" s="34"/>
      <c r="E54" s="34"/>
      <c r="F54" s="34"/>
      <c r="G54" s="34"/>
      <c r="H54" s="34"/>
      <c r="I54" s="34"/>
      <c r="J54" s="34"/>
      <c r="K54" s="34"/>
      <c r="L54" s="34"/>
      <c r="M54" s="34"/>
      <c r="O54" s="684"/>
      <c r="P54" s="684"/>
      <c r="Q54" s="684"/>
      <c r="R54" s="684"/>
      <c r="S54" s="684"/>
      <c r="T54" s="684"/>
      <c r="U54" s="684"/>
      <c r="V54" s="684"/>
      <c r="W54" s="684"/>
      <c r="X54" s="684"/>
      <c r="Y54" s="684"/>
      <c r="Z54" s="684"/>
      <c r="AA54" s="684"/>
      <c r="AB54" s="684"/>
    </row>
  </sheetData>
  <sheetProtection password="B8D9" sheet="1" objects="1" scenarios="1"/>
  <sortState ref="A4:Z32">
    <sortCondition descending="1" ref="G4:G32"/>
  </sortState>
  <mergeCells count="19">
    <mergeCell ref="A1:B1"/>
    <mergeCell ref="C1:H1"/>
    <mergeCell ref="O1:P1"/>
    <mergeCell ref="Q1:R1"/>
    <mergeCell ref="S1:T1"/>
    <mergeCell ref="U1:V1"/>
    <mergeCell ref="Y34:Z34"/>
    <mergeCell ref="A36:A49"/>
    <mergeCell ref="I36:N49"/>
    <mergeCell ref="W1:X1"/>
    <mergeCell ref="Y1:Z1"/>
    <mergeCell ref="A34:B34"/>
    <mergeCell ref="C34:H34"/>
    <mergeCell ref="I34:N35"/>
    <mergeCell ref="O34:P34"/>
    <mergeCell ref="Q34:R34"/>
    <mergeCell ref="S34:T34"/>
    <mergeCell ref="U34:V34"/>
    <mergeCell ref="W34:X34"/>
  </mergeCells>
  <pageMargins left="0.70866141732283472" right="0.70866141732283472" top="0.74803149606299213" bottom="0.74803149606299213" header="0.31496062992125984" footer="0.31496062992125984"/>
  <pageSetup paperSize="9" scale="50"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37.xml><?xml version="1.0" encoding="utf-8"?>
<worksheet xmlns="http://schemas.openxmlformats.org/spreadsheetml/2006/main" xmlns:r="http://schemas.openxmlformats.org/officeDocument/2006/relationships">
  <sheetPr codeName="Sheet41">
    <pageSetUpPr fitToPage="1"/>
  </sheetPr>
  <dimension ref="B1:T49"/>
  <sheetViews>
    <sheetView workbookViewId="0"/>
  </sheetViews>
  <sheetFormatPr defaultRowHeight="12.75"/>
  <cols>
    <col min="1" max="1" width="2.7109375" style="705" customWidth="1"/>
    <col min="2" max="16384" width="9.140625" style="705"/>
  </cols>
  <sheetData>
    <row r="1" spans="2:20" s="688" customFormat="1" ht="24.95" customHeight="1">
      <c r="B1" s="967" t="s">
        <v>662</v>
      </c>
      <c r="C1" s="967"/>
      <c r="D1" s="967"/>
      <c r="E1" s="967"/>
      <c r="F1" s="967"/>
      <c r="G1" s="967"/>
      <c r="H1" s="967"/>
      <c r="I1" s="967"/>
      <c r="J1" s="967"/>
      <c r="K1" s="967"/>
      <c r="L1" s="967"/>
      <c r="M1" s="967"/>
      <c r="N1" s="967"/>
      <c r="O1" s="26"/>
      <c r="P1" s="985" t="s">
        <v>45</v>
      </c>
      <c r="Q1" s="26"/>
      <c r="R1" s="26"/>
      <c r="S1" s="26"/>
      <c r="T1" s="26"/>
    </row>
    <row r="2" spans="2:20" s="688" customFormat="1" ht="12.75" customHeight="1">
      <c r="B2" s="1043" t="s">
        <v>578</v>
      </c>
      <c r="C2" s="1043"/>
      <c r="D2" s="1043"/>
      <c r="E2" s="1043"/>
      <c r="F2" s="1043"/>
      <c r="G2" s="1043"/>
      <c r="H2" s="1043"/>
      <c r="I2" s="1043"/>
      <c r="J2" s="1043"/>
      <c r="K2" s="1043"/>
      <c r="L2" s="1043"/>
      <c r="M2" s="1043"/>
      <c r="O2" s="27"/>
      <c r="P2" s="985"/>
      <c r="Q2" s="28"/>
      <c r="R2" s="987"/>
      <c r="S2" s="987"/>
      <c r="T2" s="987"/>
    </row>
    <row r="3" spans="2:20" s="688" customFormat="1" ht="12.75" customHeight="1">
      <c r="B3" s="1043"/>
      <c r="C3" s="1043"/>
      <c r="D3" s="1043"/>
      <c r="E3" s="1043"/>
      <c r="F3" s="1043"/>
      <c r="G3" s="1043"/>
      <c r="H3" s="1043"/>
      <c r="I3" s="1043"/>
      <c r="J3" s="1043"/>
      <c r="K3" s="1043"/>
      <c r="L3" s="1043"/>
      <c r="M3" s="1043"/>
      <c r="O3" s="519"/>
      <c r="P3" s="985"/>
      <c r="Q3" s="29"/>
      <c r="R3" s="687"/>
      <c r="S3" s="687"/>
      <c r="T3" s="687"/>
    </row>
    <row r="4" spans="2:20" s="688" customFormat="1" ht="15" customHeight="1">
      <c r="B4" s="1044" t="s">
        <v>299</v>
      </c>
      <c r="C4" s="1044"/>
      <c r="D4" s="1044"/>
      <c r="E4" s="1044"/>
      <c r="F4" s="1044"/>
      <c r="G4" s="1044"/>
      <c r="H4" s="1044"/>
      <c r="I4" s="1044"/>
      <c r="J4" s="1044"/>
      <c r="K4" s="1044"/>
      <c r="L4" s="1044"/>
      <c r="O4" s="519"/>
      <c r="P4" s="985"/>
      <c r="Q4" s="29"/>
      <c r="R4" s="687"/>
      <c r="S4" s="687"/>
      <c r="T4" s="687"/>
    </row>
    <row r="5" spans="2:20" s="688" customFormat="1" ht="15" customHeight="1">
      <c r="B5" s="1044"/>
      <c r="C5" s="1044"/>
      <c r="D5" s="1044"/>
      <c r="E5" s="1044"/>
      <c r="F5" s="1044"/>
      <c r="G5" s="1044"/>
      <c r="H5" s="1044"/>
      <c r="I5" s="1044"/>
      <c r="J5" s="1044"/>
      <c r="K5" s="1044"/>
      <c r="L5" s="1044"/>
      <c r="M5" s="686"/>
      <c r="N5" s="686"/>
      <c r="O5" s="519"/>
      <c r="P5" s="519"/>
      <c r="Q5" s="29"/>
      <c r="R5" s="687"/>
      <c r="S5" s="687"/>
      <c r="T5" s="687"/>
    </row>
    <row r="6" spans="2:20" s="688" customFormat="1" ht="15" customHeight="1">
      <c r="B6" s="1044"/>
      <c r="C6" s="1044"/>
      <c r="D6" s="1044"/>
      <c r="E6" s="1044"/>
      <c r="F6" s="1044"/>
      <c r="G6" s="1044"/>
      <c r="H6" s="1044"/>
      <c r="I6" s="1044"/>
      <c r="J6" s="1044"/>
      <c r="K6" s="1044"/>
      <c r="L6" s="1044"/>
      <c r="M6" s="686"/>
      <c r="N6" s="686"/>
      <c r="O6" s="30"/>
      <c r="P6" s="837" t="s">
        <v>568</v>
      </c>
      <c r="Q6" s="29"/>
      <c r="R6" s="687"/>
      <c r="S6" s="687"/>
      <c r="T6" s="687"/>
    </row>
    <row r="41" spans="2:17" s="688" customFormat="1">
      <c r="B41" s="32" t="s">
        <v>404</v>
      </c>
      <c r="C41" s="33"/>
      <c r="D41" s="34"/>
      <c r="E41" s="34"/>
      <c r="F41" s="34"/>
      <c r="G41" s="34"/>
      <c r="H41" s="34"/>
      <c r="I41" s="34"/>
      <c r="J41" s="34"/>
      <c r="K41" s="34"/>
      <c r="L41" s="685"/>
      <c r="M41" s="685"/>
      <c r="N41" s="35"/>
      <c r="O41" s="35"/>
      <c r="P41" s="35"/>
      <c r="Q41" s="35"/>
    </row>
    <row r="42" spans="2:17" s="688" customFormat="1" ht="12.75" customHeight="1">
      <c r="B42" s="1045" t="s">
        <v>0</v>
      </c>
      <c r="C42" s="1045"/>
      <c r="D42" s="1045"/>
      <c r="E42" s="1045"/>
      <c r="F42" s="1045"/>
      <c r="G42" s="1045"/>
      <c r="H42" s="1045"/>
      <c r="I42" s="1045"/>
      <c r="J42" s="1045"/>
      <c r="K42" s="1045"/>
      <c r="L42" s="1045"/>
      <c r="M42" s="1045"/>
      <c r="N42" s="566"/>
      <c r="O42" s="566"/>
      <c r="P42" s="566"/>
    </row>
    <row r="43" spans="2:17" s="688" customFormat="1">
      <c r="B43" s="1045"/>
      <c r="C43" s="1045"/>
      <c r="D43" s="1045"/>
      <c r="E43" s="1045"/>
      <c r="F43" s="1045"/>
      <c r="G43" s="1045"/>
      <c r="H43" s="1045"/>
      <c r="I43" s="1045"/>
      <c r="J43" s="1045"/>
      <c r="K43" s="1045"/>
      <c r="L43" s="1045"/>
      <c r="M43" s="1045"/>
    </row>
    <row r="44" spans="2:17" s="688" customFormat="1" ht="12.75" customHeight="1">
      <c r="B44" s="1045" t="s">
        <v>395</v>
      </c>
      <c r="C44" s="1045"/>
      <c r="D44" s="1045"/>
      <c r="E44" s="1045"/>
      <c r="F44" s="1045"/>
      <c r="G44" s="1045"/>
      <c r="H44" s="1045"/>
      <c r="I44" s="1045"/>
      <c r="J44" s="1045"/>
      <c r="K44" s="1045"/>
      <c r="L44" s="1045"/>
      <c r="M44" s="1045"/>
    </row>
    <row r="45" spans="2:17" s="784" customFormat="1" ht="15">
      <c r="B45" s="205" t="s">
        <v>756</v>
      </c>
      <c r="C45" s="203"/>
      <c r="D45" s="204"/>
      <c r="E45" s="204"/>
      <c r="F45" s="204"/>
      <c r="G45" s="204"/>
      <c r="H45" s="204"/>
      <c r="I45" s="204"/>
      <c r="J45" s="203"/>
    </row>
    <row r="46" spans="2:17">
      <c r="B46" s="1012" t="s">
        <v>811</v>
      </c>
      <c r="C46" s="1012"/>
      <c r="D46" s="1012"/>
      <c r="E46" s="1012"/>
      <c r="F46" s="1012"/>
      <c r="G46" s="1012"/>
      <c r="H46" s="1012"/>
      <c r="I46" s="1012"/>
      <c r="J46" s="1012"/>
      <c r="K46" s="1012"/>
      <c r="L46" s="1012"/>
      <c r="M46" s="1012"/>
      <c r="N46" s="1012"/>
      <c r="O46" s="1012"/>
    </row>
    <row r="47" spans="2:17">
      <c r="B47" s="1012"/>
      <c r="C47" s="1012"/>
      <c r="D47" s="1012"/>
      <c r="E47" s="1012"/>
      <c r="F47" s="1012"/>
      <c r="G47" s="1012"/>
      <c r="H47" s="1012"/>
      <c r="I47" s="1012"/>
      <c r="J47" s="1012"/>
      <c r="K47" s="1012"/>
      <c r="L47" s="1012"/>
      <c r="M47" s="1012"/>
      <c r="N47" s="1012"/>
      <c r="O47" s="1012"/>
    </row>
    <row r="48" spans="2:17">
      <c r="B48" s="1012"/>
      <c r="C48" s="1012"/>
      <c r="D48" s="1012"/>
      <c r="E48" s="1012"/>
      <c r="F48" s="1012"/>
      <c r="G48" s="1012"/>
      <c r="H48" s="1012"/>
      <c r="I48" s="1012"/>
      <c r="J48" s="1012"/>
      <c r="K48" s="1012"/>
      <c r="L48" s="1012"/>
      <c r="M48" s="1012"/>
      <c r="N48" s="1012"/>
      <c r="O48" s="1012"/>
    </row>
    <row r="49" spans="2:15">
      <c r="B49" s="1012"/>
      <c r="C49" s="1012"/>
      <c r="D49" s="1012"/>
      <c r="E49" s="1012"/>
      <c r="F49" s="1012"/>
      <c r="G49" s="1012"/>
      <c r="H49" s="1012"/>
      <c r="I49" s="1012"/>
      <c r="J49" s="1012"/>
      <c r="K49" s="1012"/>
      <c r="L49" s="1012"/>
      <c r="M49" s="1012"/>
      <c r="N49" s="1012"/>
      <c r="O49" s="1012"/>
    </row>
  </sheetData>
  <sheetProtection password="B8D9" sheet="1" objects="1" scenarios="1"/>
  <mergeCells count="8">
    <mergeCell ref="B1:N1"/>
    <mergeCell ref="P1:P4"/>
    <mergeCell ref="B2:M3"/>
    <mergeCell ref="B46:O49"/>
    <mergeCell ref="R2:T2"/>
    <mergeCell ref="B4:L6"/>
    <mergeCell ref="B42:M43"/>
    <mergeCell ref="B44:M44"/>
  </mergeCells>
  <hyperlinks>
    <hyperlink ref="P1" location="'List of Tables &amp; Charts'!A1" display="return to List of Tables &amp; Charts"/>
    <hyperlink ref="P6" location="'Chart 5 (2016) DATA'!A1" display="view Chart 5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38.xml><?xml version="1.0" encoding="utf-8"?>
<worksheet xmlns="http://schemas.openxmlformats.org/spreadsheetml/2006/main" xmlns:r="http://schemas.openxmlformats.org/officeDocument/2006/relationships">
  <sheetPr codeName="Sheet42">
    <pageSetUpPr fitToPage="1"/>
  </sheetPr>
  <dimension ref="A1:R52"/>
  <sheetViews>
    <sheetView showGridLines="0" zoomScaleNormal="100" workbookViewId="0">
      <selection sqref="A1:B1"/>
    </sheetView>
  </sheetViews>
  <sheetFormatPr defaultRowHeight="12.75"/>
  <cols>
    <col min="1" max="1" width="16.7109375" style="688" customWidth="1"/>
    <col min="2" max="2" width="45.7109375" style="688" bestFit="1" customWidth="1"/>
    <col min="3" max="3" width="6.7109375" style="685" customWidth="1"/>
    <col min="4" max="4" width="10.7109375" style="685" customWidth="1"/>
    <col min="5" max="5" width="6.7109375" style="685" customWidth="1"/>
    <col min="6" max="6" width="10.7109375" style="685" customWidth="1"/>
    <col min="7" max="7" width="6.7109375" style="685" customWidth="1"/>
    <col min="8" max="8" width="10.7109375" style="685" customWidth="1"/>
    <col min="9" max="12" width="2.7109375" style="685" customWidth="1"/>
    <col min="13" max="13" width="9.28515625" style="688" customWidth="1"/>
    <col min="14" max="14" width="11.28515625" style="688" customWidth="1"/>
    <col min="15" max="15" width="9.28515625" style="688" customWidth="1"/>
    <col min="16" max="16" width="11.28515625" style="688" customWidth="1"/>
    <col min="17" max="17" width="9.28515625" style="688" customWidth="1"/>
    <col min="18" max="18" width="11.28515625" style="688" customWidth="1"/>
    <col min="19" max="16384" width="9.140625" style="688"/>
  </cols>
  <sheetData>
    <row r="1" spans="1:18" ht="25.5" customHeight="1">
      <c r="A1" s="1038">
        <v>2016</v>
      </c>
      <c r="B1" s="1039"/>
      <c r="C1" s="1062" t="s">
        <v>42</v>
      </c>
      <c r="D1" s="1063"/>
      <c r="E1" s="1063"/>
      <c r="F1" s="1063"/>
      <c r="G1" s="1063"/>
      <c r="H1" s="1064"/>
      <c r="I1" s="36"/>
      <c r="J1" s="37"/>
      <c r="K1" s="553" t="s">
        <v>46</v>
      </c>
      <c r="L1" s="539" t="s">
        <v>47</v>
      </c>
      <c r="M1" s="1018" t="s">
        <v>48</v>
      </c>
      <c r="N1" s="1018"/>
      <c r="O1" s="1018" t="s">
        <v>49</v>
      </c>
      <c r="P1" s="1018"/>
      <c r="Q1" s="1018" t="s">
        <v>50</v>
      </c>
      <c r="R1" s="1018"/>
    </row>
    <row r="2" spans="1:18" ht="45" customHeight="1">
      <c r="A2" s="38" t="s">
        <v>24</v>
      </c>
      <c r="B2" s="39" t="s">
        <v>25</v>
      </c>
      <c r="C2" s="40" t="s">
        <v>51</v>
      </c>
      <c r="D2" s="40" t="s">
        <v>52</v>
      </c>
      <c r="E2" s="40" t="s">
        <v>53</v>
      </c>
      <c r="F2" s="40" t="s">
        <v>52</v>
      </c>
      <c r="G2" s="40" t="s">
        <v>54</v>
      </c>
      <c r="H2" s="40" t="s">
        <v>52</v>
      </c>
      <c r="I2" s="41" t="s">
        <v>55</v>
      </c>
      <c r="J2" s="42" t="s">
        <v>56</v>
      </c>
      <c r="K2" s="552"/>
      <c r="L2" s="537" t="s">
        <v>274</v>
      </c>
      <c r="M2" s="43" t="s">
        <v>26</v>
      </c>
      <c r="N2" s="43" t="s">
        <v>27</v>
      </c>
      <c r="O2" s="43" t="s">
        <v>26</v>
      </c>
      <c r="P2" s="43" t="s">
        <v>27</v>
      </c>
      <c r="Q2" s="43" t="s">
        <v>26</v>
      </c>
      <c r="R2" s="43" t="s">
        <v>27</v>
      </c>
    </row>
    <row r="3" spans="1:18">
      <c r="A3" s="45" t="s">
        <v>134</v>
      </c>
      <c r="B3" s="45" t="s">
        <v>134</v>
      </c>
      <c r="C3" s="46">
        <f t="shared" ref="C3:C31" si="0">IF(ISERR(M3/N3*100),"",M3/N3*100)</f>
        <v>54.532419945834</v>
      </c>
      <c r="D3" s="46" t="str">
        <f t="shared" ref="D3:D31" si="1">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53 - 56</v>
      </c>
      <c r="E3" s="46">
        <f t="shared" ref="E3:E31" si="2">IF(ISERR((M3+O3)/P3*100),"",(M3+O3)/P3*100)</f>
        <v>90.457224788911901</v>
      </c>
      <c r="F3" s="46" t="str">
        <f t="shared" ref="F3:F31" si="3">IF(AND(AND(P3&gt;0,SUM(M3+O3)&gt;0),ROUND(SUM(100*((2*(M3+O3)+1.96^2)-(1.96*(SQRT(1.96^2+4*(M3+O3)*(1-((M3+O3)/P3))))))/(2*(P3+1.96^2))),0)&lt;0),CONCATENATE(SUM(1*0)," - ",ROUND(SUM(100*((2*(M3+O3)+1.96^2)+(1.96*(SQRT(1.96^2+4*(M3+O3)*(1-((M3+O3)/P3))))))/(2*(P3+1.96^2))),0)),IF(AND(AND(P3&gt;0,SUM(M3+O3)&gt;0),ROUND(SUM(100*((2*(M3+O3)+1.96^2)-(1.96*(SQRT(1.96^2+4*(M3+O3)*(1-((M3+O3)/P3))))))/(2*(P3+1.96^2))),0)&gt;=0),CONCATENATE(ROUND(SUM(100*((2*(M3+O3)+1.96^2)-(1.96*(SQRT(1.96^2+4*(M3+O3)*(1-((M3+O3)/P3))))))/(2*(P3+1.96^2))),0)," - ",ROUND(SUM(100*((2*(M3+O3)+1.96^2)+(1.96*(SQRT(1.96^2+4*(M3+O3)*(1-((M3+O3)/P3))))))/(2*(P3+1.96^2))),0)),""))</f>
        <v>90 - 91</v>
      </c>
      <c r="G3" s="46">
        <f t="shared" ref="G3:G31" si="4">IF(ISERR((M3+O3+Q3)/R3*100),"",(M3+O3+Q3)/R3*100)</f>
        <v>94.360363230842765</v>
      </c>
      <c r="H3" s="46" t="str">
        <f t="shared" ref="H3:H31" si="5">IF(AND(AND(R3&gt;0,SUM(M3+O3+Q3)&gt;0),ROUND(SUM(100*((2*(M3+O3+Q3)+1.96^2)-(1.96*(SQRT(1.96^2+4*(M3+O3+Q3)*(1-((M3+O3+Q3)/R3))))))/(2*(R3+1.96^2))),0)&lt;0),CONCATENATE(SUM(1*0)," - ",ROUND(SUM(100*((2*(M3+O3+Q3)+1.96^2)+(1.96*(SQRT(1.96^2+4*(M3+O3+Q3)*(1-((M3+O3+Q3)/R3))))))/(2*(R3+1.96^2))),0)),IF(AND(AND(R3&gt;0,SUM(M3+O3+Q3)&gt;0),ROUND(SUM(100*((2*(M3+O3+Q3)+1.96^2)-(1.96*(SQRT(1.96^2+4*(M3+O3+Q3)*(1-((M3+O3+Q3)/R3))))))/(2*(R3+1.96^2))),0)&gt;=0),CONCATENATE(ROUND(SUM(100*((2*(M3+O3+Q3)+1.96^2)-(1.96*(SQRT(1.96^2+4*(M3+O3+Q3)*(1-((M3+O3+Q3)/R3))))))/(2*(R3+1.96^2))),0)," - ",ROUND(SUM(100*((2*(M3+O3+Q3)+1.96^2)+(1.96*(SQRT(1.96^2+4*(M3+O3+Q3)*(1-((M3+O3+Q3)/R3))))))/(2*(R3+1.96^2))),0)),""))</f>
        <v>94 - 95</v>
      </c>
      <c r="I3" s="551">
        <f t="shared" ref="I3:I31" si="6">E3-C3</f>
        <v>35.924804843077901</v>
      </c>
      <c r="J3" s="534">
        <f t="shared" ref="J3:J31" si="7">G3-E3</f>
        <v>3.9031384419308637</v>
      </c>
      <c r="K3" s="550">
        <v>60</v>
      </c>
      <c r="L3" s="549">
        <v>95</v>
      </c>
      <c r="M3" s="405">
        <f t="shared" ref="M3:R3" si="8">SUM(M4:M31)</f>
        <v>3423</v>
      </c>
      <c r="N3" s="405">
        <f t="shared" si="8"/>
        <v>6277</v>
      </c>
      <c r="O3" s="405">
        <f t="shared" si="8"/>
        <v>2255</v>
      </c>
      <c r="P3" s="405">
        <f t="shared" si="8"/>
        <v>6277</v>
      </c>
      <c r="Q3" s="405">
        <f t="shared" si="8"/>
        <v>245</v>
      </c>
      <c r="R3" s="405">
        <f t="shared" si="8"/>
        <v>6277</v>
      </c>
    </row>
    <row r="4" spans="1:18">
      <c r="A4" s="45" t="s">
        <v>28</v>
      </c>
      <c r="B4" s="45" t="s">
        <v>63</v>
      </c>
      <c r="C4" s="46">
        <f t="shared" si="0"/>
        <v>67.333333333333329</v>
      </c>
      <c r="D4" s="46" t="str">
        <f t="shared" si="1"/>
        <v>59 - 74</v>
      </c>
      <c r="E4" s="46">
        <f t="shared" si="2"/>
        <v>100</v>
      </c>
      <c r="F4" s="46" t="str">
        <f t="shared" si="3"/>
        <v>98 - 100</v>
      </c>
      <c r="G4" s="46">
        <f t="shared" si="4"/>
        <v>100</v>
      </c>
      <c r="H4" s="46" t="str">
        <f t="shared" si="5"/>
        <v>98 - 100</v>
      </c>
      <c r="I4" s="548">
        <f t="shared" si="6"/>
        <v>32.666666666666671</v>
      </c>
      <c r="J4" s="547">
        <f t="shared" si="7"/>
        <v>0</v>
      </c>
      <c r="K4" s="546">
        <v>60</v>
      </c>
      <c r="L4" s="545">
        <v>95</v>
      </c>
      <c r="M4" s="405">
        <v>101</v>
      </c>
      <c r="N4" s="405">
        <v>150</v>
      </c>
      <c r="O4" s="405">
        <v>49</v>
      </c>
      <c r="P4" s="405">
        <v>150</v>
      </c>
      <c r="Q4" s="405">
        <v>0</v>
      </c>
      <c r="R4" s="405">
        <v>150</v>
      </c>
    </row>
    <row r="5" spans="1:18">
      <c r="A5" s="45" t="s">
        <v>82</v>
      </c>
      <c r="B5" s="45" t="s">
        <v>83</v>
      </c>
      <c r="C5" s="46">
        <f t="shared" si="0"/>
        <v>56.80473372781065</v>
      </c>
      <c r="D5" s="46" t="str">
        <f t="shared" si="1"/>
        <v>49 - 64</v>
      </c>
      <c r="E5" s="46">
        <f t="shared" si="2"/>
        <v>94.082840236686394</v>
      </c>
      <c r="F5" s="46" t="str">
        <f t="shared" si="3"/>
        <v>89 - 97</v>
      </c>
      <c r="G5" s="46">
        <f t="shared" si="4"/>
        <v>97.633136094674555</v>
      </c>
      <c r="H5" s="46" t="str">
        <f t="shared" si="5"/>
        <v>94 - 99</v>
      </c>
      <c r="I5" s="548">
        <f t="shared" si="6"/>
        <v>37.278106508875744</v>
      </c>
      <c r="J5" s="547">
        <f t="shared" si="7"/>
        <v>3.5502958579881607</v>
      </c>
      <c r="K5" s="546">
        <v>60</v>
      </c>
      <c r="L5" s="545">
        <v>95</v>
      </c>
      <c r="M5" s="405">
        <v>96</v>
      </c>
      <c r="N5" s="405">
        <v>169</v>
      </c>
      <c r="O5" s="405">
        <v>63</v>
      </c>
      <c r="P5" s="405">
        <v>169</v>
      </c>
      <c r="Q5" s="405">
        <v>6</v>
      </c>
      <c r="R5" s="405">
        <v>169</v>
      </c>
    </row>
    <row r="6" spans="1:18">
      <c r="A6" s="45" t="s">
        <v>107</v>
      </c>
      <c r="B6" s="45" t="s">
        <v>106</v>
      </c>
      <c r="C6" s="46">
        <f t="shared" si="0"/>
        <v>50.751879699248128</v>
      </c>
      <c r="D6" s="46" t="str">
        <f t="shared" si="1"/>
        <v>45 - 57</v>
      </c>
      <c r="E6" s="46">
        <f t="shared" si="2"/>
        <v>94.360902255639104</v>
      </c>
      <c r="F6" s="46" t="str">
        <f t="shared" si="3"/>
        <v>91 - 97</v>
      </c>
      <c r="G6" s="46">
        <f t="shared" si="4"/>
        <v>97.368421052631575</v>
      </c>
      <c r="H6" s="46" t="str">
        <f t="shared" si="5"/>
        <v>95 - 99</v>
      </c>
      <c r="I6" s="548">
        <f t="shared" si="6"/>
        <v>43.609022556390975</v>
      </c>
      <c r="J6" s="547">
        <f t="shared" si="7"/>
        <v>3.0075187969924713</v>
      </c>
      <c r="K6" s="546">
        <v>60</v>
      </c>
      <c r="L6" s="545">
        <v>95</v>
      </c>
      <c r="M6" s="405">
        <v>135</v>
      </c>
      <c r="N6" s="405">
        <v>266</v>
      </c>
      <c r="O6" s="405">
        <v>116</v>
      </c>
      <c r="P6" s="405">
        <v>266</v>
      </c>
      <c r="Q6" s="405">
        <v>8</v>
      </c>
      <c r="R6" s="405">
        <v>266</v>
      </c>
    </row>
    <row r="7" spans="1:18">
      <c r="A7" s="45" t="s">
        <v>95</v>
      </c>
      <c r="B7" s="45" t="s">
        <v>96</v>
      </c>
      <c r="C7" s="46">
        <f t="shared" si="0"/>
        <v>46.875</v>
      </c>
      <c r="D7" s="46" t="str">
        <f t="shared" si="1"/>
        <v>31 - 64</v>
      </c>
      <c r="E7" s="46">
        <f t="shared" si="2"/>
        <v>87.5</v>
      </c>
      <c r="F7" s="46" t="str">
        <f t="shared" si="3"/>
        <v>72 - 95</v>
      </c>
      <c r="G7" s="46">
        <f t="shared" si="4"/>
        <v>96.875</v>
      </c>
      <c r="H7" s="46" t="str">
        <f t="shared" si="5"/>
        <v>84 - 99</v>
      </c>
      <c r="I7" s="548">
        <f t="shared" si="6"/>
        <v>40.625</v>
      </c>
      <c r="J7" s="547">
        <f t="shared" si="7"/>
        <v>9.375</v>
      </c>
      <c r="K7" s="546">
        <v>60</v>
      </c>
      <c r="L7" s="545">
        <v>95</v>
      </c>
      <c r="M7" s="405">
        <v>15</v>
      </c>
      <c r="N7" s="405">
        <v>32</v>
      </c>
      <c r="O7" s="405">
        <v>13</v>
      </c>
      <c r="P7" s="405">
        <v>32</v>
      </c>
      <c r="Q7" s="405">
        <v>3</v>
      </c>
      <c r="R7" s="405">
        <v>32</v>
      </c>
    </row>
    <row r="8" spans="1:18">
      <c r="A8" s="45" t="s">
        <v>184</v>
      </c>
      <c r="B8" s="45" t="s">
        <v>80</v>
      </c>
      <c r="C8" s="46">
        <f t="shared" si="0"/>
        <v>61.111111111111114</v>
      </c>
      <c r="D8" s="46" t="str">
        <f t="shared" si="1"/>
        <v>57 - 65</v>
      </c>
      <c r="E8" s="46">
        <f t="shared" si="2"/>
        <v>93.415637860082299</v>
      </c>
      <c r="F8" s="46" t="str">
        <f t="shared" si="3"/>
        <v>91 - 95</v>
      </c>
      <c r="G8" s="46">
        <f t="shared" si="4"/>
        <v>96.707818930041157</v>
      </c>
      <c r="H8" s="46" t="str">
        <f t="shared" si="5"/>
        <v>95 - 98</v>
      </c>
      <c r="I8" s="548">
        <f t="shared" si="6"/>
        <v>32.304526748971185</v>
      </c>
      <c r="J8" s="547">
        <f t="shared" si="7"/>
        <v>3.2921810699588576</v>
      </c>
      <c r="K8" s="546">
        <v>60</v>
      </c>
      <c r="L8" s="545">
        <v>95</v>
      </c>
      <c r="M8" s="405">
        <v>297</v>
      </c>
      <c r="N8" s="405">
        <v>486</v>
      </c>
      <c r="O8" s="405">
        <v>157</v>
      </c>
      <c r="P8" s="405">
        <v>486</v>
      </c>
      <c r="Q8" s="405">
        <v>16</v>
      </c>
      <c r="R8" s="405">
        <v>486</v>
      </c>
    </row>
    <row r="9" spans="1:18">
      <c r="A9" s="45" t="s">
        <v>459</v>
      </c>
      <c r="B9" s="45" t="s">
        <v>460</v>
      </c>
      <c r="C9" s="46">
        <f t="shared" si="0"/>
        <v>61.561561561561561</v>
      </c>
      <c r="D9" s="46" t="str">
        <f t="shared" si="1"/>
        <v>58 - 65</v>
      </c>
      <c r="E9" s="46">
        <f t="shared" si="2"/>
        <v>91.441441441441441</v>
      </c>
      <c r="F9" s="46" t="str">
        <f t="shared" si="3"/>
        <v>89 - 93</v>
      </c>
      <c r="G9" s="46">
        <f t="shared" si="4"/>
        <v>95.945945945945937</v>
      </c>
      <c r="H9" s="46" t="str">
        <f t="shared" si="5"/>
        <v>94 - 97</v>
      </c>
      <c r="I9" s="548">
        <f t="shared" si="6"/>
        <v>29.87987987987988</v>
      </c>
      <c r="J9" s="547">
        <f t="shared" si="7"/>
        <v>4.5045045045044958</v>
      </c>
      <c r="K9" s="546">
        <v>60</v>
      </c>
      <c r="L9" s="545">
        <v>95</v>
      </c>
      <c r="M9" s="405">
        <v>410</v>
      </c>
      <c r="N9" s="405">
        <v>666</v>
      </c>
      <c r="O9" s="405">
        <v>199</v>
      </c>
      <c r="P9" s="405">
        <v>666</v>
      </c>
      <c r="Q9" s="405">
        <v>30</v>
      </c>
      <c r="R9" s="405">
        <v>666</v>
      </c>
    </row>
    <row r="10" spans="1:18">
      <c r="A10" s="45" t="s">
        <v>98</v>
      </c>
      <c r="B10" s="45" t="s">
        <v>99</v>
      </c>
      <c r="C10" s="46">
        <f t="shared" si="0"/>
        <v>63.101604278074866</v>
      </c>
      <c r="D10" s="46" t="str">
        <f t="shared" si="1"/>
        <v>56 - 70</v>
      </c>
      <c r="E10" s="46">
        <f t="shared" si="2"/>
        <v>93.582887700534755</v>
      </c>
      <c r="F10" s="46" t="str">
        <f t="shared" si="3"/>
        <v>89 - 96</v>
      </c>
      <c r="G10" s="46">
        <f t="shared" si="4"/>
        <v>95.721925133689851</v>
      </c>
      <c r="H10" s="46" t="str">
        <f t="shared" si="5"/>
        <v>92 - 98</v>
      </c>
      <c r="I10" s="548">
        <f t="shared" si="6"/>
        <v>30.481283422459889</v>
      </c>
      <c r="J10" s="547">
        <f t="shared" si="7"/>
        <v>2.1390374331550959</v>
      </c>
      <c r="K10" s="546">
        <v>60</v>
      </c>
      <c r="L10" s="545">
        <v>95</v>
      </c>
      <c r="M10" s="405">
        <v>118</v>
      </c>
      <c r="N10" s="405">
        <v>187</v>
      </c>
      <c r="O10" s="405">
        <v>57</v>
      </c>
      <c r="P10" s="405">
        <v>187</v>
      </c>
      <c r="Q10" s="405">
        <v>4</v>
      </c>
      <c r="R10" s="405">
        <v>187</v>
      </c>
    </row>
    <row r="11" spans="1:18">
      <c r="A11" s="45" t="s">
        <v>65</v>
      </c>
      <c r="B11" s="45" t="s">
        <v>66</v>
      </c>
      <c r="C11" s="46">
        <f t="shared" si="0"/>
        <v>44.827586206896555</v>
      </c>
      <c r="D11" s="46" t="str">
        <f t="shared" si="1"/>
        <v>36 - 54</v>
      </c>
      <c r="E11" s="46">
        <f t="shared" si="2"/>
        <v>91.379310344827587</v>
      </c>
      <c r="F11" s="46" t="str">
        <f t="shared" si="3"/>
        <v>85 - 95</v>
      </c>
      <c r="G11" s="46">
        <f t="shared" si="4"/>
        <v>95.689655172413794</v>
      </c>
      <c r="H11" s="46" t="str">
        <f t="shared" si="5"/>
        <v>90 - 98</v>
      </c>
      <c r="I11" s="548">
        <f t="shared" si="6"/>
        <v>46.551724137931032</v>
      </c>
      <c r="J11" s="547">
        <f t="shared" si="7"/>
        <v>4.3103448275862064</v>
      </c>
      <c r="K11" s="546">
        <v>60</v>
      </c>
      <c r="L11" s="545">
        <v>95</v>
      </c>
      <c r="M11" s="405">
        <v>52</v>
      </c>
      <c r="N11" s="405">
        <v>116</v>
      </c>
      <c r="O11" s="405">
        <v>54</v>
      </c>
      <c r="P11" s="405">
        <v>116</v>
      </c>
      <c r="Q11" s="405">
        <v>5</v>
      </c>
      <c r="R11" s="405">
        <v>116</v>
      </c>
    </row>
    <row r="12" spans="1:18">
      <c r="A12" s="45" t="s">
        <v>101</v>
      </c>
      <c r="B12" s="45" t="s">
        <v>102</v>
      </c>
      <c r="C12" s="46">
        <f t="shared" si="0"/>
        <v>53.36322869955157</v>
      </c>
      <c r="D12" s="46" t="str">
        <f t="shared" si="1"/>
        <v>47 - 60</v>
      </c>
      <c r="E12" s="46">
        <f t="shared" si="2"/>
        <v>92.825112107623326</v>
      </c>
      <c r="F12" s="46" t="str">
        <f t="shared" si="3"/>
        <v>89 - 96</v>
      </c>
      <c r="G12" s="46">
        <f t="shared" si="4"/>
        <v>95.515695067264573</v>
      </c>
      <c r="H12" s="46" t="str">
        <f t="shared" si="5"/>
        <v>92 - 98</v>
      </c>
      <c r="I12" s="548">
        <f t="shared" si="6"/>
        <v>39.461883408071756</v>
      </c>
      <c r="J12" s="547">
        <f t="shared" si="7"/>
        <v>2.6905829596412474</v>
      </c>
      <c r="K12" s="546">
        <v>60</v>
      </c>
      <c r="L12" s="545">
        <v>95</v>
      </c>
      <c r="M12" s="405">
        <v>119</v>
      </c>
      <c r="N12" s="405">
        <v>223</v>
      </c>
      <c r="O12" s="405">
        <v>88</v>
      </c>
      <c r="P12" s="405">
        <v>223</v>
      </c>
      <c r="Q12" s="405">
        <v>6</v>
      </c>
      <c r="R12" s="405">
        <v>223</v>
      </c>
    </row>
    <row r="13" spans="1:18">
      <c r="A13" s="45" t="s">
        <v>60</v>
      </c>
      <c r="B13" s="45" t="s">
        <v>61</v>
      </c>
      <c r="C13" s="46">
        <f t="shared" si="0"/>
        <v>34.188034188034187</v>
      </c>
      <c r="D13" s="46" t="str">
        <f t="shared" si="1"/>
        <v>30 - 38</v>
      </c>
      <c r="E13" s="46">
        <f t="shared" si="2"/>
        <v>90.598290598290603</v>
      </c>
      <c r="F13" s="46" t="str">
        <f t="shared" si="3"/>
        <v>88 - 93</v>
      </c>
      <c r="G13" s="46">
        <f t="shared" si="4"/>
        <v>95.213675213675202</v>
      </c>
      <c r="H13" s="46" t="str">
        <f t="shared" si="5"/>
        <v>93 - 97</v>
      </c>
      <c r="I13" s="548">
        <f t="shared" si="6"/>
        <v>56.410256410256416</v>
      </c>
      <c r="J13" s="547">
        <f t="shared" si="7"/>
        <v>4.615384615384599</v>
      </c>
      <c r="K13" s="546">
        <v>60</v>
      </c>
      <c r="L13" s="545">
        <v>95</v>
      </c>
      <c r="M13" s="405">
        <v>200</v>
      </c>
      <c r="N13" s="405">
        <v>585</v>
      </c>
      <c r="O13" s="405">
        <v>330</v>
      </c>
      <c r="P13" s="405">
        <v>585</v>
      </c>
      <c r="Q13" s="405">
        <v>27</v>
      </c>
      <c r="R13" s="405">
        <v>585</v>
      </c>
    </row>
    <row r="14" spans="1:18">
      <c r="A14" s="45" t="s">
        <v>77</v>
      </c>
      <c r="B14" s="45" t="s">
        <v>78</v>
      </c>
      <c r="C14" s="46">
        <f t="shared" si="0"/>
        <v>73.417721518987349</v>
      </c>
      <c r="D14" s="46" t="str">
        <f t="shared" si="1"/>
        <v>63 - 82</v>
      </c>
      <c r="E14" s="46">
        <f t="shared" si="2"/>
        <v>89.87341772151899</v>
      </c>
      <c r="F14" s="46" t="str">
        <f t="shared" si="3"/>
        <v>81 - 95</v>
      </c>
      <c r="G14" s="46">
        <f t="shared" si="4"/>
        <v>94.936708860759495</v>
      </c>
      <c r="H14" s="46" t="str">
        <f t="shared" si="5"/>
        <v>88 - 98</v>
      </c>
      <c r="I14" s="548">
        <f t="shared" si="6"/>
        <v>16.455696202531641</v>
      </c>
      <c r="J14" s="547">
        <f t="shared" si="7"/>
        <v>5.0632911392405049</v>
      </c>
      <c r="K14" s="546">
        <v>60</v>
      </c>
      <c r="L14" s="545">
        <v>95</v>
      </c>
      <c r="M14" s="405">
        <v>58</v>
      </c>
      <c r="N14" s="405">
        <v>79</v>
      </c>
      <c r="O14" s="405">
        <v>13</v>
      </c>
      <c r="P14" s="405">
        <v>79</v>
      </c>
      <c r="Q14" s="405">
        <v>4</v>
      </c>
      <c r="R14" s="405">
        <v>79</v>
      </c>
    </row>
    <row r="15" spans="1:18">
      <c r="A15" s="45" t="s">
        <v>183</v>
      </c>
      <c r="B15" s="45" t="s">
        <v>73</v>
      </c>
      <c r="C15" s="46">
        <f t="shared" si="0"/>
        <v>46.954314720812185</v>
      </c>
      <c r="D15" s="46" t="str">
        <f t="shared" si="1"/>
        <v>42 - 52</v>
      </c>
      <c r="E15" s="46">
        <f t="shared" si="2"/>
        <v>90.862944162436548</v>
      </c>
      <c r="F15" s="46" t="str">
        <f t="shared" si="3"/>
        <v>88 - 93</v>
      </c>
      <c r="G15" s="46">
        <f t="shared" si="4"/>
        <v>94.923857868020306</v>
      </c>
      <c r="H15" s="46" t="str">
        <f t="shared" si="5"/>
        <v>92 - 97</v>
      </c>
      <c r="I15" s="548">
        <f t="shared" si="6"/>
        <v>43.908629441624363</v>
      </c>
      <c r="J15" s="547">
        <f t="shared" si="7"/>
        <v>4.0609137055837579</v>
      </c>
      <c r="K15" s="546">
        <v>60</v>
      </c>
      <c r="L15" s="545">
        <v>95</v>
      </c>
      <c r="M15" s="405">
        <v>185</v>
      </c>
      <c r="N15" s="405">
        <v>394</v>
      </c>
      <c r="O15" s="405">
        <v>173</v>
      </c>
      <c r="P15" s="405">
        <v>394</v>
      </c>
      <c r="Q15" s="405">
        <v>16</v>
      </c>
      <c r="R15" s="405">
        <v>394</v>
      </c>
    </row>
    <row r="16" spans="1:18">
      <c r="A16" s="45" t="s">
        <v>127</v>
      </c>
      <c r="B16" s="45" t="s">
        <v>128</v>
      </c>
      <c r="C16" s="46">
        <f t="shared" si="0"/>
        <v>52.631578947368418</v>
      </c>
      <c r="D16" s="46" t="str">
        <f t="shared" si="1"/>
        <v>45 - 60</v>
      </c>
      <c r="E16" s="46">
        <f t="shared" si="2"/>
        <v>90.131578947368425</v>
      </c>
      <c r="F16" s="46" t="str">
        <f t="shared" si="3"/>
        <v>84 - 94</v>
      </c>
      <c r="G16" s="46">
        <f t="shared" si="4"/>
        <v>94.73684210526315</v>
      </c>
      <c r="H16" s="46" t="str">
        <f t="shared" si="5"/>
        <v>90 - 97</v>
      </c>
      <c r="I16" s="548">
        <f t="shared" si="6"/>
        <v>37.500000000000007</v>
      </c>
      <c r="J16" s="547">
        <f t="shared" si="7"/>
        <v>4.6052631578947256</v>
      </c>
      <c r="K16" s="546">
        <v>60</v>
      </c>
      <c r="L16" s="545">
        <v>95</v>
      </c>
      <c r="M16" s="405">
        <v>80</v>
      </c>
      <c r="N16" s="405">
        <v>152</v>
      </c>
      <c r="O16" s="405">
        <v>57</v>
      </c>
      <c r="P16" s="405">
        <v>152</v>
      </c>
      <c r="Q16" s="405">
        <v>7</v>
      </c>
      <c r="R16" s="405">
        <v>152</v>
      </c>
    </row>
    <row r="17" spans="1:18">
      <c r="A17" s="45" t="s">
        <v>104</v>
      </c>
      <c r="B17" s="45" t="s">
        <v>105</v>
      </c>
      <c r="C17" s="46">
        <f t="shared" si="0"/>
        <v>36.036036036036037</v>
      </c>
      <c r="D17" s="46" t="str">
        <f t="shared" si="1"/>
        <v>30 - 43</v>
      </c>
      <c r="E17" s="46">
        <f t="shared" si="2"/>
        <v>89.189189189189193</v>
      </c>
      <c r="F17" s="46" t="str">
        <f t="shared" si="3"/>
        <v>84 - 93</v>
      </c>
      <c r="G17" s="46">
        <f t="shared" si="4"/>
        <v>94.594594594594597</v>
      </c>
      <c r="H17" s="46" t="str">
        <f t="shared" si="5"/>
        <v>91 - 97</v>
      </c>
      <c r="I17" s="548">
        <f t="shared" si="6"/>
        <v>53.153153153153156</v>
      </c>
      <c r="J17" s="547">
        <f t="shared" si="7"/>
        <v>5.4054054054054035</v>
      </c>
      <c r="K17" s="546">
        <v>60</v>
      </c>
      <c r="L17" s="545">
        <v>95</v>
      </c>
      <c r="M17" s="405">
        <v>80</v>
      </c>
      <c r="N17" s="405">
        <v>222</v>
      </c>
      <c r="O17" s="405">
        <v>118</v>
      </c>
      <c r="P17" s="405">
        <v>222</v>
      </c>
      <c r="Q17" s="405">
        <v>12</v>
      </c>
      <c r="R17" s="405">
        <v>222</v>
      </c>
    </row>
    <row r="18" spans="1:18">
      <c r="A18" s="45" t="s">
        <v>185</v>
      </c>
      <c r="B18" s="45" t="s">
        <v>85</v>
      </c>
      <c r="C18" s="46">
        <f t="shared" si="0"/>
        <v>51.702786377708975</v>
      </c>
      <c r="D18" s="46" t="str">
        <f t="shared" si="1"/>
        <v>46 - 57</v>
      </c>
      <c r="E18" s="46">
        <f t="shared" si="2"/>
        <v>87.306501547987608</v>
      </c>
      <c r="F18" s="46" t="str">
        <f t="shared" si="3"/>
        <v>83 - 91</v>
      </c>
      <c r="G18" s="46">
        <f t="shared" si="4"/>
        <v>94.117647058823522</v>
      </c>
      <c r="H18" s="46" t="str">
        <f t="shared" si="5"/>
        <v>91 - 96</v>
      </c>
      <c r="I18" s="548">
        <f t="shared" si="6"/>
        <v>35.603715170278633</v>
      </c>
      <c r="J18" s="547">
        <f t="shared" si="7"/>
        <v>6.8111455108359138</v>
      </c>
      <c r="K18" s="546">
        <v>60</v>
      </c>
      <c r="L18" s="545">
        <v>95</v>
      </c>
      <c r="M18" s="405">
        <v>167</v>
      </c>
      <c r="N18" s="405">
        <v>323</v>
      </c>
      <c r="O18" s="405">
        <v>115</v>
      </c>
      <c r="P18" s="405">
        <v>323</v>
      </c>
      <c r="Q18" s="405">
        <v>22</v>
      </c>
      <c r="R18" s="405">
        <v>323</v>
      </c>
    </row>
    <row r="19" spans="1:18">
      <c r="A19" s="45" t="s">
        <v>89</v>
      </c>
      <c r="B19" s="45" t="s">
        <v>90</v>
      </c>
      <c r="C19" s="46">
        <f t="shared" si="0"/>
        <v>52.941176470588239</v>
      </c>
      <c r="D19" s="46" t="str">
        <f t="shared" si="1"/>
        <v>31 - 74</v>
      </c>
      <c r="E19" s="46">
        <f t="shared" si="2"/>
        <v>94.117647058823522</v>
      </c>
      <c r="F19" s="46" t="str">
        <f t="shared" si="3"/>
        <v>73 - 99</v>
      </c>
      <c r="G19" s="46">
        <f t="shared" si="4"/>
        <v>94.117647058823522</v>
      </c>
      <c r="H19" s="46" t="str">
        <f t="shared" si="5"/>
        <v>73 - 99</v>
      </c>
      <c r="I19" s="548">
        <f t="shared" si="6"/>
        <v>41.176470588235283</v>
      </c>
      <c r="J19" s="547">
        <f t="shared" si="7"/>
        <v>0</v>
      </c>
      <c r="K19" s="546">
        <v>60</v>
      </c>
      <c r="L19" s="545">
        <v>95</v>
      </c>
      <c r="M19" s="405">
        <v>9</v>
      </c>
      <c r="N19" s="405">
        <v>17</v>
      </c>
      <c r="O19" s="405">
        <v>7</v>
      </c>
      <c r="P19" s="405">
        <v>17</v>
      </c>
      <c r="Q19" s="405">
        <v>0</v>
      </c>
      <c r="R19" s="405">
        <v>17</v>
      </c>
    </row>
    <row r="20" spans="1:18">
      <c r="A20" s="45" t="s">
        <v>174</v>
      </c>
      <c r="B20" s="45" t="s">
        <v>71</v>
      </c>
      <c r="C20" s="46">
        <f t="shared" si="0"/>
        <v>60.300429184549351</v>
      </c>
      <c r="D20" s="46" t="str">
        <f t="shared" si="1"/>
        <v>56 - 65</v>
      </c>
      <c r="E20" s="46">
        <f t="shared" si="2"/>
        <v>91.416309012875544</v>
      </c>
      <c r="F20" s="46" t="str">
        <f t="shared" si="3"/>
        <v>89 - 94</v>
      </c>
      <c r="G20" s="46">
        <f t="shared" si="4"/>
        <v>93.991416309012877</v>
      </c>
      <c r="H20" s="46" t="str">
        <f t="shared" si="5"/>
        <v>91 - 96</v>
      </c>
      <c r="I20" s="548">
        <f t="shared" si="6"/>
        <v>31.115879828326193</v>
      </c>
      <c r="J20" s="547">
        <f t="shared" si="7"/>
        <v>2.5751072961373325</v>
      </c>
      <c r="K20" s="546">
        <v>60</v>
      </c>
      <c r="L20" s="545">
        <v>95</v>
      </c>
      <c r="M20" s="405">
        <v>281</v>
      </c>
      <c r="N20" s="405">
        <v>466</v>
      </c>
      <c r="O20" s="405">
        <v>145</v>
      </c>
      <c r="P20" s="405">
        <v>466</v>
      </c>
      <c r="Q20" s="405">
        <v>12</v>
      </c>
      <c r="R20" s="405">
        <v>466</v>
      </c>
    </row>
    <row r="21" spans="1:18">
      <c r="A21" s="45" t="s">
        <v>112</v>
      </c>
      <c r="B21" s="45" t="s">
        <v>113</v>
      </c>
      <c r="C21" s="46">
        <f t="shared" si="0"/>
        <v>63.687150837988824</v>
      </c>
      <c r="D21" s="46" t="str">
        <f t="shared" si="1"/>
        <v>56 - 70</v>
      </c>
      <c r="E21" s="46">
        <f t="shared" si="2"/>
        <v>91.061452513966472</v>
      </c>
      <c r="F21" s="46" t="str">
        <f t="shared" si="3"/>
        <v>86 - 94</v>
      </c>
      <c r="G21" s="46">
        <f t="shared" si="4"/>
        <v>93.85474860335195</v>
      </c>
      <c r="H21" s="46" t="str">
        <f t="shared" si="5"/>
        <v>89 - 97</v>
      </c>
      <c r="I21" s="548">
        <f t="shared" si="6"/>
        <v>27.374301675977648</v>
      </c>
      <c r="J21" s="547">
        <f t="shared" si="7"/>
        <v>2.7932960893854784</v>
      </c>
      <c r="K21" s="546">
        <v>60</v>
      </c>
      <c r="L21" s="545">
        <v>95</v>
      </c>
      <c r="M21" s="405">
        <v>114</v>
      </c>
      <c r="N21" s="405">
        <v>179</v>
      </c>
      <c r="O21" s="405">
        <v>49</v>
      </c>
      <c r="P21" s="405">
        <v>179</v>
      </c>
      <c r="Q21" s="405">
        <v>5</v>
      </c>
      <c r="R21" s="405">
        <v>179</v>
      </c>
    </row>
    <row r="22" spans="1:18">
      <c r="A22" s="45" t="s">
        <v>121</v>
      </c>
      <c r="B22" s="45" t="s">
        <v>122</v>
      </c>
      <c r="C22" s="46">
        <f t="shared" si="0"/>
        <v>68.75</v>
      </c>
      <c r="D22" s="46" t="str">
        <f t="shared" si="1"/>
        <v>51 - 82</v>
      </c>
      <c r="E22" s="46">
        <f t="shared" si="2"/>
        <v>93.75</v>
      </c>
      <c r="F22" s="46" t="str">
        <f t="shared" si="3"/>
        <v>80 - 98</v>
      </c>
      <c r="G22" s="46">
        <f t="shared" si="4"/>
        <v>93.75</v>
      </c>
      <c r="H22" s="46" t="str">
        <f t="shared" si="5"/>
        <v>80 - 98</v>
      </c>
      <c r="I22" s="548">
        <f t="shared" si="6"/>
        <v>25</v>
      </c>
      <c r="J22" s="547">
        <f t="shared" si="7"/>
        <v>0</v>
      </c>
      <c r="K22" s="546">
        <v>60</v>
      </c>
      <c r="L22" s="545">
        <v>95</v>
      </c>
      <c r="M22" s="405">
        <v>22</v>
      </c>
      <c r="N22" s="405">
        <v>32</v>
      </c>
      <c r="O22" s="405">
        <v>8</v>
      </c>
      <c r="P22" s="405">
        <v>32</v>
      </c>
      <c r="Q22" s="405">
        <v>0</v>
      </c>
      <c r="R22" s="405">
        <v>32</v>
      </c>
    </row>
    <row r="23" spans="1:18">
      <c r="A23" s="45" t="s">
        <v>175</v>
      </c>
      <c r="B23" s="45" t="s">
        <v>75</v>
      </c>
      <c r="C23" s="46">
        <f t="shared" si="0"/>
        <v>74.809160305343511</v>
      </c>
      <c r="D23" s="46" t="str">
        <f t="shared" si="1"/>
        <v>70 - 79</v>
      </c>
      <c r="E23" s="46">
        <f t="shared" si="2"/>
        <v>91.603053435114504</v>
      </c>
      <c r="F23" s="46" t="str">
        <f t="shared" si="3"/>
        <v>88 - 94</v>
      </c>
      <c r="G23" s="46">
        <f t="shared" si="4"/>
        <v>93.638676844783717</v>
      </c>
      <c r="H23" s="46" t="str">
        <f t="shared" si="5"/>
        <v>91 - 96</v>
      </c>
      <c r="I23" s="548">
        <f t="shared" si="6"/>
        <v>16.793893129770993</v>
      </c>
      <c r="J23" s="547">
        <f t="shared" si="7"/>
        <v>2.0356234096692134</v>
      </c>
      <c r="K23" s="546">
        <v>60</v>
      </c>
      <c r="L23" s="545">
        <v>95</v>
      </c>
      <c r="M23" s="405">
        <v>294</v>
      </c>
      <c r="N23" s="405">
        <v>393</v>
      </c>
      <c r="O23" s="405">
        <v>66</v>
      </c>
      <c r="P23" s="405">
        <v>393</v>
      </c>
      <c r="Q23" s="405">
        <v>8</v>
      </c>
      <c r="R23" s="405">
        <v>393</v>
      </c>
    </row>
    <row r="24" spans="1:18">
      <c r="A24" s="45" t="s">
        <v>92</v>
      </c>
      <c r="B24" s="45" t="s">
        <v>93</v>
      </c>
      <c r="C24" s="46">
        <f t="shared" si="0"/>
        <v>75</v>
      </c>
      <c r="D24" s="46" t="str">
        <f t="shared" si="1"/>
        <v>61 - 85</v>
      </c>
      <c r="E24" s="46">
        <f t="shared" si="2"/>
        <v>93.181818181818173</v>
      </c>
      <c r="F24" s="46" t="str">
        <f t="shared" si="3"/>
        <v>82 - 98</v>
      </c>
      <c r="G24" s="46">
        <f t="shared" si="4"/>
        <v>93.181818181818173</v>
      </c>
      <c r="H24" s="46" t="str">
        <f t="shared" si="5"/>
        <v>82 - 98</v>
      </c>
      <c r="I24" s="548">
        <f t="shared" si="6"/>
        <v>18.181818181818173</v>
      </c>
      <c r="J24" s="547">
        <f t="shared" si="7"/>
        <v>0</v>
      </c>
      <c r="K24" s="546">
        <v>60</v>
      </c>
      <c r="L24" s="545">
        <v>95</v>
      </c>
      <c r="M24" s="405">
        <v>33</v>
      </c>
      <c r="N24" s="405">
        <v>44</v>
      </c>
      <c r="O24" s="405">
        <v>8</v>
      </c>
      <c r="P24" s="405">
        <v>44</v>
      </c>
      <c r="Q24" s="405">
        <v>0</v>
      </c>
      <c r="R24" s="405">
        <v>44</v>
      </c>
    </row>
    <row r="25" spans="1:18">
      <c r="A25" s="45" t="s">
        <v>124</v>
      </c>
      <c r="B25" s="45" t="s">
        <v>125</v>
      </c>
      <c r="C25" s="46">
        <f t="shared" si="0"/>
        <v>39.755351681957187</v>
      </c>
      <c r="D25" s="46" t="str">
        <f t="shared" si="1"/>
        <v>35 - 45</v>
      </c>
      <c r="E25" s="46">
        <f t="shared" si="2"/>
        <v>89.296636085626915</v>
      </c>
      <c r="F25" s="46" t="str">
        <f t="shared" si="3"/>
        <v>85 - 92</v>
      </c>
      <c r="G25" s="46">
        <f t="shared" si="4"/>
        <v>92.966360856269119</v>
      </c>
      <c r="H25" s="46" t="str">
        <f t="shared" si="5"/>
        <v>90 - 95</v>
      </c>
      <c r="I25" s="548">
        <f t="shared" si="6"/>
        <v>49.541284403669728</v>
      </c>
      <c r="J25" s="547">
        <f t="shared" si="7"/>
        <v>3.6697247706422047</v>
      </c>
      <c r="K25" s="546">
        <v>60</v>
      </c>
      <c r="L25" s="545">
        <v>95</v>
      </c>
      <c r="M25" s="405">
        <v>130</v>
      </c>
      <c r="N25" s="405">
        <v>327</v>
      </c>
      <c r="O25" s="405">
        <v>162</v>
      </c>
      <c r="P25" s="405">
        <v>327</v>
      </c>
      <c r="Q25" s="405">
        <v>12</v>
      </c>
      <c r="R25" s="405">
        <v>327</v>
      </c>
    </row>
    <row r="26" spans="1:18">
      <c r="A26" s="45" t="s">
        <v>115</v>
      </c>
      <c r="B26" s="45" t="s">
        <v>116</v>
      </c>
      <c r="C26" s="46">
        <f t="shared" si="0"/>
        <v>48</v>
      </c>
      <c r="D26" s="46" t="str">
        <f t="shared" si="1"/>
        <v>39 - 57</v>
      </c>
      <c r="E26" s="46">
        <f t="shared" si="2"/>
        <v>83.2</v>
      </c>
      <c r="F26" s="46" t="str">
        <f t="shared" si="3"/>
        <v>76 - 89</v>
      </c>
      <c r="G26" s="46">
        <f t="shared" si="4"/>
        <v>92</v>
      </c>
      <c r="H26" s="46" t="str">
        <f t="shared" si="5"/>
        <v>86 - 96</v>
      </c>
      <c r="I26" s="548">
        <f t="shared" si="6"/>
        <v>35.200000000000003</v>
      </c>
      <c r="J26" s="547">
        <f t="shared" si="7"/>
        <v>8.7999999999999972</v>
      </c>
      <c r="K26" s="546">
        <v>60</v>
      </c>
      <c r="L26" s="545">
        <v>95</v>
      </c>
      <c r="M26" s="405">
        <v>60</v>
      </c>
      <c r="N26" s="405">
        <v>125</v>
      </c>
      <c r="O26" s="405">
        <v>44</v>
      </c>
      <c r="P26" s="405">
        <v>125</v>
      </c>
      <c r="Q26" s="405">
        <v>11</v>
      </c>
      <c r="R26" s="405">
        <v>125</v>
      </c>
    </row>
    <row r="27" spans="1:18">
      <c r="A27" s="45" t="s">
        <v>37</v>
      </c>
      <c r="B27" s="45" t="s">
        <v>133</v>
      </c>
      <c r="C27" s="46">
        <f t="shared" si="0"/>
        <v>61.904761904761905</v>
      </c>
      <c r="D27" s="46" t="str">
        <f t="shared" si="1"/>
        <v>41 - 79</v>
      </c>
      <c r="E27" s="46">
        <f t="shared" si="2"/>
        <v>80.952380952380949</v>
      </c>
      <c r="F27" s="46" t="str">
        <f t="shared" si="3"/>
        <v>60 - 92</v>
      </c>
      <c r="G27" s="46">
        <f t="shared" si="4"/>
        <v>90.476190476190482</v>
      </c>
      <c r="H27" s="46" t="str">
        <f t="shared" si="5"/>
        <v>71 - 97</v>
      </c>
      <c r="I27" s="548">
        <f t="shared" si="6"/>
        <v>19.047619047619044</v>
      </c>
      <c r="J27" s="547">
        <f t="shared" si="7"/>
        <v>9.5238095238095326</v>
      </c>
      <c r="K27" s="546">
        <v>60</v>
      </c>
      <c r="L27" s="545">
        <v>95</v>
      </c>
      <c r="M27" s="405">
        <v>13</v>
      </c>
      <c r="N27" s="405">
        <v>21</v>
      </c>
      <c r="O27" s="405">
        <v>4</v>
      </c>
      <c r="P27" s="405">
        <v>21</v>
      </c>
      <c r="Q27" s="405">
        <v>2</v>
      </c>
      <c r="R27" s="405">
        <v>21</v>
      </c>
    </row>
    <row r="28" spans="1:18">
      <c r="A28" s="45" t="s">
        <v>68</v>
      </c>
      <c r="B28" s="45" t="s">
        <v>69</v>
      </c>
      <c r="C28" s="46">
        <f t="shared" si="0"/>
        <v>55.000000000000007</v>
      </c>
      <c r="D28" s="46" t="str">
        <f t="shared" si="1"/>
        <v>34 - 74</v>
      </c>
      <c r="E28" s="46">
        <f t="shared" si="2"/>
        <v>80</v>
      </c>
      <c r="F28" s="46" t="str">
        <f t="shared" si="3"/>
        <v>58 - 92</v>
      </c>
      <c r="G28" s="46">
        <f t="shared" si="4"/>
        <v>90</v>
      </c>
      <c r="H28" s="46" t="str">
        <f t="shared" si="5"/>
        <v>70 - 97</v>
      </c>
      <c r="I28" s="548">
        <f t="shared" si="6"/>
        <v>24.999999999999993</v>
      </c>
      <c r="J28" s="547">
        <f t="shared" si="7"/>
        <v>10</v>
      </c>
      <c r="K28" s="546">
        <v>60</v>
      </c>
      <c r="L28" s="545">
        <v>95</v>
      </c>
      <c r="M28" s="405">
        <v>11</v>
      </c>
      <c r="N28" s="405">
        <v>20</v>
      </c>
      <c r="O28" s="405">
        <v>5</v>
      </c>
      <c r="P28" s="405">
        <v>20</v>
      </c>
      <c r="Q28" s="405">
        <v>2</v>
      </c>
      <c r="R28" s="405">
        <v>20</v>
      </c>
    </row>
    <row r="29" spans="1:18">
      <c r="A29" s="45" t="s">
        <v>109</v>
      </c>
      <c r="B29" s="45" t="s">
        <v>110</v>
      </c>
      <c r="C29" s="46">
        <f t="shared" si="0"/>
        <v>59.818181818181813</v>
      </c>
      <c r="D29" s="46" t="str">
        <f t="shared" si="1"/>
        <v>56 - 64</v>
      </c>
      <c r="E29" s="46">
        <f t="shared" si="2"/>
        <v>85.090909090909093</v>
      </c>
      <c r="F29" s="46" t="str">
        <f t="shared" si="3"/>
        <v>82 - 88</v>
      </c>
      <c r="G29" s="46">
        <f t="shared" si="4"/>
        <v>88.727272727272734</v>
      </c>
      <c r="H29" s="46" t="str">
        <f t="shared" si="5"/>
        <v>86 - 91</v>
      </c>
      <c r="I29" s="548">
        <f t="shared" si="6"/>
        <v>25.27272727272728</v>
      </c>
      <c r="J29" s="547">
        <f t="shared" si="7"/>
        <v>3.6363636363636402</v>
      </c>
      <c r="K29" s="546">
        <v>60</v>
      </c>
      <c r="L29" s="545">
        <v>95</v>
      </c>
      <c r="M29" s="405">
        <v>329</v>
      </c>
      <c r="N29" s="405">
        <v>550</v>
      </c>
      <c r="O29" s="405">
        <v>139</v>
      </c>
      <c r="P29" s="405">
        <v>550</v>
      </c>
      <c r="Q29" s="405">
        <v>20</v>
      </c>
      <c r="R29" s="405">
        <v>550</v>
      </c>
    </row>
    <row r="30" spans="1:18">
      <c r="A30" s="45" t="s">
        <v>118</v>
      </c>
      <c r="B30" s="45" t="s">
        <v>119</v>
      </c>
      <c r="C30" s="46">
        <f t="shared" si="0"/>
        <v>61.111111111111114</v>
      </c>
      <c r="D30" s="46" t="str">
        <f t="shared" si="1"/>
        <v>39 - 80</v>
      </c>
      <c r="E30" s="46">
        <f t="shared" si="2"/>
        <v>77.777777777777786</v>
      </c>
      <c r="F30" s="46" t="str">
        <f t="shared" si="3"/>
        <v>55 - 91</v>
      </c>
      <c r="G30" s="46">
        <f t="shared" si="4"/>
        <v>83.333333333333343</v>
      </c>
      <c r="H30" s="46" t="str">
        <f t="shared" si="5"/>
        <v>61 - 94</v>
      </c>
      <c r="I30" s="548">
        <f t="shared" si="6"/>
        <v>16.666666666666671</v>
      </c>
      <c r="J30" s="547">
        <f t="shared" si="7"/>
        <v>5.5555555555555571</v>
      </c>
      <c r="K30" s="546">
        <v>60</v>
      </c>
      <c r="L30" s="545">
        <v>95</v>
      </c>
      <c r="M30" s="405">
        <v>11</v>
      </c>
      <c r="N30" s="405">
        <v>18</v>
      </c>
      <c r="O30" s="405">
        <v>3</v>
      </c>
      <c r="P30" s="405">
        <v>18</v>
      </c>
      <c r="Q30" s="405">
        <v>1</v>
      </c>
      <c r="R30" s="405">
        <v>18</v>
      </c>
    </row>
    <row r="31" spans="1:18">
      <c r="A31" s="45" t="s">
        <v>58</v>
      </c>
      <c r="B31" s="45" t="s">
        <v>57</v>
      </c>
      <c r="C31" s="46">
        <f t="shared" si="0"/>
        <v>8.5714285714285712</v>
      </c>
      <c r="D31" s="46" t="str">
        <f t="shared" si="1"/>
        <v>3 - 22</v>
      </c>
      <c r="E31" s="46">
        <f t="shared" si="2"/>
        <v>45.714285714285715</v>
      </c>
      <c r="F31" s="46" t="str">
        <f t="shared" si="3"/>
        <v>30 - 62</v>
      </c>
      <c r="G31" s="46">
        <f t="shared" si="4"/>
        <v>62.857142857142854</v>
      </c>
      <c r="H31" s="46" t="str">
        <f t="shared" si="5"/>
        <v>46 - 77</v>
      </c>
      <c r="I31" s="544">
        <f t="shared" si="6"/>
        <v>37.142857142857146</v>
      </c>
      <c r="J31" s="543">
        <f t="shared" si="7"/>
        <v>17.142857142857139</v>
      </c>
      <c r="K31" s="542">
        <v>60</v>
      </c>
      <c r="L31" s="541">
        <v>95</v>
      </c>
      <c r="M31" s="405">
        <v>3</v>
      </c>
      <c r="N31" s="405">
        <v>35</v>
      </c>
      <c r="O31" s="405">
        <v>13</v>
      </c>
      <c r="P31" s="405">
        <v>35</v>
      </c>
      <c r="Q31" s="405">
        <v>6</v>
      </c>
      <c r="R31" s="405">
        <v>35</v>
      </c>
    </row>
    <row r="32" spans="1:18">
      <c r="A32" s="51"/>
      <c r="B32" s="51"/>
      <c r="C32" s="68"/>
      <c r="D32" s="68"/>
      <c r="E32" s="68"/>
      <c r="F32" s="68"/>
      <c r="G32" s="68"/>
      <c r="H32" s="68"/>
      <c r="I32" s="69"/>
      <c r="J32" s="69"/>
      <c r="K32" s="70"/>
      <c r="L32" s="70"/>
      <c r="M32" s="71"/>
      <c r="N32" s="71"/>
      <c r="O32" s="71"/>
      <c r="P32" s="71"/>
      <c r="Q32" s="71"/>
      <c r="R32" s="71"/>
    </row>
    <row r="33" spans="1:18">
      <c r="A33" s="51"/>
      <c r="C33" s="34"/>
      <c r="D33" s="34"/>
      <c r="E33" s="34"/>
      <c r="F33" s="34"/>
      <c r="G33" s="34"/>
      <c r="H33" s="34"/>
      <c r="I33" s="34"/>
      <c r="J33" s="34"/>
    </row>
    <row r="34" spans="1:18" ht="30" customHeight="1">
      <c r="A34" s="1030" t="s">
        <v>135</v>
      </c>
      <c r="B34" s="1031"/>
      <c r="C34" s="976" t="str">
        <f>C2&amp;" (%)"</f>
        <v>Same Day (%)</v>
      </c>
      <c r="D34" s="1056"/>
      <c r="E34" s="976" t="str">
        <f>E2&amp;" (%)"</f>
        <v>Within 1 Day (%)</v>
      </c>
      <c r="F34" s="1056"/>
      <c r="G34" s="976" t="str">
        <f>G2&amp;" (%)"</f>
        <v>Within 2 Days (%)</v>
      </c>
      <c r="H34" s="978"/>
      <c r="I34" s="1032"/>
      <c r="J34" s="1057"/>
      <c r="K34" s="1057"/>
      <c r="L34" s="1058"/>
      <c r="M34" s="1039" t="s">
        <v>48</v>
      </c>
      <c r="N34" s="1046"/>
      <c r="O34" s="1046" t="s">
        <v>49</v>
      </c>
      <c r="P34" s="1046"/>
      <c r="Q34" s="1046" t="s">
        <v>136</v>
      </c>
      <c r="R34" s="1047"/>
    </row>
    <row r="35" spans="1:18" ht="35.1" customHeight="1">
      <c r="A35" s="52"/>
      <c r="B35" s="53" t="s">
        <v>137</v>
      </c>
      <c r="C35" s="54" t="s">
        <v>138</v>
      </c>
      <c r="D35" s="55" t="s">
        <v>52</v>
      </c>
      <c r="E35" s="54" t="s">
        <v>138</v>
      </c>
      <c r="F35" s="55" t="s">
        <v>52</v>
      </c>
      <c r="G35" s="54" t="s">
        <v>138</v>
      </c>
      <c r="H35" s="56" t="s">
        <v>52</v>
      </c>
      <c r="I35" s="1059"/>
      <c r="J35" s="1060"/>
      <c r="K35" s="1060"/>
      <c r="L35" s="1061"/>
      <c r="M35" s="57" t="s">
        <v>26</v>
      </c>
      <c r="N35" s="58" t="s">
        <v>27</v>
      </c>
      <c r="O35" s="58" t="s">
        <v>26</v>
      </c>
      <c r="P35" s="58" t="s">
        <v>27</v>
      </c>
      <c r="Q35" s="58" t="s">
        <v>26</v>
      </c>
      <c r="R35" s="59" t="s">
        <v>27</v>
      </c>
    </row>
    <row r="36" spans="1:18">
      <c r="A36" s="1048"/>
      <c r="B36" s="60" t="s">
        <v>33</v>
      </c>
      <c r="C36" s="46">
        <f t="shared" ref="C36:C49" si="9">M36/N36*100</f>
        <v>32.741935483870968</v>
      </c>
      <c r="D36" s="46" t="str">
        <f t="shared" ref="D36:D49" si="10">IF(AND(N36&gt;0,ROUND(SUM(100*((2*M36+1.96^2)-(1.96*(SQRT(1.96^2+4*M36*(1-(M36/N36))))))/(2*(N36+1.96^2))),0)&lt;0),CONCATENATE(SUM(1*0)," - ",ROUND(SUM(100*((2*M36+1.96^2)+(1.96*(SQRT(1.96^2+4*M36*(1-(M36/N36))))))/(2*(N36+1.96^2))),0)),IF(AND(N36&gt;0,ROUND(SUM(100*((2*M36+1.96^2)-(1.96*(SQRT(1.96^2+4*M36*(1-(M36/N36))))))/(2*(N36+1.96^2))),0)&gt;=0),CONCATENATE(ROUND(SUM(100*((2*M36+1.96^2)-(1.96*(SQRT(1.96^2+4*M36*(1-(M36/N36))))))/(2*(N36+1.96^2))),0)," - ",ROUND(SUM(100*((2*M36+1.96^2)+(1.96*(SQRT(1.96^2+4*M36*(1-(M36/N36))))))/(2*(N36+1.96^2))),0)),""))</f>
        <v>29 - 37</v>
      </c>
      <c r="E36" s="46">
        <f t="shared" ref="E36:E49" si="11">(M36+O36)/P36*100</f>
        <v>88.064516129032256</v>
      </c>
      <c r="F36" s="46" t="str">
        <f t="shared" ref="F36:F49" si="12">IF(AND(P36&gt;0,ROUND(SUM(100*((2*(M36+O36)+1.96^2)-(1.96*(SQRT(1.96^2+4*(M36+O36)*(1-((M36+O36)/P36))))))/(2*(P36+1.96^2))),0)&lt;0),CONCATENATE(SUM(1*0)," - ",ROUND(SUM(100*((2*(M36+O36)+1.96^2)+(1.96*(SQRT(1.96^2+4*(M36+O36)*(1-((M36+O36)/P36))))))/(2*(P36+1.96^2))),0)),IF(AND(P36&gt;0,ROUND(SUM(100*((2*(M36+O36)+1.96^2)-(1.96*(SQRT(1.96^2+4*(M36+O36)*(1-((M36+O36)/P36))))))/(2*(P36+1.96^2))),0)&gt;=0),CONCATENATE(ROUND(SUM(100*((2*(M36+O36)+1.96^2)-(1.96*(SQRT(1.96^2+4*(M36+O36)*(1-((M36+O36)/P36))))))/(2*(P36+1.96^2))),0)," - ",ROUND(SUM(100*((2*(M36+O36)+1.96^2)+(1.96*(SQRT(1.96^2+4*(M36+O36)*(1-((M36+O36)/P36))))))/(2*(P36+1.96^2))),0)),""))</f>
        <v>85 - 90</v>
      </c>
      <c r="G36" s="46">
        <f t="shared" ref="G36:G49" si="13">(M36+O36+Q36)/R36*100</f>
        <v>93.387096774193552</v>
      </c>
      <c r="H36" s="46" t="str">
        <f t="shared" ref="H36:H49" si="14">IF(AND(R36&gt;0,ROUND(SUM(100*((2*(M36+O36+Q36)+1.96^2)-(1.96*(SQRT(1.96^2+4*(M36+O36+Q36)*(1-((M36+O36+Q36)/R36))))))/(2*(R36+1.96^2))),0)&lt;0),CONCATENATE(SUM(1*0)," - ",ROUND(SUM(100*((2*(M36+O36+Q36)+1.96^2)+(1.96*(SQRT(1.96^2+4*(M36+O36+Q36)*(1-((M36+O36+Q36)/R36))))))/(2*(R36+1.96^2))),0)),IF(AND(R36&gt;0,ROUND(SUM(100*((2*(M36+O36+Q36)+1.96^2)-(1.96*(SQRT(1.96^2+4*(M36+O36+Q36)*(1-((M36+O36+Q36)/R36))))))/(2*(R36+1.96^2))),0)&gt;=0),CONCATENATE(ROUND(SUM(100*((2*(M36+O36+Q36)+1.96^2)-(1.96*(SQRT(1.96^2+4*(M36+O36+Q36)*(1-((M36+O36+Q36)/R36))))))/(2*(R36+1.96^2))),0)," - ",ROUND(SUM(100*((2*(M36+O36+Q36)+1.96^2)+(1.96*(SQRT(1.96^2+4*(M36+O36+Q36)*(1-((M36+O36+Q36)/R36))))))/(2*(R36+1.96^2))),0)),""))</f>
        <v>91 - 95</v>
      </c>
      <c r="I36" s="1023"/>
      <c r="J36" s="1051"/>
      <c r="K36" s="1051"/>
      <c r="L36" s="1052"/>
      <c r="M36" s="406">
        <v>203</v>
      </c>
      <c r="N36" s="406">
        <v>620</v>
      </c>
      <c r="O36" s="520">
        <v>343</v>
      </c>
      <c r="P36" s="520">
        <v>620</v>
      </c>
      <c r="Q36" s="407">
        <v>33</v>
      </c>
      <c r="R36" s="407">
        <v>620</v>
      </c>
    </row>
    <row r="37" spans="1:18">
      <c r="A37" s="1049"/>
      <c r="B37" s="60" t="s">
        <v>28</v>
      </c>
      <c r="C37" s="46">
        <f t="shared" si="9"/>
        <v>67.333333333333329</v>
      </c>
      <c r="D37" s="46" t="str">
        <f t="shared" si="10"/>
        <v>59 - 74</v>
      </c>
      <c r="E37" s="46">
        <f t="shared" si="11"/>
        <v>100</v>
      </c>
      <c r="F37" s="46" t="str">
        <f t="shared" si="12"/>
        <v>98 - 100</v>
      </c>
      <c r="G37" s="46">
        <f t="shared" si="13"/>
        <v>100</v>
      </c>
      <c r="H37" s="46" t="str">
        <f t="shared" si="14"/>
        <v>98 - 100</v>
      </c>
      <c r="I37" s="1023"/>
      <c r="J37" s="1051"/>
      <c r="K37" s="1051"/>
      <c r="L37" s="1052"/>
      <c r="M37" s="406">
        <v>101</v>
      </c>
      <c r="N37" s="406">
        <v>150</v>
      </c>
      <c r="O37" s="406">
        <v>49</v>
      </c>
      <c r="P37" s="406">
        <v>150</v>
      </c>
      <c r="Q37" s="407">
        <v>0</v>
      </c>
      <c r="R37" s="407">
        <v>150</v>
      </c>
    </row>
    <row r="38" spans="1:18">
      <c r="A38" s="1049"/>
      <c r="B38" s="60" t="s">
        <v>31</v>
      </c>
      <c r="C38" s="46">
        <f t="shared" si="9"/>
        <v>46.32352941176471</v>
      </c>
      <c r="D38" s="46" t="str">
        <f t="shared" si="10"/>
        <v>38 - 55</v>
      </c>
      <c r="E38" s="46">
        <f t="shared" si="11"/>
        <v>89.705882352941174</v>
      </c>
      <c r="F38" s="46" t="str">
        <f t="shared" si="12"/>
        <v>83 - 94</v>
      </c>
      <c r="G38" s="46">
        <f t="shared" si="13"/>
        <v>94.85294117647058</v>
      </c>
      <c r="H38" s="46" t="str">
        <f t="shared" si="14"/>
        <v>90 - 97</v>
      </c>
      <c r="I38" s="1023"/>
      <c r="J38" s="1051"/>
      <c r="K38" s="1051"/>
      <c r="L38" s="1052"/>
      <c r="M38" s="406">
        <v>63</v>
      </c>
      <c r="N38" s="406">
        <v>136</v>
      </c>
      <c r="O38" s="406">
        <v>59</v>
      </c>
      <c r="P38" s="406">
        <v>136</v>
      </c>
      <c r="Q38" s="407">
        <v>7</v>
      </c>
      <c r="R38" s="407">
        <v>136</v>
      </c>
    </row>
    <row r="39" spans="1:18">
      <c r="A39" s="1049"/>
      <c r="B39" s="60" t="s">
        <v>30</v>
      </c>
      <c r="C39" s="46">
        <f t="shared" si="9"/>
        <v>60.300429184549351</v>
      </c>
      <c r="D39" s="46" t="str">
        <f t="shared" si="10"/>
        <v>56 - 65</v>
      </c>
      <c r="E39" s="46">
        <f t="shared" si="11"/>
        <v>91.416309012875544</v>
      </c>
      <c r="F39" s="46" t="str">
        <f t="shared" si="12"/>
        <v>89 - 94</v>
      </c>
      <c r="G39" s="46">
        <f t="shared" si="13"/>
        <v>93.991416309012877</v>
      </c>
      <c r="H39" s="46" t="str">
        <f t="shared" si="14"/>
        <v>91 - 96</v>
      </c>
      <c r="I39" s="1023"/>
      <c r="J39" s="1051"/>
      <c r="K39" s="1051"/>
      <c r="L39" s="1052"/>
      <c r="M39" s="406">
        <v>281</v>
      </c>
      <c r="N39" s="406">
        <v>466</v>
      </c>
      <c r="O39" s="406">
        <v>145</v>
      </c>
      <c r="P39" s="406">
        <v>466</v>
      </c>
      <c r="Q39" s="407">
        <v>12</v>
      </c>
      <c r="R39" s="407">
        <v>466</v>
      </c>
    </row>
    <row r="40" spans="1:18">
      <c r="A40" s="1049"/>
      <c r="B40" s="60" t="s">
        <v>35</v>
      </c>
      <c r="C40" s="46">
        <f t="shared" si="9"/>
        <v>46.954314720812185</v>
      </c>
      <c r="D40" s="46" t="str">
        <f t="shared" si="10"/>
        <v>42 - 52</v>
      </c>
      <c r="E40" s="46">
        <f t="shared" si="11"/>
        <v>90.862944162436548</v>
      </c>
      <c r="F40" s="46" t="str">
        <f t="shared" si="12"/>
        <v>88 - 93</v>
      </c>
      <c r="G40" s="46">
        <f t="shared" si="13"/>
        <v>94.923857868020306</v>
      </c>
      <c r="H40" s="46" t="str">
        <f t="shared" si="14"/>
        <v>92 - 97</v>
      </c>
      <c r="I40" s="1023"/>
      <c r="J40" s="1051"/>
      <c r="K40" s="1051"/>
      <c r="L40" s="1052"/>
      <c r="M40" s="406">
        <v>185</v>
      </c>
      <c r="N40" s="406">
        <v>394</v>
      </c>
      <c r="O40" s="406">
        <v>173</v>
      </c>
      <c r="P40" s="406">
        <v>394</v>
      </c>
      <c r="Q40" s="407">
        <v>16</v>
      </c>
      <c r="R40" s="407">
        <v>394</v>
      </c>
    </row>
    <row r="41" spans="1:18">
      <c r="A41" s="1049"/>
      <c r="B41" s="60" t="s">
        <v>34</v>
      </c>
      <c r="C41" s="46">
        <f t="shared" si="9"/>
        <v>74.576271186440678</v>
      </c>
      <c r="D41" s="46" t="str">
        <f t="shared" si="10"/>
        <v>70 - 78</v>
      </c>
      <c r="E41" s="46">
        <f t="shared" si="11"/>
        <v>91.313559322033896</v>
      </c>
      <c r="F41" s="46" t="str">
        <f t="shared" si="12"/>
        <v>88 - 94</v>
      </c>
      <c r="G41" s="46">
        <f t="shared" si="13"/>
        <v>93.855932203389841</v>
      </c>
      <c r="H41" s="46" t="str">
        <f t="shared" si="14"/>
        <v>91 - 96</v>
      </c>
      <c r="I41" s="1023"/>
      <c r="J41" s="1051"/>
      <c r="K41" s="1051"/>
      <c r="L41" s="1052"/>
      <c r="M41" s="406">
        <v>352</v>
      </c>
      <c r="N41" s="406">
        <v>472</v>
      </c>
      <c r="O41" s="406">
        <v>79</v>
      </c>
      <c r="P41" s="406">
        <v>472</v>
      </c>
      <c r="Q41" s="407">
        <v>12</v>
      </c>
      <c r="R41" s="407">
        <v>472</v>
      </c>
    </row>
    <row r="42" spans="1:18">
      <c r="A42" s="1049"/>
      <c r="B42" s="60" t="s">
        <v>40</v>
      </c>
      <c r="C42" s="46">
        <f t="shared" si="9"/>
        <v>59.002433090024333</v>
      </c>
      <c r="D42" s="46" t="str">
        <f t="shared" si="10"/>
        <v>57 - 61</v>
      </c>
      <c r="E42" s="46">
        <f t="shared" si="11"/>
        <v>91.484184914841848</v>
      </c>
      <c r="F42" s="46" t="str">
        <f t="shared" si="12"/>
        <v>90 - 93</v>
      </c>
      <c r="G42" s="46">
        <f t="shared" si="13"/>
        <v>95.985401459854018</v>
      </c>
      <c r="H42" s="46" t="str">
        <f t="shared" si="14"/>
        <v>95 - 97</v>
      </c>
      <c r="I42" s="1023"/>
      <c r="J42" s="1051"/>
      <c r="K42" s="1051"/>
      <c r="L42" s="1052"/>
      <c r="M42" s="406">
        <v>970</v>
      </c>
      <c r="N42" s="406">
        <v>1644</v>
      </c>
      <c r="O42" s="406">
        <v>534</v>
      </c>
      <c r="P42" s="406">
        <v>1644</v>
      </c>
      <c r="Q42" s="407">
        <v>74</v>
      </c>
      <c r="R42" s="407">
        <v>1644</v>
      </c>
    </row>
    <row r="43" spans="1:18">
      <c r="A43" s="1049"/>
      <c r="B43" s="60" t="s">
        <v>36</v>
      </c>
      <c r="C43" s="46">
        <f t="shared" si="9"/>
        <v>62.5</v>
      </c>
      <c r="D43" s="46" t="str">
        <f t="shared" si="10"/>
        <v>57 - 68</v>
      </c>
      <c r="E43" s="46">
        <f t="shared" si="11"/>
        <v>92.857142857142861</v>
      </c>
      <c r="F43" s="46" t="str">
        <f t="shared" si="12"/>
        <v>89 - 95</v>
      </c>
      <c r="G43" s="46">
        <f t="shared" si="13"/>
        <v>95.357142857142861</v>
      </c>
      <c r="H43" s="46" t="str">
        <f t="shared" si="14"/>
        <v>92 - 97</v>
      </c>
      <c r="I43" s="1023"/>
      <c r="J43" s="1051"/>
      <c r="K43" s="1051"/>
      <c r="L43" s="1052"/>
      <c r="M43" s="406">
        <v>175</v>
      </c>
      <c r="N43" s="406">
        <v>280</v>
      </c>
      <c r="O43" s="406">
        <v>85</v>
      </c>
      <c r="P43" s="406">
        <v>280</v>
      </c>
      <c r="Q43" s="407">
        <v>7</v>
      </c>
      <c r="R43" s="407">
        <v>280</v>
      </c>
    </row>
    <row r="44" spans="1:18">
      <c r="A44" s="1049"/>
      <c r="B44" s="60" t="s">
        <v>29</v>
      </c>
      <c r="C44" s="46">
        <f t="shared" si="9"/>
        <v>46.976090014064695</v>
      </c>
      <c r="D44" s="46" t="str">
        <f t="shared" si="10"/>
        <v>43 - 51</v>
      </c>
      <c r="E44" s="46">
        <f t="shared" si="11"/>
        <v>92.264416315049232</v>
      </c>
      <c r="F44" s="46" t="str">
        <f t="shared" si="12"/>
        <v>90 - 94</v>
      </c>
      <c r="G44" s="46">
        <f t="shared" si="13"/>
        <v>95.9212376933896</v>
      </c>
      <c r="H44" s="46" t="str">
        <f t="shared" si="14"/>
        <v>94 - 97</v>
      </c>
      <c r="I44" s="1023"/>
      <c r="J44" s="1051"/>
      <c r="K44" s="1051"/>
      <c r="L44" s="1052"/>
      <c r="M44" s="406">
        <v>334</v>
      </c>
      <c r="N44" s="406">
        <v>711</v>
      </c>
      <c r="O44" s="406">
        <v>322</v>
      </c>
      <c r="P44" s="406">
        <v>711</v>
      </c>
      <c r="Q44" s="407">
        <v>26</v>
      </c>
      <c r="R44" s="407">
        <v>711</v>
      </c>
    </row>
    <row r="45" spans="1:18">
      <c r="A45" s="1049"/>
      <c r="B45" s="60" t="s">
        <v>38</v>
      </c>
      <c r="C45" s="46">
        <f t="shared" si="9"/>
        <v>58.899297423887589</v>
      </c>
      <c r="D45" s="46" t="str">
        <f t="shared" si="10"/>
        <v>56 - 62</v>
      </c>
      <c r="E45" s="46">
        <f t="shared" si="11"/>
        <v>86.065573770491795</v>
      </c>
      <c r="F45" s="46" t="str">
        <f t="shared" si="12"/>
        <v>84 - 88</v>
      </c>
      <c r="G45" s="46">
        <f t="shared" si="13"/>
        <v>90.28103044496487</v>
      </c>
      <c r="H45" s="46" t="str">
        <f t="shared" si="14"/>
        <v>88 - 92</v>
      </c>
      <c r="I45" s="1023"/>
      <c r="J45" s="1051"/>
      <c r="K45" s="1051"/>
      <c r="L45" s="1052"/>
      <c r="M45" s="406">
        <v>503</v>
      </c>
      <c r="N45" s="406">
        <v>854</v>
      </c>
      <c r="O45" s="406">
        <v>232</v>
      </c>
      <c r="P45" s="406">
        <v>854</v>
      </c>
      <c r="Q45" s="407">
        <v>36</v>
      </c>
      <c r="R45" s="407">
        <v>854</v>
      </c>
    </row>
    <row r="46" spans="1:18">
      <c r="A46" s="1049"/>
      <c r="B46" s="60" t="s">
        <v>41</v>
      </c>
      <c r="C46" s="46">
        <f t="shared" si="9"/>
        <v>61.111111111111114</v>
      </c>
      <c r="D46" s="46" t="str">
        <f t="shared" si="10"/>
        <v>39 - 80</v>
      </c>
      <c r="E46" s="46">
        <f t="shared" si="11"/>
        <v>77.777777777777786</v>
      </c>
      <c r="F46" s="46" t="str">
        <f t="shared" si="12"/>
        <v>55 - 91</v>
      </c>
      <c r="G46" s="46">
        <f t="shared" si="13"/>
        <v>83.333333333333343</v>
      </c>
      <c r="H46" s="46" t="str">
        <f t="shared" si="14"/>
        <v>61 - 94</v>
      </c>
      <c r="I46" s="1023"/>
      <c r="J46" s="1051"/>
      <c r="K46" s="1051"/>
      <c r="L46" s="1052"/>
      <c r="M46" s="406">
        <v>11</v>
      </c>
      <c r="N46" s="406">
        <v>18</v>
      </c>
      <c r="O46" s="406">
        <v>3</v>
      </c>
      <c r="P46" s="406">
        <v>18</v>
      </c>
      <c r="Q46" s="407">
        <v>1</v>
      </c>
      <c r="R46" s="407">
        <v>18</v>
      </c>
    </row>
    <row r="47" spans="1:18">
      <c r="A47" s="1049"/>
      <c r="B47" s="60" t="s">
        <v>39</v>
      </c>
      <c r="C47" s="46">
        <f t="shared" si="9"/>
        <v>68.75</v>
      </c>
      <c r="D47" s="46" t="str">
        <f t="shared" si="10"/>
        <v>51 - 82</v>
      </c>
      <c r="E47" s="46">
        <f t="shared" si="11"/>
        <v>93.75</v>
      </c>
      <c r="F47" s="46" t="str">
        <f t="shared" si="12"/>
        <v>80 - 98</v>
      </c>
      <c r="G47" s="46">
        <f t="shared" si="13"/>
        <v>93.75</v>
      </c>
      <c r="H47" s="46" t="str">
        <f t="shared" si="14"/>
        <v>80 - 98</v>
      </c>
      <c r="I47" s="1023"/>
      <c r="J47" s="1051"/>
      <c r="K47" s="1051"/>
      <c r="L47" s="1052"/>
      <c r="M47" s="406">
        <v>22</v>
      </c>
      <c r="N47" s="406">
        <v>32</v>
      </c>
      <c r="O47" s="406">
        <v>8</v>
      </c>
      <c r="P47" s="406">
        <v>32</v>
      </c>
      <c r="Q47" s="407">
        <v>0</v>
      </c>
      <c r="R47" s="407">
        <v>32</v>
      </c>
    </row>
    <row r="48" spans="1:18">
      <c r="A48" s="1049"/>
      <c r="B48" s="60" t="s">
        <v>32</v>
      </c>
      <c r="C48" s="46">
        <f t="shared" si="9"/>
        <v>43.841336116910227</v>
      </c>
      <c r="D48" s="46" t="str">
        <f t="shared" si="10"/>
        <v>39 - 48</v>
      </c>
      <c r="E48" s="46">
        <f t="shared" si="11"/>
        <v>89.561586638830889</v>
      </c>
      <c r="F48" s="46" t="str">
        <f t="shared" si="12"/>
        <v>87 - 92</v>
      </c>
      <c r="G48" s="46">
        <f t="shared" si="13"/>
        <v>93.528183716075148</v>
      </c>
      <c r="H48" s="46" t="str">
        <f t="shared" si="14"/>
        <v>91 - 95</v>
      </c>
      <c r="I48" s="1023"/>
      <c r="J48" s="1051"/>
      <c r="K48" s="1051"/>
      <c r="L48" s="1052"/>
      <c r="M48" s="406">
        <v>210</v>
      </c>
      <c r="N48" s="406">
        <v>479</v>
      </c>
      <c r="O48" s="406">
        <v>219</v>
      </c>
      <c r="P48" s="406">
        <v>479</v>
      </c>
      <c r="Q48" s="407">
        <v>19</v>
      </c>
      <c r="R48" s="407">
        <v>479</v>
      </c>
    </row>
    <row r="49" spans="1:18">
      <c r="A49" s="1050"/>
      <c r="B49" s="60" t="s">
        <v>37</v>
      </c>
      <c r="C49" s="46">
        <f t="shared" si="9"/>
        <v>61.904761904761905</v>
      </c>
      <c r="D49" s="46" t="str">
        <f t="shared" si="10"/>
        <v>41 - 79</v>
      </c>
      <c r="E49" s="46">
        <f t="shared" si="11"/>
        <v>80.952380952380949</v>
      </c>
      <c r="F49" s="46" t="str">
        <f t="shared" si="12"/>
        <v>60 - 92</v>
      </c>
      <c r="G49" s="46">
        <f t="shared" si="13"/>
        <v>90.476190476190482</v>
      </c>
      <c r="H49" s="46" t="str">
        <f t="shared" si="14"/>
        <v>71 - 97</v>
      </c>
      <c r="I49" s="1053"/>
      <c r="J49" s="1054"/>
      <c r="K49" s="1054"/>
      <c r="L49" s="1055"/>
      <c r="M49" s="406">
        <v>13</v>
      </c>
      <c r="N49" s="406">
        <v>21</v>
      </c>
      <c r="O49" s="406">
        <v>4</v>
      </c>
      <c r="P49" s="406">
        <v>21</v>
      </c>
      <c r="Q49" s="407">
        <v>2</v>
      </c>
      <c r="R49" s="407">
        <v>21</v>
      </c>
    </row>
    <row r="50" spans="1:18" s="685" customFormat="1">
      <c r="A50" s="51"/>
      <c r="B50" s="688"/>
      <c r="C50" s="34"/>
      <c r="D50" s="34"/>
      <c r="E50" s="34"/>
      <c r="F50" s="34"/>
      <c r="G50" s="34"/>
      <c r="H50" s="34"/>
      <c r="I50" s="34"/>
      <c r="J50" s="34"/>
      <c r="M50" s="688"/>
      <c r="N50" s="688"/>
      <c r="O50" s="688"/>
      <c r="P50" s="688"/>
      <c r="Q50" s="688"/>
      <c r="R50" s="688"/>
    </row>
    <row r="51" spans="1:18" s="685" customFormat="1">
      <c r="A51" s="51"/>
      <c r="B51" s="688"/>
      <c r="C51" s="34"/>
      <c r="D51" s="34"/>
      <c r="E51" s="34"/>
      <c r="F51" s="34"/>
      <c r="G51" s="34"/>
      <c r="H51" s="34"/>
      <c r="I51" s="34"/>
      <c r="J51" s="34"/>
      <c r="M51" s="688"/>
      <c r="N51" s="688"/>
      <c r="O51" s="688"/>
      <c r="P51" s="688"/>
      <c r="Q51" s="688"/>
      <c r="R51" s="688"/>
    </row>
    <row r="52" spans="1:18" s="685" customFormat="1">
      <c r="A52" s="51"/>
      <c r="B52" s="688"/>
      <c r="C52" s="34"/>
      <c r="D52" s="34"/>
      <c r="E52" s="34"/>
      <c r="F52" s="34"/>
      <c r="G52" s="34"/>
      <c r="H52" s="34"/>
      <c r="I52" s="34"/>
      <c r="J52" s="34"/>
      <c r="M52" s="688"/>
      <c r="N52" s="688"/>
      <c r="O52" s="688"/>
      <c r="P52" s="688"/>
      <c r="Q52" s="688"/>
      <c r="R52" s="688"/>
    </row>
  </sheetData>
  <sheetProtection password="B8D9" sheet="1" objects="1" scenarios="1"/>
  <sortState ref="A4:R31">
    <sortCondition descending="1" ref="G4:G31"/>
  </sortState>
  <mergeCells count="15">
    <mergeCell ref="A1:B1"/>
    <mergeCell ref="C1:H1"/>
    <mergeCell ref="M1:N1"/>
    <mergeCell ref="O1:P1"/>
    <mergeCell ref="Q1:R1"/>
    <mergeCell ref="M34:N34"/>
    <mergeCell ref="O34:P34"/>
    <mergeCell ref="Q34:R34"/>
    <mergeCell ref="A36:A49"/>
    <mergeCell ref="I36:L49"/>
    <mergeCell ref="A34:B34"/>
    <mergeCell ref="C34:D34"/>
    <mergeCell ref="E34:F34"/>
    <mergeCell ref="G34:H34"/>
    <mergeCell ref="I34:L35"/>
  </mergeCells>
  <pageMargins left="0.70866141732283472" right="0.70866141732283472" top="0.74803149606299213" bottom="0.74803149606299213" header="0.31496062992125984" footer="0.31496062992125984"/>
  <pageSetup paperSize="9" scale="69"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39.xml><?xml version="1.0" encoding="utf-8"?>
<worksheet xmlns="http://schemas.openxmlformats.org/spreadsheetml/2006/main" xmlns:r="http://schemas.openxmlformats.org/officeDocument/2006/relationships">
  <sheetPr codeName="Sheet43">
    <pageSetUpPr fitToPage="1"/>
  </sheetPr>
  <dimension ref="B1:T48"/>
  <sheetViews>
    <sheetView workbookViewId="0"/>
  </sheetViews>
  <sheetFormatPr defaultRowHeight="12.75"/>
  <cols>
    <col min="1" max="1" width="2.7109375" style="705" customWidth="1"/>
    <col min="2" max="16384" width="9.140625" style="705"/>
  </cols>
  <sheetData>
    <row r="1" spans="2:20" s="688" customFormat="1" ht="24.95" customHeight="1">
      <c r="B1" s="967" t="s">
        <v>662</v>
      </c>
      <c r="C1" s="967"/>
      <c r="D1" s="967"/>
      <c r="E1" s="967"/>
      <c r="F1" s="967"/>
      <c r="G1" s="967"/>
      <c r="H1" s="967"/>
      <c r="I1" s="967"/>
      <c r="J1" s="967"/>
      <c r="K1" s="967"/>
      <c r="L1" s="967"/>
      <c r="M1" s="967"/>
      <c r="N1" s="967"/>
      <c r="O1" s="26"/>
      <c r="P1" s="985" t="s">
        <v>45</v>
      </c>
      <c r="Q1" s="26"/>
      <c r="R1" s="26"/>
      <c r="S1" s="26"/>
      <c r="T1" s="26"/>
    </row>
    <row r="2" spans="2:20" s="688" customFormat="1" ht="12.75" customHeight="1">
      <c r="B2" s="1043" t="s">
        <v>578</v>
      </c>
      <c r="C2" s="1043"/>
      <c r="D2" s="1043"/>
      <c r="E2" s="1043"/>
      <c r="F2" s="1043"/>
      <c r="G2" s="1043"/>
      <c r="H2" s="1043"/>
      <c r="I2" s="1043"/>
      <c r="J2" s="1043"/>
      <c r="K2" s="1043"/>
      <c r="L2" s="1043"/>
      <c r="M2" s="1043"/>
      <c r="O2" s="27"/>
      <c r="P2" s="985"/>
      <c r="Q2" s="28"/>
      <c r="R2" s="987"/>
      <c r="S2" s="987"/>
      <c r="T2" s="987"/>
    </row>
    <row r="3" spans="2:20" s="688" customFormat="1" ht="12.75" customHeight="1">
      <c r="B3" s="1043"/>
      <c r="C3" s="1043"/>
      <c r="D3" s="1043"/>
      <c r="E3" s="1043"/>
      <c r="F3" s="1043"/>
      <c r="G3" s="1043"/>
      <c r="H3" s="1043"/>
      <c r="I3" s="1043"/>
      <c r="J3" s="1043"/>
      <c r="K3" s="1043"/>
      <c r="L3" s="1043"/>
      <c r="M3" s="1043"/>
      <c r="O3" s="519"/>
      <c r="P3" s="985"/>
      <c r="Q3" s="29"/>
      <c r="R3" s="687"/>
      <c r="S3" s="687"/>
      <c r="T3" s="687"/>
    </row>
    <row r="4" spans="2:20" s="688" customFormat="1" ht="15" customHeight="1">
      <c r="B4" s="1044" t="s">
        <v>299</v>
      </c>
      <c r="C4" s="1044"/>
      <c r="D4" s="1044"/>
      <c r="E4" s="1044"/>
      <c r="F4" s="1044"/>
      <c r="G4" s="1044"/>
      <c r="H4" s="1044"/>
      <c r="I4" s="1044"/>
      <c r="J4" s="1044"/>
      <c r="K4" s="1044"/>
      <c r="L4" s="1044"/>
      <c r="O4" s="519"/>
      <c r="P4" s="985"/>
      <c r="Q4" s="29"/>
      <c r="R4" s="687"/>
      <c r="S4" s="687"/>
      <c r="T4" s="687"/>
    </row>
    <row r="5" spans="2:20" s="688" customFormat="1" ht="15" customHeight="1">
      <c r="B5" s="1044"/>
      <c r="C5" s="1044"/>
      <c r="D5" s="1044"/>
      <c r="E5" s="1044"/>
      <c r="F5" s="1044"/>
      <c r="G5" s="1044"/>
      <c r="H5" s="1044"/>
      <c r="I5" s="1044"/>
      <c r="J5" s="1044"/>
      <c r="K5" s="1044"/>
      <c r="L5" s="1044"/>
      <c r="M5" s="686"/>
      <c r="N5" s="686"/>
      <c r="O5" s="519"/>
      <c r="P5" s="519"/>
      <c r="Q5" s="29"/>
      <c r="R5" s="687"/>
      <c r="S5" s="687"/>
      <c r="T5" s="687"/>
    </row>
    <row r="6" spans="2:20" s="688" customFormat="1" ht="15" customHeight="1">
      <c r="B6" s="1044"/>
      <c r="C6" s="1044"/>
      <c r="D6" s="1044"/>
      <c r="E6" s="1044"/>
      <c r="F6" s="1044"/>
      <c r="G6" s="1044"/>
      <c r="H6" s="1044"/>
      <c r="I6" s="1044"/>
      <c r="J6" s="1044"/>
      <c r="K6" s="1044"/>
      <c r="L6" s="1044"/>
      <c r="M6" s="686"/>
      <c r="N6" s="686"/>
      <c r="O6" s="30"/>
      <c r="P6" s="687" t="s">
        <v>568</v>
      </c>
      <c r="Q6" s="29"/>
      <c r="R6" s="687"/>
      <c r="S6" s="687"/>
      <c r="T6" s="687"/>
    </row>
    <row r="41" spans="2:17" s="688" customFormat="1">
      <c r="B41" s="32" t="s">
        <v>807</v>
      </c>
      <c r="C41" s="33"/>
      <c r="D41" s="34"/>
      <c r="E41" s="34"/>
      <c r="F41" s="34"/>
      <c r="G41" s="34"/>
      <c r="H41" s="34"/>
      <c r="I41" s="34"/>
      <c r="J41" s="34"/>
      <c r="K41" s="34"/>
      <c r="L41" s="685"/>
      <c r="M41" s="685"/>
      <c r="N41" s="35"/>
      <c r="O41" s="35"/>
      <c r="P41" s="35"/>
      <c r="Q41" s="35"/>
    </row>
    <row r="42" spans="2:17" s="688" customFormat="1" ht="12.75" customHeight="1">
      <c r="B42" s="1045" t="s">
        <v>0</v>
      </c>
      <c r="C42" s="1045"/>
      <c r="D42" s="1045"/>
      <c r="E42" s="1045"/>
      <c r="F42" s="1045"/>
      <c r="G42" s="1045"/>
      <c r="H42" s="1045"/>
      <c r="I42" s="1045"/>
      <c r="J42" s="1045"/>
      <c r="K42" s="1045"/>
      <c r="L42" s="1045"/>
      <c r="M42" s="1045"/>
      <c r="N42" s="566"/>
      <c r="O42" s="566"/>
      <c r="P42" s="566"/>
    </row>
    <row r="43" spans="2:17" s="688" customFormat="1">
      <c r="B43" s="1045"/>
      <c r="C43" s="1045"/>
      <c r="D43" s="1045"/>
      <c r="E43" s="1045"/>
      <c r="F43" s="1045"/>
      <c r="G43" s="1045"/>
      <c r="H43" s="1045"/>
      <c r="I43" s="1045"/>
      <c r="J43" s="1045"/>
      <c r="K43" s="1045"/>
      <c r="L43" s="1045"/>
      <c r="M43" s="1045"/>
    </row>
    <row r="44" spans="2:17" s="688" customFormat="1" ht="12.75" customHeight="1">
      <c r="B44" s="1045" t="s">
        <v>395</v>
      </c>
      <c r="C44" s="1045"/>
      <c r="D44" s="1045"/>
      <c r="E44" s="1045"/>
      <c r="F44" s="1045"/>
      <c r="G44" s="1045"/>
      <c r="H44" s="1045"/>
      <c r="I44" s="1045"/>
      <c r="J44" s="1045"/>
      <c r="K44" s="1045"/>
      <c r="L44" s="1045"/>
      <c r="M44" s="1045"/>
    </row>
    <row r="45" spans="2:17">
      <c r="B45" s="1012" t="s">
        <v>812</v>
      </c>
      <c r="C45" s="1012"/>
      <c r="D45" s="1012"/>
      <c r="E45" s="1012"/>
      <c r="F45" s="1012"/>
      <c r="G45" s="1012"/>
      <c r="H45" s="1012"/>
      <c r="I45" s="1012"/>
      <c r="J45" s="1012"/>
      <c r="K45" s="1012"/>
      <c r="L45" s="1012"/>
      <c r="M45" s="1012"/>
      <c r="N45" s="1012"/>
      <c r="O45" s="1012"/>
    </row>
    <row r="46" spans="2:17">
      <c r="B46" s="1012"/>
      <c r="C46" s="1012"/>
      <c r="D46" s="1012"/>
      <c r="E46" s="1012"/>
      <c r="F46" s="1012"/>
      <c r="G46" s="1012"/>
      <c r="H46" s="1012"/>
      <c r="I46" s="1012"/>
      <c r="J46" s="1012"/>
      <c r="K46" s="1012"/>
      <c r="L46" s="1012"/>
      <c r="M46" s="1012"/>
      <c r="N46" s="1012"/>
      <c r="O46" s="1012"/>
    </row>
    <row r="47" spans="2:17">
      <c r="B47" s="1012"/>
      <c r="C47" s="1012"/>
      <c r="D47" s="1012"/>
      <c r="E47" s="1012"/>
      <c r="F47" s="1012"/>
      <c r="G47" s="1012"/>
      <c r="H47" s="1012"/>
      <c r="I47" s="1012"/>
      <c r="J47" s="1012"/>
      <c r="K47" s="1012"/>
      <c r="L47" s="1012"/>
      <c r="M47" s="1012"/>
      <c r="N47" s="1012"/>
      <c r="O47" s="1012"/>
    </row>
    <row r="48" spans="2:17">
      <c r="B48" s="1012"/>
      <c r="C48" s="1012"/>
      <c r="D48" s="1012"/>
      <c r="E48" s="1012"/>
      <c r="F48" s="1012"/>
      <c r="G48" s="1012"/>
      <c r="H48" s="1012"/>
      <c r="I48" s="1012"/>
      <c r="J48" s="1012"/>
      <c r="K48" s="1012"/>
      <c r="L48" s="1012"/>
      <c r="M48" s="1012"/>
      <c r="N48" s="1012"/>
      <c r="O48" s="1012"/>
    </row>
  </sheetData>
  <sheetProtection password="B8D9" sheet="1" objects="1" scenarios="1"/>
  <mergeCells count="8">
    <mergeCell ref="B1:N1"/>
    <mergeCell ref="P1:P4"/>
    <mergeCell ref="B2:M3"/>
    <mergeCell ref="B45:O48"/>
    <mergeCell ref="R2:T2"/>
    <mergeCell ref="B4:L6"/>
    <mergeCell ref="B42:M43"/>
    <mergeCell ref="B44:M44"/>
  </mergeCells>
  <hyperlinks>
    <hyperlink ref="P1" location="'List of Tables &amp; Charts'!A1" display="return to List of Tables &amp; Charts"/>
    <hyperlink ref="P6" location="'Chart 5 (2015) DATA'!A1" display="view Chart 5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4.xml><?xml version="1.0" encoding="utf-8"?>
<worksheet xmlns="http://schemas.openxmlformats.org/spreadsheetml/2006/main" xmlns:r="http://schemas.openxmlformats.org/officeDocument/2006/relationships">
  <sheetPr codeName="Sheet15">
    <pageSetUpPr fitToPage="1"/>
  </sheetPr>
  <dimension ref="A1:L39"/>
  <sheetViews>
    <sheetView workbookViewId="0"/>
  </sheetViews>
  <sheetFormatPr defaultRowHeight="12.75"/>
  <cols>
    <col min="1" max="1" width="1.7109375" style="113" customWidth="1"/>
    <col min="2" max="2" width="30.7109375" style="113" customWidth="1"/>
    <col min="3" max="3" width="12" style="113" bestFit="1" customWidth="1"/>
    <col min="4" max="4" width="12" style="113" customWidth="1"/>
    <col min="5" max="5" width="8.7109375" style="113" customWidth="1"/>
    <col min="6" max="6" width="10.7109375" style="113" customWidth="1"/>
    <col min="7" max="7" width="13.7109375" style="113" customWidth="1"/>
    <col min="8" max="8" width="10.7109375" style="113" customWidth="1"/>
    <col min="9" max="9" width="50.7109375" style="710" customWidth="1"/>
    <col min="10" max="16384" width="9.140625" style="113"/>
  </cols>
  <sheetData>
    <row r="1" spans="1:12" ht="41.25" customHeight="1">
      <c r="B1" s="114" t="s">
        <v>333</v>
      </c>
      <c r="E1" s="115"/>
      <c r="F1" s="29"/>
      <c r="G1" s="29"/>
      <c r="H1" s="29"/>
      <c r="I1" s="470"/>
    </row>
    <row r="2" spans="1:12" ht="15.75" customHeight="1" thickBot="1">
      <c r="B2" s="435" t="s">
        <v>45</v>
      </c>
      <c r="C2" s="711"/>
      <c r="D2" s="711"/>
      <c r="E2" s="711"/>
      <c r="F2" s="711"/>
      <c r="G2" s="711"/>
      <c r="H2" s="711"/>
      <c r="I2" s="262"/>
    </row>
    <row r="3" spans="1:12" ht="76.5" customHeight="1">
      <c r="B3" s="116" t="s">
        <v>251</v>
      </c>
      <c r="C3" s="117" t="s">
        <v>643</v>
      </c>
      <c r="D3" s="117" t="s">
        <v>487</v>
      </c>
      <c r="E3" s="117" t="s">
        <v>252</v>
      </c>
      <c r="F3" s="117" t="s">
        <v>253</v>
      </c>
      <c r="G3" s="117" t="s">
        <v>275</v>
      </c>
      <c r="H3" s="117" t="s">
        <v>276</v>
      </c>
      <c r="I3" s="118" t="s">
        <v>254</v>
      </c>
    </row>
    <row r="4" spans="1:12" s="120" customFormat="1" ht="50.1" customHeight="1">
      <c r="A4" s="119" t="s">
        <v>57</v>
      </c>
      <c r="B4" s="274" t="s">
        <v>57</v>
      </c>
      <c r="C4" s="399">
        <v>60</v>
      </c>
      <c r="D4" s="399">
        <v>0</v>
      </c>
      <c r="E4" s="457">
        <v>0</v>
      </c>
      <c r="F4" s="457">
        <v>0</v>
      </c>
      <c r="G4" s="457">
        <v>24</v>
      </c>
      <c r="H4" s="457">
        <v>0</v>
      </c>
      <c r="I4" s="459"/>
    </row>
    <row r="5" spans="1:12" s="120" customFormat="1" ht="50.1" customHeight="1">
      <c r="A5" s="121" t="s">
        <v>59</v>
      </c>
      <c r="B5" s="274" t="s">
        <v>61</v>
      </c>
      <c r="C5" s="399">
        <v>779</v>
      </c>
      <c r="D5" s="399">
        <v>0</v>
      </c>
      <c r="E5" s="457">
        <v>24</v>
      </c>
      <c r="F5" s="457">
        <v>0</v>
      </c>
      <c r="G5" s="457">
        <v>0</v>
      </c>
      <c r="H5" s="457">
        <v>20</v>
      </c>
      <c r="I5" s="459"/>
    </row>
    <row r="6" spans="1:12" s="120" customFormat="1" ht="50.1" customHeight="1">
      <c r="A6" s="119" t="s">
        <v>62</v>
      </c>
      <c r="B6" s="274" t="s">
        <v>63</v>
      </c>
      <c r="C6" s="399">
        <v>225</v>
      </c>
      <c r="D6" s="399">
        <v>0</v>
      </c>
      <c r="E6" s="457">
        <v>0</v>
      </c>
      <c r="F6" s="457">
        <v>12</v>
      </c>
      <c r="G6" s="457">
        <v>0</v>
      </c>
      <c r="H6" s="457">
        <v>0</v>
      </c>
      <c r="I6" s="458"/>
    </row>
    <row r="7" spans="1:12" s="120" customFormat="1" ht="50.1" customHeight="1">
      <c r="A7" s="119" t="s">
        <v>64</v>
      </c>
      <c r="B7" s="274" t="s">
        <v>66</v>
      </c>
      <c r="C7" s="399">
        <v>205</v>
      </c>
      <c r="D7" s="399">
        <v>0</v>
      </c>
      <c r="E7" s="457">
        <v>0</v>
      </c>
      <c r="F7" s="457">
        <v>9</v>
      </c>
      <c r="G7" s="457">
        <v>0</v>
      </c>
      <c r="H7" s="457">
        <v>0</v>
      </c>
      <c r="I7" s="458" t="s">
        <v>683</v>
      </c>
      <c r="K7" s="122"/>
      <c r="L7" s="123"/>
    </row>
    <row r="8" spans="1:12" s="120" customFormat="1" ht="50.1" customHeight="1">
      <c r="A8" s="119" t="s">
        <v>67</v>
      </c>
      <c r="B8" s="274" t="s">
        <v>69</v>
      </c>
      <c r="C8" s="399">
        <v>33</v>
      </c>
      <c r="D8" s="399">
        <v>0</v>
      </c>
      <c r="E8" s="457">
        <v>0</v>
      </c>
      <c r="F8" s="457">
        <v>1</v>
      </c>
      <c r="G8" s="457">
        <v>0</v>
      </c>
      <c r="H8" s="457">
        <v>0</v>
      </c>
      <c r="I8" s="458"/>
      <c r="K8" s="122"/>
      <c r="L8" s="123"/>
    </row>
    <row r="9" spans="1:12" s="120" customFormat="1" ht="89.25">
      <c r="A9" s="119" t="s">
        <v>70</v>
      </c>
      <c r="B9" s="274" t="s">
        <v>71</v>
      </c>
      <c r="C9" s="399">
        <v>674</v>
      </c>
      <c r="D9" s="399">
        <v>0</v>
      </c>
      <c r="E9" s="457">
        <v>0</v>
      </c>
      <c r="F9" s="457">
        <v>24</v>
      </c>
      <c r="G9" s="457">
        <v>0</v>
      </c>
      <c r="H9" s="457">
        <v>41</v>
      </c>
      <c r="I9" s="459" t="s">
        <v>684</v>
      </c>
      <c r="K9" s="122"/>
      <c r="L9" s="123"/>
    </row>
    <row r="10" spans="1:12" s="120" customFormat="1" ht="50.1" customHeight="1">
      <c r="A10" s="119" t="s">
        <v>191</v>
      </c>
      <c r="B10" s="274" t="s">
        <v>73</v>
      </c>
      <c r="C10" s="399">
        <v>521</v>
      </c>
      <c r="D10" s="399">
        <v>0</v>
      </c>
      <c r="E10" s="457">
        <v>0</v>
      </c>
      <c r="F10" s="457">
        <v>30</v>
      </c>
      <c r="G10" s="457">
        <v>0</v>
      </c>
      <c r="H10" s="457">
        <v>10</v>
      </c>
      <c r="I10" s="459"/>
      <c r="K10" s="122"/>
      <c r="L10" s="123"/>
    </row>
    <row r="11" spans="1:12" s="120" customFormat="1" ht="50.1" customHeight="1">
      <c r="A11" s="119" t="s">
        <v>74</v>
      </c>
      <c r="B11" s="274" t="s">
        <v>75</v>
      </c>
      <c r="C11" s="399">
        <v>675</v>
      </c>
      <c r="D11" s="399">
        <v>0</v>
      </c>
      <c r="E11" s="457">
        <v>16</v>
      </c>
      <c r="F11" s="457">
        <v>0</v>
      </c>
      <c r="G11" s="457">
        <v>0</v>
      </c>
      <c r="H11" s="457">
        <v>40</v>
      </c>
      <c r="I11" s="459" t="s">
        <v>685</v>
      </c>
      <c r="K11" s="122"/>
      <c r="L11" s="123"/>
    </row>
    <row r="12" spans="1:12" s="120" customFormat="1" ht="50.1" customHeight="1">
      <c r="A12" s="119" t="s">
        <v>76</v>
      </c>
      <c r="B12" s="274" t="s">
        <v>78</v>
      </c>
      <c r="C12" s="399">
        <v>136</v>
      </c>
      <c r="D12" s="399">
        <v>0</v>
      </c>
      <c r="E12" s="457">
        <v>0</v>
      </c>
      <c r="F12" s="457">
        <v>8</v>
      </c>
      <c r="G12" s="457">
        <v>0</v>
      </c>
      <c r="H12" s="457">
        <v>0</v>
      </c>
      <c r="I12" s="459"/>
      <c r="K12" s="122"/>
      <c r="L12" s="123"/>
    </row>
    <row r="13" spans="1:12" s="120" customFormat="1" ht="50.1" customHeight="1">
      <c r="A13" s="119" t="s">
        <v>79</v>
      </c>
      <c r="B13" s="274" t="s">
        <v>80</v>
      </c>
      <c r="C13" s="399">
        <v>630</v>
      </c>
      <c r="D13" s="399">
        <v>5</v>
      </c>
      <c r="E13" s="457">
        <v>0</v>
      </c>
      <c r="F13" s="457">
        <v>38</v>
      </c>
      <c r="G13" s="457">
        <v>0</v>
      </c>
      <c r="H13" s="457">
        <v>0</v>
      </c>
      <c r="I13" s="459"/>
      <c r="K13" s="122"/>
      <c r="L13" s="123"/>
    </row>
    <row r="14" spans="1:12" s="120" customFormat="1" ht="50.1" customHeight="1">
      <c r="A14" s="119" t="s">
        <v>81</v>
      </c>
      <c r="B14" s="274" t="s">
        <v>83</v>
      </c>
      <c r="C14" s="399">
        <v>198</v>
      </c>
      <c r="D14" s="399">
        <v>0</v>
      </c>
      <c r="E14" s="457">
        <v>0</v>
      </c>
      <c r="F14" s="457">
        <v>17</v>
      </c>
      <c r="G14" s="457">
        <v>0</v>
      </c>
      <c r="H14" s="457">
        <v>0</v>
      </c>
      <c r="I14" s="458"/>
      <c r="K14" s="122"/>
      <c r="L14" s="123"/>
    </row>
    <row r="15" spans="1:12" s="120" customFormat="1" ht="50.1" customHeight="1">
      <c r="A15" s="119"/>
      <c r="B15" s="274" t="s">
        <v>468</v>
      </c>
      <c r="C15" s="399">
        <v>1178</v>
      </c>
      <c r="D15" s="399">
        <v>0</v>
      </c>
      <c r="E15" s="457">
        <v>26</v>
      </c>
      <c r="F15" s="457">
        <v>60</v>
      </c>
      <c r="G15" s="457">
        <v>0</v>
      </c>
      <c r="H15" s="457">
        <v>0</v>
      </c>
      <c r="I15" s="458"/>
      <c r="K15" s="122"/>
      <c r="L15" s="123"/>
    </row>
    <row r="16" spans="1:12" s="120" customFormat="1" ht="50.1" customHeight="1">
      <c r="A16" s="119" t="s">
        <v>84</v>
      </c>
      <c r="B16" s="274" t="s">
        <v>85</v>
      </c>
      <c r="C16" s="399">
        <v>380</v>
      </c>
      <c r="D16" s="399">
        <v>0</v>
      </c>
      <c r="E16" s="457">
        <v>0</v>
      </c>
      <c r="F16" s="457">
        <v>30</v>
      </c>
      <c r="G16" s="457">
        <v>0</v>
      </c>
      <c r="H16" s="457">
        <v>0</v>
      </c>
      <c r="I16" s="458"/>
      <c r="K16" s="122"/>
      <c r="L16" s="123"/>
    </row>
    <row r="17" spans="1:12" s="120" customFormat="1" ht="50.1" customHeight="1">
      <c r="A17" s="119" t="s">
        <v>88</v>
      </c>
      <c r="B17" s="274" t="s">
        <v>90</v>
      </c>
      <c r="C17" s="399">
        <v>31</v>
      </c>
      <c r="D17" s="399">
        <v>0</v>
      </c>
      <c r="E17" s="457">
        <v>0</v>
      </c>
      <c r="F17" s="457">
        <v>0</v>
      </c>
      <c r="G17" s="457">
        <v>0</v>
      </c>
      <c r="H17" s="457">
        <v>0</v>
      </c>
      <c r="I17" s="458"/>
      <c r="K17" s="122"/>
      <c r="L17" s="123"/>
    </row>
    <row r="18" spans="1:12" s="120" customFormat="1" ht="50.1" customHeight="1">
      <c r="A18" s="119" t="s">
        <v>91</v>
      </c>
      <c r="B18" s="274" t="s">
        <v>93</v>
      </c>
      <c r="C18" s="399">
        <v>65</v>
      </c>
      <c r="D18" s="399">
        <v>0</v>
      </c>
      <c r="E18" s="457">
        <v>0</v>
      </c>
      <c r="F18" s="457">
        <v>0</v>
      </c>
      <c r="G18" s="457">
        <v>0</v>
      </c>
      <c r="H18" s="457">
        <v>0</v>
      </c>
      <c r="I18" s="469"/>
      <c r="K18" s="122"/>
      <c r="L18" s="123"/>
    </row>
    <row r="19" spans="1:12" s="120" customFormat="1" ht="50.1" customHeight="1">
      <c r="A19" s="119" t="s">
        <v>94</v>
      </c>
      <c r="B19" s="274" t="s">
        <v>96</v>
      </c>
      <c r="C19" s="399">
        <v>60</v>
      </c>
      <c r="D19" s="399">
        <v>0</v>
      </c>
      <c r="E19" s="457">
        <v>0</v>
      </c>
      <c r="F19" s="457">
        <v>6</v>
      </c>
      <c r="G19" s="457">
        <v>0</v>
      </c>
      <c r="H19" s="457">
        <v>0</v>
      </c>
      <c r="I19" s="458"/>
      <c r="K19" s="122"/>
      <c r="L19" s="123"/>
    </row>
    <row r="20" spans="1:12" s="120" customFormat="1" ht="50.1" customHeight="1">
      <c r="A20" s="119" t="s">
        <v>97</v>
      </c>
      <c r="B20" s="274" t="s">
        <v>99</v>
      </c>
      <c r="C20" s="399">
        <v>315</v>
      </c>
      <c r="D20" s="399">
        <v>0</v>
      </c>
      <c r="E20" s="457">
        <v>0</v>
      </c>
      <c r="F20" s="457">
        <v>22</v>
      </c>
      <c r="G20" s="457">
        <v>0</v>
      </c>
      <c r="H20" s="457">
        <v>0</v>
      </c>
      <c r="I20" s="458"/>
      <c r="K20" s="122"/>
      <c r="L20" s="123"/>
    </row>
    <row r="21" spans="1:12" s="120" customFormat="1" ht="50.1" customHeight="1">
      <c r="A21" s="119" t="s">
        <v>100</v>
      </c>
      <c r="B21" s="274" t="s">
        <v>102</v>
      </c>
      <c r="C21" s="399">
        <v>315</v>
      </c>
      <c r="D21" s="399">
        <v>0</v>
      </c>
      <c r="E21" s="457">
        <v>0</v>
      </c>
      <c r="F21" s="457">
        <v>18</v>
      </c>
      <c r="G21" s="457">
        <v>0</v>
      </c>
      <c r="H21" s="457">
        <v>0</v>
      </c>
      <c r="I21" s="458"/>
      <c r="K21" s="122"/>
      <c r="L21" s="123"/>
    </row>
    <row r="22" spans="1:12" s="120" customFormat="1" ht="50.1" customHeight="1">
      <c r="A22" s="119" t="s">
        <v>103</v>
      </c>
      <c r="B22" s="274" t="s">
        <v>513</v>
      </c>
      <c r="C22" s="399">
        <v>303</v>
      </c>
      <c r="D22" s="399">
        <v>0</v>
      </c>
      <c r="E22" s="457">
        <v>0</v>
      </c>
      <c r="F22" s="457">
        <v>20</v>
      </c>
      <c r="G22" s="457">
        <v>0</v>
      </c>
      <c r="H22" s="457">
        <v>0</v>
      </c>
      <c r="I22" s="458"/>
      <c r="K22" s="122"/>
      <c r="L22" s="123"/>
    </row>
    <row r="23" spans="1:12" ht="50.1" customHeight="1">
      <c r="A23" s="124" t="s">
        <v>106</v>
      </c>
      <c r="B23" s="274" t="s">
        <v>106</v>
      </c>
      <c r="C23" s="399">
        <v>349</v>
      </c>
      <c r="D23" s="399">
        <v>0</v>
      </c>
      <c r="E23" s="457">
        <v>0</v>
      </c>
      <c r="F23" s="457">
        <v>25</v>
      </c>
      <c r="G23" s="457">
        <v>0</v>
      </c>
      <c r="H23" s="457">
        <v>0</v>
      </c>
      <c r="I23" s="458"/>
      <c r="K23" s="125"/>
      <c r="L23" s="126"/>
    </row>
    <row r="24" spans="1:12" ht="50.1" customHeight="1">
      <c r="A24" s="124" t="s">
        <v>192</v>
      </c>
      <c r="B24" s="274" t="s">
        <v>110</v>
      </c>
      <c r="C24" s="399">
        <v>961</v>
      </c>
      <c r="D24" s="399">
        <v>0</v>
      </c>
      <c r="E24" s="457">
        <v>0</v>
      </c>
      <c r="F24" s="457">
        <v>44</v>
      </c>
      <c r="G24" s="457">
        <v>0</v>
      </c>
      <c r="H24" s="457">
        <v>0</v>
      </c>
      <c r="I24" s="458" t="s">
        <v>686</v>
      </c>
      <c r="K24" s="125"/>
      <c r="L24" s="126"/>
    </row>
    <row r="25" spans="1:12" ht="50.1" customHeight="1">
      <c r="A25" s="124" t="s">
        <v>111</v>
      </c>
      <c r="B25" s="274" t="s">
        <v>113</v>
      </c>
      <c r="C25" s="399">
        <v>278</v>
      </c>
      <c r="D25" s="399">
        <v>0</v>
      </c>
      <c r="E25" s="457">
        <v>0</v>
      </c>
      <c r="F25" s="457">
        <v>22</v>
      </c>
      <c r="G25" s="457">
        <v>0</v>
      </c>
      <c r="H25" s="457">
        <v>0</v>
      </c>
      <c r="I25" s="458"/>
      <c r="K25" s="125"/>
      <c r="L25" s="126"/>
    </row>
    <row r="26" spans="1:12" ht="50.1" customHeight="1">
      <c r="A26" s="124" t="s">
        <v>114</v>
      </c>
      <c r="B26" s="275" t="s">
        <v>116</v>
      </c>
      <c r="C26" s="400">
        <v>236</v>
      </c>
      <c r="D26" s="399">
        <v>0</v>
      </c>
      <c r="E26" s="457">
        <v>0</v>
      </c>
      <c r="F26" s="457">
        <v>40</v>
      </c>
      <c r="G26" s="457">
        <v>0</v>
      </c>
      <c r="H26" s="457">
        <v>0</v>
      </c>
      <c r="I26" s="469" t="s">
        <v>687</v>
      </c>
      <c r="K26" s="125"/>
      <c r="L26" s="126"/>
    </row>
    <row r="27" spans="1:12" ht="50.1" customHeight="1">
      <c r="A27" s="124" t="s">
        <v>117</v>
      </c>
      <c r="B27" s="275" t="s">
        <v>119</v>
      </c>
      <c r="C27" s="400">
        <v>30</v>
      </c>
      <c r="D27" s="399">
        <v>0</v>
      </c>
      <c r="E27" s="457">
        <v>0</v>
      </c>
      <c r="F27" s="457">
        <v>0</v>
      </c>
      <c r="G27" s="457">
        <v>0</v>
      </c>
      <c r="H27" s="457">
        <v>0</v>
      </c>
      <c r="I27" s="458" t="s">
        <v>329</v>
      </c>
      <c r="K27" s="125"/>
      <c r="L27" s="126"/>
    </row>
    <row r="28" spans="1:12" ht="50.1" customHeight="1">
      <c r="A28" s="124" t="s">
        <v>120</v>
      </c>
      <c r="B28" s="275" t="s">
        <v>122</v>
      </c>
      <c r="C28" s="400">
        <v>40</v>
      </c>
      <c r="D28" s="399"/>
      <c r="E28" s="457"/>
      <c r="F28" s="457"/>
      <c r="G28" s="457"/>
      <c r="H28" s="457"/>
      <c r="I28" s="458"/>
      <c r="K28" s="125"/>
      <c r="L28" s="126"/>
    </row>
    <row r="29" spans="1:12" ht="63.75">
      <c r="A29" s="124" t="s">
        <v>123</v>
      </c>
      <c r="B29" s="275" t="s">
        <v>125</v>
      </c>
      <c r="C29" s="400">
        <v>477</v>
      </c>
      <c r="D29" s="399">
        <v>0</v>
      </c>
      <c r="E29" s="457">
        <v>18</v>
      </c>
      <c r="F29" s="457">
        <v>0</v>
      </c>
      <c r="G29" s="457">
        <v>0</v>
      </c>
      <c r="H29" s="457">
        <v>10</v>
      </c>
      <c r="I29" s="736" t="s">
        <v>688</v>
      </c>
      <c r="K29" s="125"/>
      <c r="L29" s="126"/>
    </row>
    <row r="30" spans="1:12" ht="50.1" customHeight="1">
      <c r="A30" s="124" t="s">
        <v>126</v>
      </c>
      <c r="B30" s="275" t="s">
        <v>128</v>
      </c>
      <c r="C30" s="400">
        <v>225</v>
      </c>
      <c r="D30" s="399">
        <v>0</v>
      </c>
      <c r="E30" s="457">
        <v>0</v>
      </c>
      <c r="F30" s="457">
        <v>22</v>
      </c>
      <c r="G30" s="457">
        <v>0</v>
      </c>
      <c r="H30" s="460">
        <v>0</v>
      </c>
      <c r="I30" s="458"/>
      <c r="K30" s="125"/>
      <c r="L30" s="126"/>
    </row>
    <row r="31" spans="1:12" ht="50.1" customHeight="1">
      <c r="A31" s="124" t="s">
        <v>129</v>
      </c>
      <c r="B31" s="275" t="s">
        <v>131</v>
      </c>
      <c r="C31" s="400">
        <v>1</v>
      </c>
      <c r="D31" s="399"/>
      <c r="E31" s="457"/>
      <c r="F31" s="457"/>
      <c r="G31" s="457"/>
      <c r="H31" s="457"/>
      <c r="I31" s="469"/>
      <c r="K31" s="125"/>
      <c r="L31" s="126"/>
    </row>
    <row r="32" spans="1:12" ht="50.1" customHeight="1">
      <c r="A32" s="124" t="s">
        <v>132</v>
      </c>
      <c r="B32" s="275" t="s">
        <v>133</v>
      </c>
      <c r="C32" s="400">
        <v>26</v>
      </c>
      <c r="D32" s="399">
        <v>0</v>
      </c>
      <c r="E32" s="457">
        <v>0</v>
      </c>
      <c r="F32" s="457">
        <v>6</v>
      </c>
      <c r="G32" s="457">
        <v>0</v>
      </c>
      <c r="H32" s="457">
        <v>0</v>
      </c>
      <c r="I32" s="458"/>
      <c r="K32" s="125"/>
      <c r="L32" s="126"/>
    </row>
    <row r="33" spans="1:9" ht="50.1" customHeight="1" thickBot="1">
      <c r="A33" s="124" t="s">
        <v>260</v>
      </c>
      <c r="B33" s="199" t="s">
        <v>260</v>
      </c>
      <c r="C33" s="401">
        <f>SUM(C4:C32)</f>
        <v>9406</v>
      </c>
      <c r="D33" s="456">
        <f t="shared" ref="D33:H33" si="0">SUM(D4:D32)</f>
        <v>5</v>
      </c>
      <c r="E33" s="461">
        <f t="shared" si="0"/>
        <v>84</v>
      </c>
      <c r="F33" s="461">
        <f t="shared" si="0"/>
        <v>454</v>
      </c>
      <c r="G33" s="461">
        <f t="shared" si="0"/>
        <v>24</v>
      </c>
      <c r="H33" s="461">
        <f t="shared" si="0"/>
        <v>121</v>
      </c>
      <c r="I33" s="734"/>
    </row>
    <row r="34" spans="1:9" ht="15" customHeight="1">
      <c r="A34" s="124"/>
      <c r="B34" s="200"/>
      <c r="C34" s="201"/>
      <c r="D34" s="201"/>
      <c r="E34" s="201"/>
      <c r="F34" s="201"/>
      <c r="G34" s="201"/>
      <c r="H34" s="201"/>
      <c r="I34" s="735"/>
    </row>
    <row r="35" spans="1:9">
      <c r="B35" s="127" t="s">
        <v>392</v>
      </c>
    </row>
    <row r="36" spans="1:9" ht="15" customHeight="1">
      <c r="B36" s="943" t="s">
        <v>689</v>
      </c>
      <c r="C36" s="943"/>
      <c r="D36" s="943"/>
      <c r="E36" s="943"/>
      <c r="F36" s="943"/>
      <c r="G36" s="943"/>
      <c r="H36" s="943"/>
      <c r="I36" s="943"/>
    </row>
    <row r="37" spans="1:9" ht="15" customHeight="1">
      <c r="B37" s="943"/>
      <c r="C37" s="943"/>
      <c r="D37" s="943"/>
      <c r="E37" s="943"/>
      <c r="F37" s="943"/>
      <c r="G37" s="943"/>
      <c r="H37" s="943"/>
      <c r="I37" s="943"/>
    </row>
    <row r="38" spans="1:9" ht="15" customHeight="1">
      <c r="B38" s="943"/>
      <c r="C38" s="943"/>
      <c r="D38" s="943"/>
      <c r="E38" s="943"/>
      <c r="F38" s="943"/>
      <c r="G38" s="943"/>
      <c r="H38" s="943"/>
      <c r="I38" s="943"/>
    </row>
    <row r="39" spans="1:9">
      <c r="B39" s="29"/>
      <c r="C39" s="29"/>
      <c r="D39" s="29"/>
      <c r="E39" s="29"/>
      <c r="F39" s="29"/>
      <c r="G39" s="29"/>
      <c r="H39" s="29"/>
    </row>
  </sheetData>
  <sheetProtection password="B8D9" sheet="1" objects="1" scenarios="1"/>
  <mergeCells count="1">
    <mergeCell ref="B36:I38"/>
  </mergeCells>
  <hyperlinks>
    <hyperlink ref="B2" location="'List of Tables &amp; Charts'!A1" display="return to List of Tables &amp; Charts"/>
  </hyperlinks>
  <printOptions horizontalCentered="1"/>
  <pageMargins left="0" right="0" top="0.39370078740157483" bottom="0.47244094488188981" header="0.15748031496062992" footer="0.19685039370078741"/>
  <pageSetup paperSize="9" scale="43" orientation="portrait" r:id="rId1"/>
  <headerFooter alignWithMargins="0">
    <oddFooter>&amp;L&amp;8Scottish Stroke Care Audit 2017 National Report
Stroke Services in Scottish Hospitals, Data relating to 2016&amp;R&amp;8© NHS National Services Scotland/Crown Copyright</oddFooter>
  </headerFooter>
  <drawing r:id="rId2"/>
</worksheet>
</file>

<file path=xl/worksheets/sheet40.xml><?xml version="1.0" encoding="utf-8"?>
<worksheet xmlns="http://schemas.openxmlformats.org/spreadsheetml/2006/main" xmlns:r="http://schemas.openxmlformats.org/officeDocument/2006/relationships">
  <sheetPr codeName="Sheet44">
    <pageSetUpPr fitToPage="1"/>
  </sheetPr>
  <dimension ref="A1:R52"/>
  <sheetViews>
    <sheetView showGridLines="0" zoomScaleNormal="100" workbookViewId="0">
      <selection sqref="A1:B1"/>
    </sheetView>
  </sheetViews>
  <sheetFormatPr defaultRowHeight="12.75"/>
  <cols>
    <col min="1" max="1" width="16.7109375" style="688" customWidth="1"/>
    <col min="2" max="2" width="45.7109375" style="688" bestFit="1" customWidth="1"/>
    <col min="3" max="3" width="6.7109375" style="685" customWidth="1"/>
    <col min="4" max="4" width="10.7109375" style="685" customWidth="1"/>
    <col min="5" max="5" width="6.7109375" style="685" customWidth="1"/>
    <col min="6" max="6" width="10.7109375" style="685" customWidth="1"/>
    <col min="7" max="7" width="6.7109375" style="685" customWidth="1"/>
    <col min="8" max="8" width="10.7109375" style="685" customWidth="1"/>
    <col min="9" max="12" width="2.7109375" style="685" customWidth="1"/>
    <col min="13" max="13" width="9.28515625" style="688" customWidth="1"/>
    <col min="14" max="14" width="11.28515625" style="688" customWidth="1"/>
    <col min="15" max="15" width="9.28515625" style="688" customWidth="1"/>
    <col min="16" max="16" width="11.28515625" style="688" customWidth="1"/>
    <col min="17" max="17" width="9.28515625" style="688" customWidth="1"/>
    <col min="18" max="18" width="11.28515625" style="688" customWidth="1"/>
    <col min="19" max="16384" width="9.140625" style="688"/>
  </cols>
  <sheetData>
    <row r="1" spans="1:18" ht="25.5" customHeight="1">
      <c r="A1" s="1038">
        <v>2015</v>
      </c>
      <c r="B1" s="1039"/>
      <c r="C1" s="1062" t="s">
        <v>42</v>
      </c>
      <c r="D1" s="1063"/>
      <c r="E1" s="1063"/>
      <c r="F1" s="1063"/>
      <c r="G1" s="1063"/>
      <c r="H1" s="1064"/>
      <c r="I1" s="36"/>
      <c r="J1" s="37"/>
      <c r="K1" s="553" t="s">
        <v>46</v>
      </c>
      <c r="L1" s="539" t="s">
        <v>47</v>
      </c>
      <c r="M1" s="1018" t="s">
        <v>48</v>
      </c>
      <c r="N1" s="1018"/>
      <c r="O1" s="1018" t="s">
        <v>49</v>
      </c>
      <c r="P1" s="1018"/>
      <c r="Q1" s="1018" t="s">
        <v>50</v>
      </c>
      <c r="R1" s="1018"/>
    </row>
    <row r="2" spans="1:18" ht="45" customHeight="1">
      <c r="A2" s="38" t="s">
        <v>24</v>
      </c>
      <c r="B2" s="39" t="s">
        <v>25</v>
      </c>
      <c r="C2" s="40" t="s">
        <v>51</v>
      </c>
      <c r="D2" s="40" t="s">
        <v>52</v>
      </c>
      <c r="E2" s="40" t="s">
        <v>53</v>
      </c>
      <c r="F2" s="40" t="s">
        <v>52</v>
      </c>
      <c r="G2" s="40" t="s">
        <v>54</v>
      </c>
      <c r="H2" s="40" t="s">
        <v>52</v>
      </c>
      <c r="I2" s="41" t="s">
        <v>55</v>
      </c>
      <c r="J2" s="42" t="s">
        <v>56</v>
      </c>
      <c r="K2" s="552"/>
      <c r="L2" s="537" t="s">
        <v>274</v>
      </c>
      <c r="M2" s="43" t="s">
        <v>26</v>
      </c>
      <c r="N2" s="43" t="s">
        <v>27</v>
      </c>
      <c r="O2" s="43" t="s">
        <v>26</v>
      </c>
      <c r="P2" s="43" t="s">
        <v>27</v>
      </c>
      <c r="Q2" s="43" t="s">
        <v>26</v>
      </c>
      <c r="R2" s="43" t="s">
        <v>27</v>
      </c>
    </row>
    <row r="3" spans="1:18">
      <c r="A3" s="45" t="s">
        <v>134</v>
      </c>
      <c r="B3" s="45" t="s">
        <v>134</v>
      </c>
      <c r="C3" s="46">
        <f t="shared" ref="C3" si="0">IF(ISERR(M3/N3*100),"",M3/N3*100)</f>
        <v>54.862508383635145</v>
      </c>
      <c r="D3" s="46" t="str">
        <f t="shared" ref="D3" si="1">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54 - 56</v>
      </c>
      <c r="E3" s="46">
        <f t="shared" ref="E3" si="2">IF(ISERR((M3+O3)/P3*100),"",(M3+O3)/P3*100)</f>
        <v>90.057008718980541</v>
      </c>
      <c r="F3" s="46" t="str">
        <f t="shared" ref="F3" si="3">IF(AND(AND(P3&gt;0,SUM(M3+O3)&gt;0),ROUND(SUM(100*((2*(M3+O3)+1.96^2)-(1.96*(SQRT(1.96^2+4*(M3+O3)*(1-((M3+O3)/P3))))))/(2*(P3+1.96^2))),0)&lt;0),CONCATENATE(SUM(1*0)," - ",ROUND(SUM(100*((2*(M3+O3)+1.96^2)+(1.96*(SQRT(1.96^2+4*(M3+O3)*(1-((M3+O3)/P3))))))/(2*(P3+1.96^2))),0)),IF(AND(AND(P3&gt;0,SUM(M3+O3)&gt;0),ROUND(SUM(100*((2*(M3+O3)+1.96^2)-(1.96*(SQRT(1.96^2+4*(M3+O3)*(1-((M3+O3)/P3))))))/(2*(P3+1.96^2))),0)&gt;=0),CONCATENATE(ROUND(SUM(100*((2*(M3+O3)+1.96^2)-(1.96*(SQRT(1.96^2+4*(M3+O3)*(1-((M3+O3)/P3))))))/(2*(P3+1.96^2))),0)," - ",ROUND(SUM(100*((2*(M3+O3)+1.96^2)+(1.96*(SQRT(1.96^2+4*(M3+O3)*(1-((M3+O3)/P3))))))/(2*(P3+1.96^2))),0)),""))</f>
        <v>89 - 91</v>
      </c>
      <c r="G3" s="46">
        <f t="shared" ref="G3" si="4">IF(ISERR((M3+O3+Q3)/R3*100),"",(M3+O3+Q3)/R3*100)</f>
        <v>94.081153588195846</v>
      </c>
      <c r="H3" s="46" t="str">
        <f t="shared" ref="H3" si="5">IF(AND(AND(R3&gt;0,SUM(M3+O3+Q3)&gt;0),ROUND(SUM(100*((2*(M3+O3+Q3)+1.96^2)-(1.96*(SQRT(1.96^2+4*(M3+O3+Q3)*(1-((M3+O3+Q3)/R3))))))/(2*(R3+1.96^2))),0)&lt;0),CONCATENATE(SUM(1*0)," - ",ROUND(SUM(100*((2*(M3+O3+Q3)+1.96^2)+(1.96*(SQRT(1.96^2+4*(M3+O3+Q3)*(1-((M3+O3+Q3)/R3))))))/(2*(R3+1.96^2))),0)),IF(AND(AND(R3&gt;0,SUM(M3+O3+Q3)&gt;0),ROUND(SUM(100*((2*(M3+O3+Q3)+1.96^2)-(1.96*(SQRT(1.96^2+4*(M3+O3+Q3)*(1-((M3+O3+Q3)/R3))))))/(2*(R3+1.96^2))),0)&gt;=0),CONCATENATE(ROUND(SUM(100*((2*(M3+O3+Q3)+1.96^2)-(1.96*(SQRT(1.96^2+4*(M3+O3+Q3)*(1-((M3+O3+Q3)/R3))))))/(2*(R3+1.96^2))),0)," - ",ROUND(SUM(100*((2*(M3+O3+Q3)+1.96^2)+(1.96*(SQRT(1.96^2+4*(M3+O3+Q3)*(1-((M3+O3+Q3)/R3))))))/(2*(R3+1.96^2))),0)),""))</f>
        <v>93 - 95</v>
      </c>
      <c r="I3" s="551">
        <f t="shared" ref="I3" si="6">E3-C3</f>
        <v>35.194500335345396</v>
      </c>
      <c r="J3" s="534">
        <f t="shared" ref="J3" si="7">G3-E3</f>
        <v>4.0241448692153057</v>
      </c>
      <c r="K3" s="550">
        <v>60</v>
      </c>
      <c r="L3" s="549">
        <v>95</v>
      </c>
      <c r="M3" s="405">
        <f t="shared" ref="M3:R3" si="8">SUM(M4:M31)</f>
        <v>3272</v>
      </c>
      <c r="N3" s="405">
        <f t="shared" si="8"/>
        <v>5964</v>
      </c>
      <c r="O3" s="405">
        <f t="shared" si="8"/>
        <v>2099</v>
      </c>
      <c r="P3" s="405">
        <f t="shared" si="8"/>
        <v>5964</v>
      </c>
      <c r="Q3" s="405">
        <f t="shared" si="8"/>
        <v>240</v>
      </c>
      <c r="R3" s="405">
        <f t="shared" si="8"/>
        <v>5964</v>
      </c>
    </row>
    <row r="4" spans="1:18">
      <c r="A4" s="45" t="s">
        <v>68</v>
      </c>
      <c r="B4" s="45" t="s">
        <v>69</v>
      </c>
      <c r="C4" s="46">
        <f t="shared" ref="C4:C31" si="9">IF(ISERR(M4/N4*100),"",M4/N4*100)</f>
        <v>69.230769230769226</v>
      </c>
      <c r="D4" s="46" t="str">
        <f t="shared" ref="D4:D31" si="10">IF(AND(AND(N4&gt;0,M4&gt;0),ROUND(SUM(100*((2*M4+1.96^2)-(1.96*(SQRT(1.96^2+4*M4*(1-(M4/N4))))))/(2*(N4+1.96^2))),0)&lt;0),CONCATENATE(SUM(1*0)," - ",ROUND(SUM(100*((2*M4+1.96^2)+(1.96*(SQRT(1.96^2+4*M4*(1-(M4/N4))))))/(2*(N4+1.96^2))),0)),IF(AND(AND(N4&gt;0,M4&gt;0),ROUND(SUM(100*((2*M4+1.96^2)-(1.96*(SQRT(1.96^2+4*M4*(1-(M4/N4))))))/(2*(N4+1.96^2))),0)&gt;=0),CONCATENATE(ROUND(SUM(100*((2*M4+1.96^2)-(1.96*(SQRT(1.96^2+4*M4*(1-(M4/N4))))))/(2*(N4+1.96^2))),0)," - ",ROUND(SUM(100*((2*M4+1.96^2)+(1.96*(SQRT(1.96^2+4*M4*(1-(M4/N4))))))/(2*(N4+1.96^2))),0)),""))</f>
        <v>50 - 83</v>
      </c>
      <c r="E4" s="46">
        <f t="shared" ref="E4:E31" si="11">IF(ISERR((M4+O4)/P4*100),"",(M4+O4)/P4*100)</f>
        <v>92.307692307692307</v>
      </c>
      <c r="F4" s="46" t="str">
        <f t="shared" ref="F4:F31" si="12">IF(AND(AND(P4&gt;0,SUM(M4+O4)&gt;0),ROUND(SUM(100*((2*(M4+O4)+1.96^2)-(1.96*(SQRT(1.96^2+4*(M4+O4)*(1-((M4+O4)/P4))))))/(2*(P4+1.96^2))),0)&lt;0),CONCATENATE(SUM(1*0)," - ",ROUND(SUM(100*((2*(M4+O4)+1.96^2)+(1.96*(SQRT(1.96^2+4*(M4+O4)*(1-((M4+O4)/P4))))))/(2*(P4+1.96^2))),0)),IF(AND(AND(P4&gt;0,SUM(M4+O4)&gt;0),ROUND(SUM(100*((2*(M4+O4)+1.96^2)-(1.96*(SQRT(1.96^2+4*(M4+O4)*(1-((M4+O4)/P4))))))/(2*(P4+1.96^2))),0)&gt;=0),CONCATENATE(ROUND(SUM(100*((2*(M4+O4)+1.96^2)-(1.96*(SQRT(1.96^2+4*(M4+O4)*(1-((M4+O4)/P4))))))/(2*(P4+1.96^2))),0)," - ",ROUND(SUM(100*((2*(M4+O4)+1.96^2)+(1.96*(SQRT(1.96^2+4*(M4+O4)*(1-((M4+O4)/P4))))))/(2*(P4+1.96^2))),0)),""))</f>
        <v>76 - 98</v>
      </c>
      <c r="G4" s="46">
        <f t="shared" ref="G4:G31" si="13">IF(ISERR((M4+O4+Q4)/R4*100),"",(M4+O4+Q4)/R4*100)</f>
        <v>100</v>
      </c>
      <c r="H4" s="46" t="str">
        <f t="shared" ref="H4:H31" si="14">IF(AND(AND(R4&gt;0,SUM(M4+O4+Q4)&gt;0),ROUND(SUM(100*((2*(M4+O4+Q4)+1.96^2)-(1.96*(SQRT(1.96^2+4*(M4+O4+Q4)*(1-((M4+O4+Q4)/R4))))))/(2*(R4+1.96^2))),0)&lt;0),CONCATENATE(SUM(1*0)," - ",ROUND(SUM(100*((2*(M4+O4+Q4)+1.96^2)+(1.96*(SQRT(1.96^2+4*(M4+O4+Q4)*(1-((M4+O4+Q4)/R4))))))/(2*(R4+1.96^2))),0)),IF(AND(AND(R4&gt;0,SUM(M4+O4+Q4)&gt;0),ROUND(SUM(100*((2*(M4+O4+Q4)+1.96^2)-(1.96*(SQRT(1.96^2+4*(M4+O4+Q4)*(1-((M4+O4+Q4)/R4))))))/(2*(R4+1.96^2))),0)&gt;=0),CONCATENATE(ROUND(SUM(100*((2*(M4+O4+Q4)+1.96^2)-(1.96*(SQRT(1.96^2+4*(M4+O4+Q4)*(1-((M4+O4+Q4)/R4))))))/(2*(R4+1.96^2))),0)," - ",ROUND(SUM(100*((2*(M4+O4+Q4)+1.96^2)+(1.96*(SQRT(1.96^2+4*(M4+O4+Q4)*(1-((M4+O4+Q4)/R4))))))/(2*(R4+1.96^2))),0)),""))</f>
        <v>87 - 100</v>
      </c>
      <c r="I4" s="548">
        <f t="shared" ref="I4:I31" si="15">E4-C4</f>
        <v>23.07692307692308</v>
      </c>
      <c r="J4" s="547">
        <f t="shared" ref="J4:J31" si="16">G4-E4</f>
        <v>7.6923076923076934</v>
      </c>
      <c r="K4" s="546">
        <v>60</v>
      </c>
      <c r="L4" s="545">
        <v>95</v>
      </c>
      <c r="M4" s="405">
        <v>18</v>
      </c>
      <c r="N4" s="405">
        <v>26</v>
      </c>
      <c r="O4" s="405">
        <v>6</v>
      </c>
      <c r="P4" s="405">
        <v>26</v>
      </c>
      <c r="Q4" s="405">
        <v>2</v>
      </c>
      <c r="R4" s="405">
        <v>26</v>
      </c>
    </row>
    <row r="5" spans="1:18">
      <c r="A5" s="45" t="s">
        <v>92</v>
      </c>
      <c r="B5" s="45" t="s">
        <v>93</v>
      </c>
      <c r="C5" s="46">
        <f t="shared" si="9"/>
        <v>75.555555555555557</v>
      </c>
      <c r="D5" s="46" t="str">
        <f t="shared" si="10"/>
        <v>61 - 86</v>
      </c>
      <c r="E5" s="46">
        <f t="shared" si="11"/>
        <v>95.555555555555557</v>
      </c>
      <c r="F5" s="46" t="str">
        <f t="shared" si="12"/>
        <v>85 - 99</v>
      </c>
      <c r="G5" s="46">
        <f t="shared" si="13"/>
        <v>100</v>
      </c>
      <c r="H5" s="46" t="str">
        <f t="shared" si="14"/>
        <v>92 - 100</v>
      </c>
      <c r="I5" s="548">
        <f t="shared" si="15"/>
        <v>20</v>
      </c>
      <c r="J5" s="547">
        <f t="shared" si="16"/>
        <v>4.4444444444444429</v>
      </c>
      <c r="K5" s="546">
        <v>60</v>
      </c>
      <c r="L5" s="545">
        <v>95</v>
      </c>
      <c r="M5" s="405">
        <v>34</v>
      </c>
      <c r="N5" s="405">
        <v>45</v>
      </c>
      <c r="O5" s="405">
        <v>9</v>
      </c>
      <c r="P5" s="405">
        <v>45</v>
      </c>
      <c r="Q5" s="405">
        <v>2</v>
      </c>
      <c r="R5" s="405">
        <v>45</v>
      </c>
    </row>
    <row r="6" spans="1:18">
      <c r="A6" s="45" t="s">
        <v>121</v>
      </c>
      <c r="B6" s="45" t="s">
        <v>122</v>
      </c>
      <c r="C6" s="46">
        <f t="shared" si="9"/>
        <v>59.259259259259252</v>
      </c>
      <c r="D6" s="46" t="str">
        <f t="shared" si="10"/>
        <v>41 - 75</v>
      </c>
      <c r="E6" s="46">
        <f t="shared" si="11"/>
        <v>92.592592592592595</v>
      </c>
      <c r="F6" s="46" t="str">
        <f t="shared" si="12"/>
        <v>77 - 98</v>
      </c>
      <c r="G6" s="46">
        <f t="shared" si="13"/>
        <v>100</v>
      </c>
      <c r="H6" s="46" t="str">
        <f t="shared" si="14"/>
        <v>88 - 100</v>
      </c>
      <c r="I6" s="548">
        <f t="shared" si="15"/>
        <v>33.333333333333343</v>
      </c>
      <c r="J6" s="547">
        <f t="shared" si="16"/>
        <v>7.4074074074074048</v>
      </c>
      <c r="K6" s="546">
        <v>60</v>
      </c>
      <c r="L6" s="545">
        <v>95</v>
      </c>
      <c r="M6" s="405">
        <v>16</v>
      </c>
      <c r="N6" s="405">
        <v>27</v>
      </c>
      <c r="O6" s="405">
        <v>9</v>
      </c>
      <c r="P6" s="405">
        <v>27</v>
      </c>
      <c r="Q6" s="405">
        <v>2</v>
      </c>
      <c r="R6" s="405">
        <v>27</v>
      </c>
    </row>
    <row r="7" spans="1:18">
      <c r="A7" s="45" t="s">
        <v>28</v>
      </c>
      <c r="B7" s="45" t="s">
        <v>63</v>
      </c>
      <c r="C7" s="46">
        <f t="shared" si="9"/>
        <v>73.103448275862064</v>
      </c>
      <c r="D7" s="46" t="str">
        <f t="shared" si="10"/>
        <v>65 - 80</v>
      </c>
      <c r="E7" s="46">
        <f t="shared" si="11"/>
        <v>97.931034482758619</v>
      </c>
      <c r="F7" s="46" t="str">
        <f t="shared" si="12"/>
        <v>94 - 99</v>
      </c>
      <c r="G7" s="46">
        <f t="shared" si="13"/>
        <v>99.310344827586206</v>
      </c>
      <c r="H7" s="46" t="str">
        <f t="shared" si="14"/>
        <v>96 - 100</v>
      </c>
      <c r="I7" s="548">
        <f t="shared" si="15"/>
        <v>24.827586206896555</v>
      </c>
      <c r="J7" s="547">
        <f t="shared" si="16"/>
        <v>1.3793103448275872</v>
      </c>
      <c r="K7" s="546">
        <v>60</v>
      </c>
      <c r="L7" s="545">
        <v>95</v>
      </c>
      <c r="M7" s="405">
        <v>106</v>
      </c>
      <c r="N7" s="405">
        <v>145</v>
      </c>
      <c r="O7" s="405">
        <v>36</v>
      </c>
      <c r="P7" s="405">
        <v>145</v>
      </c>
      <c r="Q7" s="405">
        <v>2</v>
      </c>
      <c r="R7" s="405">
        <v>145</v>
      </c>
    </row>
    <row r="8" spans="1:18">
      <c r="A8" s="45" t="s">
        <v>65</v>
      </c>
      <c r="B8" s="45" t="s">
        <v>66</v>
      </c>
      <c r="C8" s="46">
        <f t="shared" si="9"/>
        <v>53.424657534246577</v>
      </c>
      <c r="D8" s="46" t="str">
        <f t="shared" si="10"/>
        <v>45 - 61</v>
      </c>
      <c r="E8" s="46">
        <f t="shared" si="11"/>
        <v>93.150684931506845</v>
      </c>
      <c r="F8" s="46" t="str">
        <f t="shared" si="12"/>
        <v>88 - 96</v>
      </c>
      <c r="G8" s="46">
        <f t="shared" si="13"/>
        <v>97.260273972602747</v>
      </c>
      <c r="H8" s="46" t="str">
        <f t="shared" si="14"/>
        <v>93 - 99</v>
      </c>
      <c r="I8" s="548">
        <f t="shared" si="15"/>
        <v>39.726027397260268</v>
      </c>
      <c r="J8" s="547">
        <f t="shared" si="16"/>
        <v>4.1095890410959015</v>
      </c>
      <c r="K8" s="546">
        <v>60</v>
      </c>
      <c r="L8" s="545">
        <v>95</v>
      </c>
      <c r="M8" s="405">
        <v>78</v>
      </c>
      <c r="N8" s="405">
        <v>146</v>
      </c>
      <c r="O8" s="405">
        <v>58</v>
      </c>
      <c r="P8" s="405">
        <v>146</v>
      </c>
      <c r="Q8" s="405">
        <v>6</v>
      </c>
      <c r="R8" s="405">
        <v>146</v>
      </c>
    </row>
    <row r="9" spans="1:18">
      <c r="A9" s="45" t="s">
        <v>82</v>
      </c>
      <c r="B9" s="45" t="s">
        <v>83</v>
      </c>
      <c r="C9" s="46">
        <f t="shared" si="9"/>
        <v>49.068322981366457</v>
      </c>
      <c r="D9" s="46" t="str">
        <f t="shared" si="10"/>
        <v>41 - 57</v>
      </c>
      <c r="E9" s="46">
        <f t="shared" si="11"/>
        <v>94.409937888198755</v>
      </c>
      <c r="F9" s="46" t="str">
        <f t="shared" si="12"/>
        <v>90 - 97</v>
      </c>
      <c r="G9" s="46">
        <f t="shared" si="13"/>
        <v>96.894409937888199</v>
      </c>
      <c r="H9" s="46" t="str">
        <f t="shared" si="14"/>
        <v>93 - 99</v>
      </c>
      <c r="I9" s="548">
        <f t="shared" si="15"/>
        <v>45.341614906832298</v>
      </c>
      <c r="J9" s="547">
        <f t="shared" si="16"/>
        <v>2.4844720496894439</v>
      </c>
      <c r="K9" s="546">
        <v>60</v>
      </c>
      <c r="L9" s="545">
        <v>95</v>
      </c>
      <c r="M9" s="405">
        <v>79</v>
      </c>
      <c r="N9" s="405">
        <v>161</v>
      </c>
      <c r="O9" s="405">
        <v>73</v>
      </c>
      <c r="P9" s="405">
        <v>161</v>
      </c>
      <c r="Q9" s="405">
        <v>4</v>
      </c>
      <c r="R9" s="405">
        <v>161</v>
      </c>
    </row>
    <row r="10" spans="1:18">
      <c r="A10" s="45" t="s">
        <v>183</v>
      </c>
      <c r="B10" s="45" t="s">
        <v>73</v>
      </c>
      <c r="C10" s="46">
        <f t="shared" si="9"/>
        <v>51.351351351351347</v>
      </c>
      <c r="D10" s="46" t="str">
        <f t="shared" si="10"/>
        <v>47 - 56</v>
      </c>
      <c r="E10" s="46">
        <f t="shared" si="11"/>
        <v>93.120393120393118</v>
      </c>
      <c r="F10" s="46" t="str">
        <f t="shared" si="12"/>
        <v>90 - 95</v>
      </c>
      <c r="G10" s="46">
        <f t="shared" si="13"/>
        <v>96.805896805896808</v>
      </c>
      <c r="H10" s="46" t="str">
        <f t="shared" si="14"/>
        <v>95 - 98</v>
      </c>
      <c r="I10" s="548">
        <f t="shared" si="15"/>
        <v>41.76904176904177</v>
      </c>
      <c r="J10" s="547">
        <f t="shared" si="16"/>
        <v>3.68550368550369</v>
      </c>
      <c r="K10" s="546">
        <v>60</v>
      </c>
      <c r="L10" s="545">
        <v>95</v>
      </c>
      <c r="M10" s="405">
        <v>209</v>
      </c>
      <c r="N10" s="405">
        <v>407</v>
      </c>
      <c r="O10" s="405">
        <v>170</v>
      </c>
      <c r="P10" s="405">
        <v>407</v>
      </c>
      <c r="Q10" s="405">
        <v>15</v>
      </c>
      <c r="R10" s="405">
        <v>407</v>
      </c>
    </row>
    <row r="11" spans="1:18">
      <c r="A11" s="45" t="s">
        <v>112</v>
      </c>
      <c r="B11" s="45" t="s">
        <v>113</v>
      </c>
      <c r="C11" s="46">
        <f t="shared" si="9"/>
        <v>70.391061452513966</v>
      </c>
      <c r="D11" s="46" t="str">
        <f t="shared" si="10"/>
        <v>63 - 77</v>
      </c>
      <c r="E11" s="46">
        <f t="shared" si="11"/>
        <v>95.530726256983243</v>
      </c>
      <c r="F11" s="46" t="str">
        <f t="shared" si="12"/>
        <v>91 - 98</v>
      </c>
      <c r="G11" s="46">
        <f t="shared" si="13"/>
        <v>96.648044692737429</v>
      </c>
      <c r="H11" s="46" t="str">
        <f t="shared" si="14"/>
        <v>93 - 98</v>
      </c>
      <c r="I11" s="548">
        <f t="shared" si="15"/>
        <v>25.139664804469277</v>
      </c>
      <c r="J11" s="547">
        <f t="shared" si="16"/>
        <v>1.1173184357541857</v>
      </c>
      <c r="K11" s="546">
        <v>60</v>
      </c>
      <c r="L11" s="545">
        <v>95</v>
      </c>
      <c r="M11" s="405">
        <v>126</v>
      </c>
      <c r="N11" s="405">
        <v>179</v>
      </c>
      <c r="O11" s="405">
        <v>45</v>
      </c>
      <c r="P11" s="405">
        <v>179</v>
      </c>
      <c r="Q11" s="405">
        <v>2</v>
      </c>
      <c r="R11" s="405">
        <v>179</v>
      </c>
    </row>
    <row r="12" spans="1:18">
      <c r="A12" s="45" t="s">
        <v>77</v>
      </c>
      <c r="B12" s="45" t="s">
        <v>78</v>
      </c>
      <c r="C12" s="46">
        <f t="shared" si="9"/>
        <v>69.662921348314612</v>
      </c>
      <c r="D12" s="46" t="str">
        <f t="shared" si="10"/>
        <v>59 - 78</v>
      </c>
      <c r="E12" s="46">
        <f t="shared" si="11"/>
        <v>94.382022471910105</v>
      </c>
      <c r="F12" s="46" t="str">
        <f t="shared" si="12"/>
        <v>88 - 98</v>
      </c>
      <c r="G12" s="46">
        <f t="shared" si="13"/>
        <v>96.629213483146074</v>
      </c>
      <c r="H12" s="46" t="str">
        <f t="shared" si="14"/>
        <v>91 - 99</v>
      </c>
      <c r="I12" s="548">
        <f t="shared" si="15"/>
        <v>24.719101123595493</v>
      </c>
      <c r="J12" s="547">
        <f t="shared" si="16"/>
        <v>2.2471910112359694</v>
      </c>
      <c r="K12" s="546">
        <v>60</v>
      </c>
      <c r="L12" s="545">
        <v>95</v>
      </c>
      <c r="M12" s="405">
        <v>62</v>
      </c>
      <c r="N12" s="405">
        <v>89</v>
      </c>
      <c r="O12" s="405">
        <v>22</v>
      </c>
      <c r="P12" s="405">
        <v>89</v>
      </c>
      <c r="Q12" s="405">
        <v>2</v>
      </c>
      <c r="R12" s="405">
        <v>89</v>
      </c>
    </row>
    <row r="13" spans="1:18">
      <c r="A13" s="45" t="s">
        <v>104</v>
      </c>
      <c r="B13" s="45" t="s">
        <v>105</v>
      </c>
      <c r="C13" s="46">
        <f t="shared" si="9"/>
        <v>29.004329004329005</v>
      </c>
      <c r="D13" s="46" t="str">
        <f t="shared" si="10"/>
        <v>24 - 35</v>
      </c>
      <c r="E13" s="46">
        <f t="shared" si="11"/>
        <v>88.744588744588754</v>
      </c>
      <c r="F13" s="46" t="str">
        <f t="shared" si="12"/>
        <v>84 - 92</v>
      </c>
      <c r="G13" s="46">
        <f t="shared" si="13"/>
        <v>96.103896103896105</v>
      </c>
      <c r="H13" s="46" t="str">
        <f t="shared" si="14"/>
        <v>93 - 98</v>
      </c>
      <c r="I13" s="548">
        <f t="shared" si="15"/>
        <v>59.740259740259745</v>
      </c>
      <c r="J13" s="547">
        <f t="shared" si="16"/>
        <v>7.3593073593073512</v>
      </c>
      <c r="K13" s="546">
        <v>60</v>
      </c>
      <c r="L13" s="545">
        <v>95</v>
      </c>
      <c r="M13" s="405">
        <v>67</v>
      </c>
      <c r="N13" s="405">
        <v>231</v>
      </c>
      <c r="O13" s="405">
        <v>138</v>
      </c>
      <c r="P13" s="405">
        <v>231</v>
      </c>
      <c r="Q13" s="405">
        <v>17</v>
      </c>
      <c r="R13" s="405">
        <v>231</v>
      </c>
    </row>
    <row r="14" spans="1:18">
      <c r="A14" s="45" t="s">
        <v>107</v>
      </c>
      <c r="B14" s="45" t="s">
        <v>106</v>
      </c>
      <c r="C14" s="46">
        <f t="shared" si="9"/>
        <v>53.070175438596493</v>
      </c>
      <c r="D14" s="46" t="str">
        <f t="shared" si="10"/>
        <v>47 - 59</v>
      </c>
      <c r="E14" s="46">
        <f t="shared" si="11"/>
        <v>94.73684210526315</v>
      </c>
      <c r="F14" s="46" t="str">
        <f t="shared" si="12"/>
        <v>91 - 97</v>
      </c>
      <c r="G14" s="46">
        <f t="shared" si="13"/>
        <v>96.05263157894737</v>
      </c>
      <c r="H14" s="46" t="str">
        <f t="shared" si="14"/>
        <v>93 - 98</v>
      </c>
      <c r="I14" s="548">
        <f t="shared" si="15"/>
        <v>41.666666666666657</v>
      </c>
      <c r="J14" s="547">
        <f t="shared" si="16"/>
        <v>1.3157894736842195</v>
      </c>
      <c r="K14" s="546">
        <v>60</v>
      </c>
      <c r="L14" s="545">
        <v>95</v>
      </c>
      <c r="M14" s="405">
        <v>121</v>
      </c>
      <c r="N14" s="405">
        <v>228</v>
      </c>
      <c r="O14" s="405">
        <v>95</v>
      </c>
      <c r="P14" s="405">
        <v>228</v>
      </c>
      <c r="Q14" s="405">
        <v>3</v>
      </c>
      <c r="R14" s="405">
        <v>228</v>
      </c>
    </row>
    <row r="15" spans="1:18">
      <c r="A15" s="45" t="s">
        <v>174</v>
      </c>
      <c r="B15" s="45" t="s">
        <v>71</v>
      </c>
      <c r="C15" s="46">
        <f t="shared" si="9"/>
        <v>58.612975391498878</v>
      </c>
      <c r="D15" s="46" t="str">
        <f t="shared" si="10"/>
        <v>54 - 63</v>
      </c>
      <c r="E15" s="46">
        <f t="shared" si="11"/>
        <v>94.407158836689035</v>
      </c>
      <c r="F15" s="46" t="str">
        <f t="shared" si="12"/>
        <v>92 - 96</v>
      </c>
      <c r="G15" s="46">
        <f t="shared" si="13"/>
        <v>95.973154362416096</v>
      </c>
      <c r="H15" s="46" t="str">
        <f t="shared" si="14"/>
        <v>94 - 97</v>
      </c>
      <c r="I15" s="548">
        <f t="shared" si="15"/>
        <v>35.794183445190157</v>
      </c>
      <c r="J15" s="547">
        <f t="shared" si="16"/>
        <v>1.565995525727061</v>
      </c>
      <c r="K15" s="546">
        <v>60</v>
      </c>
      <c r="L15" s="545">
        <v>95</v>
      </c>
      <c r="M15" s="405">
        <v>262</v>
      </c>
      <c r="N15" s="405">
        <v>447</v>
      </c>
      <c r="O15" s="405">
        <v>160</v>
      </c>
      <c r="P15" s="405">
        <v>447</v>
      </c>
      <c r="Q15" s="405">
        <v>7</v>
      </c>
      <c r="R15" s="405">
        <v>447</v>
      </c>
    </row>
    <row r="16" spans="1:18">
      <c r="A16" s="45" t="s">
        <v>98</v>
      </c>
      <c r="B16" s="45" t="s">
        <v>99</v>
      </c>
      <c r="C16" s="46">
        <f t="shared" si="9"/>
        <v>61.946902654867252</v>
      </c>
      <c r="D16" s="46" t="str">
        <f t="shared" si="10"/>
        <v>55 - 68</v>
      </c>
      <c r="E16" s="46">
        <f t="shared" si="11"/>
        <v>92.920353982300881</v>
      </c>
      <c r="F16" s="46" t="str">
        <f t="shared" si="12"/>
        <v>89 - 96</v>
      </c>
      <c r="G16" s="46">
        <f t="shared" si="13"/>
        <v>95.575221238938056</v>
      </c>
      <c r="H16" s="46" t="str">
        <f t="shared" si="14"/>
        <v>92 - 98</v>
      </c>
      <c r="I16" s="548">
        <f t="shared" si="15"/>
        <v>30.973451327433629</v>
      </c>
      <c r="J16" s="547">
        <f t="shared" si="16"/>
        <v>2.6548672566371749</v>
      </c>
      <c r="K16" s="546">
        <v>60</v>
      </c>
      <c r="L16" s="545">
        <v>95</v>
      </c>
      <c r="M16" s="405">
        <v>140</v>
      </c>
      <c r="N16" s="405">
        <v>226</v>
      </c>
      <c r="O16" s="405">
        <v>70</v>
      </c>
      <c r="P16" s="405">
        <v>226</v>
      </c>
      <c r="Q16" s="405">
        <v>6</v>
      </c>
      <c r="R16" s="405">
        <v>226</v>
      </c>
    </row>
    <row r="17" spans="1:18">
      <c r="A17" s="45" t="s">
        <v>124</v>
      </c>
      <c r="B17" s="45" t="s">
        <v>125</v>
      </c>
      <c r="C17" s="46">
        <f t="shared" si="9"/>
        <v>45.878136200716845</v>
      </c>
      <c r="D17" s="46" t="str">
        <f t="shared" si="10"/>
        <v>40 - 52</v>
      </c>
      <c r="E17" s="46">
        <f t="shared" si="11"/>
        <v>90.322580645161281</v>
      </c>
      <c r="F17" s="46" t="str">
        <f t="shared" si="12"/>
        <v>86 - 93</v>
      </c>
      <c r="G17" s="46">
        <f t="shared" si="13"/>
        <v>95.340501792114694</v>
      </c>
      <c r="H17" s="46" t="str">
        <f t="shared" si="14"/>
        <v>92 - 97</v>
      </c>
      <c r="I17" s="548">
        <f t="shared" si="15"/>
        <v>44.444444444444436</v>
      </c>
      <c r="J17" s="547">
        <f t="shared" si="16"/>
        <v>5.0179211469534124</v>
      </c>
      <c r="K17" s="546">
        <v>60</v>
      </c>
      <c r="L17" s="545">
        <v>95</v>
      </c>
      <c r="M17" s="405">
        <v>128</v>
      </c>
      <c r="N17" s="405">
        <v>279</v>
      </c>
      <c r="O17" s="405">
        <v>124</v>
      </c>
      <c r="P17" s="405">
        <v>279</v>
      </c>
      <c r="Q17" s="405">
        <v>14</v>
      </c>
      <c r="R17" s="405">
        <v>279</v>
      </c>
    </row>
    <row r="18" spans="1:18">
      <c r="A18" s="45" t="s">
        <v>184</v>
      </c>
      <c r="B18" s="45" t="s">
        <v>80</v>
      </c>
      <c r="C18" s="46">
        <f t="shared" si="9"/>
        <v>61.707317073170728</v>
      </c>
      <c r="D18" s="46" t="str">
        <f t="shared" si="10"/>
        <v>57 - 66</v>
      </c>
      <c r="E18" s="46">
        <f t="shared" si="11"/>
        <v>90.975609756097569</v>
      </c>
      <c r="F18" s="46" t="str">
        <f t="shared" si="12"/>
        <v>88 - 93</v>
      </c>
      <c r="G18" s="46">
        <f t="shared" si="13"/>
        <v>95.121951219512198</v>
      </c>
      <c r="H18" s="46" t="str">
        <f t="shared" si="14"/>
        <v>93 - 97</v>
      </c>
      <c r="I18" s="548">
        <f t="shared" si="15"/>
        <v>29.268292682926841</v>
      </c>
      <c r="J18" s="547">
        <f t="shared" si="16"/>
        <v>4.1463414634146289</v>
      </c>
      <c r="K18" s="546">
        <v>60</v>
      </c>
      <c r="L18" s="545">
        <v>95</v>
      </c>
      <c r="M18" s="405">
        <v>253</v>
      </c>
      <c r="N18" s="405">
        <v>410</v>
      </c>
      <c r="O18" s="405">
        <v>120</v>
      </c>
      <c r="P18" s="405">
        <v>410</v>
      </c>
      <c r="Q18" s="405">
        <v>17</v>
      </c>
      <c r="R18" s="405">
        <v>410</v>
      </c>
    </row>
    <row r="19" spans="1:18">
      <c r="A19" s="45" t="s">
        <v>37</v>
      </c>
      <c r="B19" s="45" t="s">
        <v>133</v>
      </c>
      <c r="C19" s="46">
        <f t="shared" si="9"/>
        <v>70</v>
      </c>
      <c r="D19" s="46" t="str">
        <f t="shared" si="10"/>
        <v>48 - 85</v>
      </c>
      <c r="E19" s="46">
        <f t="shared" si="11"/>
        <v>95</v>
      </c>
      <c r="F19" s="46" t="str">
        <f t="shared" si="12"/>
        <v>76 - 99</v>
      </c>
      <c r="G19" s="46">
        <f t="shared" si="13"/>
        <v>95</v>
      </c>
      <c r="H19" s="46" t="str">
        <f t="shared" si="14"/>
        <v>76 - 99</v>
      </c>
      <c r="I19" s="548">
        <f t="shared" si="15"/>
        <v>25</v>
      </c>
      <c r="J19" s="547">
        <f t="shared" si="16"/>
        <v>0</v>
      </c>
      <c r="K19" s="546">
        <v>60</v>
      </c>
      <c r="L19" s="545">
        <v>95</v>
      </c>
      <c r="M19" s="405">
        <v>14</v>
      </c>
      <c r="N19" s="405">
        <v>20</v>
      </c>
      <c r="O19" s="405">
        <v>5</v>
      </c>
      <c r="P19" s="405">
        <v>20</v>
      </c>
      <c r="Q19" s="405">
        <v>0</v>
      </c>
      <c r="R19" s="405">
        <v>20</v>
      </c>
    </row>
    <row r="20" spans="1:18">
      <c r="A20" s="45" t="s">
        <v>60</v>
      </c>
      <c r="B20" s="45" t="s">
        <v>61</v>
      </c>
      <c r="C20" s="46">
        <f t="shared" si="9"/>
        <v>27.611940298507463</v>
      </c>
      <c r="D20" s="46" t="str">
        <f t="shared" si="10"/>
        <v>23 - 33</v>
      </c>
      <c r="E20" s="46">
        <f t="shared" si="11"/>
        <v>88.059701492537314</v>
      </c>
      <c r="F20" s="46" t="str">
        <f t="shared" si="12"/>
        <v>84 - 91</v>
      </c>
      <c r="G20" s="46">
        <f t="shared" si="13"/>
        <v>94.029850746268664</v>
      </c>
      <c r="H20" s="46" t="str">
        <f t="shared" si="14"/>
        <v>91 - 96</v>
      </c>
      <c r="I20" s="548">
        <f t="shared" si="15"/>
        <v>60.447761194029852</v>
      </c>
      <c r="J20" s="547">
        <f t="shared" si="16"/>
        <v>5.9701492537313499</v>
      </c>
      <c r="K20" s="546">
        <v>60</v>
      </c>
      <c r="L20" s="545">
        <v>95</v>
      </c>
      <c r="M20" s="405">
        <v>74</v>
      </c>
      <c r="N20" s="405">
        <v>268</v>
      </c>
      <c r="O20" s="405">
        <v>162</v>
      </c>
      <c r="P20" s="405">
        <v>268</v>
      </c>
      <c r="Q20" s="405">
        <v>16</v>
      </c>
      <c r="R20" s="405">
        <v>268</v>
      </c>
    </row>
    <row r="21" spans="1:18">
      <c r="A21" s="45" t="s">
        <v>127</v>
      </c>
      <c r="B21" s="45" t="s">
        <v>128</v>
      </c>
      <c r="C21" s="46">
        <f t="shared" si="9"/>
        <v>66.379310344827587</v>
      </c>
      <c r="D21" s="46" t="str">
        <f t="shared" si="10"/>
        <v>57 - 74</v>
      </c>
      <c r="E21" s="46">
        <f t="shared" si="11"/>
        <v>91.379310344827587</v>
      </c>
      <c r="F21" s="46" t="str">
        <f t="shared" si="12"/>
        <v>85 - 95</v>
      </c>
      <c r="G21" s="46">
        <f t="shared" si="13"/>
        <v>93.965517241379317</v>
      </c>
      <c r="H21" s="46" t="str">
        <f t="shared" si="14"/>
        <v>88 - 97</v>
      </c>
      <c r="I21" s="548">
        <f t="shared" si="15"/>
        <v>25</v>
      </c>
      <c r="J21" s="547">
        <f t="shared" si="16"/>
        <v>2.5862068965517295</v>
      </c>
      <c r="K21" s="546">
        <v>60</v>
      </c>
      <c r="L21" s="545">
        <v>95</v>
      </c>
      <c r="M21" s="405">
        <v>77</v>
      </c>
      <c r="N21" s="405">
        <v>116</v>
      </c>
      <c r="O21" s="405">
        <v>29</v>
      </c>
      <c r="P21" s="405">
        <v>116</v>
      </c>
      <c r="Q21" s="405">
        <v>3</v>
      </c>
      <c r="R21" s="405">
        <v>116</v>
      </c>
    </row>
    <row r="22" spans="1:18">
      <c r="A22" s="45" t="s">
        <v>101</v>
      </c>
      <c r="B22" s="45" t="s">
        <v>102</v>
      </c>
      <c r="C22" s="46">
        <f t="shared" si="9"/>
        <v>56.000000000000007</v>
      </c>
      <c r="D22" s="46" t="str">
        <f t="shared" si="10"/>
        <v>49 - 62</v>
      </c>
      <c r="E22" s="46">
        <f t="shared" si="11"/>
        <v>89.333333333333329</v>
      </c>
      <c r="F22" s="46" t="str">
        <f t="shared" si="12"/>
        <v>85 - 93</v>
      </c>
      <c r="G22" s="46">
        <f t="shared" si="13"/>
        <v>93.777777777777786</v>
      </c>
      <c r="H22" s="46" t="str">
        <f t="shared" si="14"/>
        <v>90 - 96</v>
      </c>
      <c r="I22" s="548">
        <f t="shared" si="15"/>
        <v>33.333333333333321</v>
      </c>
      <c r="J22" s="547">
        <f t="shared" si="16"/>
        <v>4.4444444444444571</v>
      </c>
      <c r="K22" s="546">
        <v>60</v>
      </c>
      <c r="L22" s="545">
        <v>95</v>
      </c>
      <c r="M22" s="405">
        <v>126</v>
      </c>
      <c r="N22" s="405">
        <v>225</v>
      </c>
      <c r="O22" s="405">
        <v>75</v>
      </c>
      <c r="P22" s="405">
        <v>225</v>
      </c>
      <c r="Q22" s="405">
        <v>10</v>
      </c>
      <c r="R22" s="405">
        <v>225</v>
      </c>
    </row>
    <row r="23" spans="1:18">
      <c r="A23" s="45" t="s">
        <v>89</v>
      </c>
      <c r="B23" s="45" t="s">
        <v>90</v>
      </c>
      <c r="C23" s="46">
        <f t="shared" si="9"/>
        <v>60</v>
      </c>
      <c r="D23" s="46" t="str">
        <f t="shared" si="10"/>
        <v>36 - 80</v>
      </c>
      <c r="E23" s="46">
        <f t="shared" si="11"/>
        <v>86.666666666666671</v>
      </c>
      <c r="F23" s="46" t="str">
        <f t="shared" si="12"/>
        <v>62 - 96</v>
      </c>
      <c r="G23" s="46">
        <f t="shared" si="13"/>
        <v>93.333333333333329</v>
      </c>
      <c r="H23" s="46" t="str">
        <f t="shared" si="14"/>
        <v>70 - 99</v>
      </c>
      <c r="I23" s="548">
        <f t="shared" si="15"/>
        <v>26.666666666666671</v>
      </c>
      <c r="J23" s="547">
        <f t="shared" si="16"/>
        <v>6.6666666666666572</v>
      </c>
      <c r="K23" s="546">
        <v>60</v>
      </c>
      <c r="L23" s="545">
        <v>95</v>
      </c>
      <c r="M23" s="405">
        <v>9</v>
      </c>
      <c r="N23" s="405">
        <v>15</v>
      </c>
      <c r="O23" s="405">
        <v>4</v>
      </c>
      <c r="P23" s="405">
        <v>15</v>
      </c>
      <c r="Q23" s="405">
        <v>1</v>
      </c>
      <c r="R23" s="405">
        <v>15</v>
      </c>
    </row>
    <row r="24" spans="1:18">
      <c r="A24" s="45" t="s">
        <v>175</v>
      </c>
      <c r="B24" s="45" t="s">
        <v>75</v>
      </c>
      <c r="C24" s="46">
        <f t="shared" si="9"/>
        <v>69.146005509641867</v>
      </c>
      <c r="D24" s="46" t="str">
        <f t="shared" si="10"/>
        <v>64 - 74</v>
      </c>
      <c r="E24" s="46">
        <f t="shared" si="11"/>
        <v>88.980716253443532</v>
      </c>
      <c r="F24" s="46" t="str">
        <f t="shared" si="12"/>
        <v>85 - 92</v>
      </c>
      <c r="G24" s="46">
        <f t="shared" si="13"/>
        <v>93.112947658402206</v>
      </c>
      <c r="H24" s="46" t="str">
        <f t="shared" si="14"/>
        <v>90 - 95</v>
      </c>
      <c r="I24" s="548">
        <f t="shared" si="15"/>
        <v>19.834710743801665</v>
      </c>
      <c r="J24" s="547">
        <f t="shared" si="16"/>
        <v>4.1322314049586737</v>
      </c>
      <c r="K24" s="546">
        <v>60</v>
      </c>
      <c r="L24" s="545">
        <v>95</v>
      </c>
      <c r="M24" s="405">
        <v>251</v>
      </c>
      <c r="N24" s="405">
        <v>363</v>
      </c>
      <c r="O24" s="405">
        <v>72</v>
      </c>
      <c r="P24" s="405">
        <v>363</v>
      </c>
      <c r="Q24" s="405">
        <v>15</v>
      </c>
      <c r="R24" s="405">
        <v>363</v>
      </c>
    </row>
    <row r="25" spans="1:18">
      <c r="A25" s="45" t="s">
        <v>185</v>
      </c>
      <c r="B25" s="45" t="s">
        <v>85</v>
      </c>
      <c r="C25" s="46">
        <f t="shared" si="9"/>
        <v>44.688644688644693</v>
      </c>
      <c r="D25" s="46" t="str">
        <f t="shared" si="10"/>
        <v>39 - 51</v>
      </c>
      <c r="E25" s="46">
        <f t="shared" si="11"/>
        <v>86.080586080586087</v>
      </c>
      <c r="F25" s="46" t="str">
        <f t="shared" si="12"/>
        <v>81 - 90</v>
      </c>
      <c r="G25" s="46">
        <f t="shared" si="13"/>
        <v>91.575091575091577</v>
      </c>
      <c r="H25" s="46" t="str">
        <f t="shared" si="14"/>
        <v>88 - 94</v>
      </c>
      <c r="I25" s="548">
        <f t="shared" si="15"/>
        <v>41.391941391941394</v>
      </c>
      <c r="J25" s="547">
        <f t="shared" si="16"/>
        <v>5.4945054945054892</v>
      </c>
      <c r="K25" s="546">
        <v>60</v>
      </c>
      <c r="L25" s="545">
        <v>95</v>
      </c>
      <c r="M25" s="405">
        <v>122</v>
      </c>
      <c r="N25" s="405">
        <v>273</v>
      </c>
      <c r="O25" s="405">
        <v>113</v>
      </c>
      <c r="P25" s="405">
        <v>273</v>
      </c>
      <c r="Q25" s="405">
        <v>15</v>
      </c>
      <c r="R25" s="405">
        <v>273</v>
      </c>
    </row>
    <row r="26" spans="1:18">
      <c r="A26" s="45" t="s">
        <v>459</v>
      </c>
      <c r="B26" s="45" t="s">
        <v>460</v>
      </c>
      <c r="C26" s="46">
        <f t="shared" si="9"/>
        <v>59.264931087289426</v>
      </c>
      <c r="D26" s="46" t="str">
        <f t="shared" si="10"/>
        <v>55 - 63</v>
      </c>
      <c r="E26" s="46">
        <f t="shared" si="11"/>
        <v>87.289433384379791</v>
      </c>
      <c r="F26" s="46" t="str">
        <f t="shared" si="12"/>
        <v>85 - 90</v>
      </c>
      <c r="G26" s="46">
        <f t="shared" si="13"/>
        <v>90.964777947932618</v>
      </c>
      <c r="H26" s="46" t="str">
        <f t="shared" si="14"/>
        <v>89 - 93</v>
      </c>
      <c r="I26" s="548">
        <f t="shared" si="15"/>
        <v>28.024502297090365</v>
      </c>
      <c r="J26" s="547">
        <f t="shared" si="16"/>
        <v>3.6753445635528266</v>
      </c>
      <c r="K26" s="546">
        <v>60</v>
      </c>
      <c r="L26" s="545">
        <v>95</v>
      </c>
      <c r="M26" s="405">
        <v>387</v>
      </c>
      <c r="N26" s="405">
        <v>653</v>
      </c>
      <c r="O26" s="405">
        <v>183</v>
      </c>
      <c r="P26" s="405">
        <v>653</v>
      </c>
      <c r="Q26" s="405">
        <v>24</v>
      </c>
      <c r="R26" s="405">
        <v>653</v>
      </c>
    </row>
    <row r="27" spans="1:18">
      <c r="A27" s="45" t="s">
        <v>109</v>
      </c>
      <c r="B27" s="45" t="s">
        <v>110</v>
      </c>
      <c r="C27" s="46">
        <f t="shared" si="9"/>
        <v>61.252115059221659</v>
      </c>
      <c r="D27" s="46" t="str">
        <f t="shared" si="10"/>
        <v>57 - 65</v>
      </c>
      <c r="E27" s="46">
        <f t="shared" si="11"/>
        <v>87.140439932318102</v>
      </c>
      <c r="F27" s="46" t="str">
        <f t="shared" si="12"/>
        <v>84 - 90</v>
      </c>
      <c r="G27" s="46">
        <f t="shared" si="13"/>
        <v>90.862944162436548</v>
      </c>
      <c r="H27" s="46" t="str">
        <f t="shared" si="14"/>
        <v>88 - 93</v>
      </c>
      <c r="I27" s="548">
        <f t="shared" si="15"/>
        <v>25.888324873096444</v>
      </c>
      <c r="J27" s="547">
        <f t="shared" si="16"/>
        <v>3.7225042301184459</v>
      </c>
      <c r="K27" s="546">
        <v>60</v>
      </c>
      <c r="L27" s="545">
        <v>95</v>
      </c>
      <c r="M27" s="405">
        <v>362</v>
      </c>
      <c r="N27" s="405">
        <v>591</v>
      </c>
      <c r="O27" s="405">
        <v>153</v>
      </c>
      <c r="P27" s="405">
        <v>591</v>
      </c>
      <c r="Q27" s="405">
        <v>22</v>
      </c>
      <c r="R27" s="405">
        <v>591</v>
      </c>
    </row>
    <row r="28" spans="1:18">
      <c r="A28" s="45" t="s">
        <v>58</v>
      </c>
      <c r="B28" s="45" t="s">
        <v>57</v>
      </c>
      <c r="C28" s="46">
        <f t="shared" si="9"/>
        <v>29.411764705882355</v>
      </c>
      <c r="D28" s="46" t="str">
        <f t="shared" si="10"/>
        <v>23 - 36</v>
      </c>
      <c r="E28" s="46">
        <f t="shared" si="11"/>
        <v>79.144385026737979</v>
      </c>
      <c r="F28" s="46" t="str">
        <f t="shared" si="12"/>
        <v>73 - 84</v>
      </c>
      <c r="G28" s="46">
        <f t="shared" si="13"/>
        <v>90.37433155080214</v>
      </c>
      <c r="H28" s="46" t="str">
        <f t="shared" si="14"/>
        <v>85 - 94</v>
      </c>
      <c r="I28" s="548">
        <f t="shared" si="15"/>
        <v>49.732620320855624</v>
      </c>
      <c r="J28" s="547">
        <f t="shared" si="16"/>
        <v>11.229946524064161</v>
      </c>
      <c r="K28" s="546">
        <v>60</v>
      </c>
      <c r="L28" s="545">
        <v>95</v>
      </c>
      <c r="M28" s="405">
        <v>55</v>
      </c>
      <c r="N28" s="405">
        <v>187</v>
      </c>
      <c r="O28" s="405">
        <v>93</v>
      </c>
      <c r="P28" s="405">
        <v>187</v>
      </c>
      <c r="Q28" s="405">
        <v>21</v>
      </c>
      <c r="R28" s="405">
        <v>187</v>
      </c>
    </row>
    <row r="29" spans="1:18">
      <c r="A29" s="45" t="s">
        <v>95</v>
      </c>
      <c r="B29" s="45" t="s">
        <v>96</v>
      </c>
      <c r="C29" s="46">
        <f t="shared" si="9"/>
        <v>57.894736842105267</v>
      </c>
      <c r="D29" s="46" t="str">
        <f t="shared" si="10"/>
        <v>36 - 77</v>
      </c>
      <c r="E29" s="46">
        <f t="shared" si="11"/>
        <v>89.473684210526315</v>
      </c>
      <c r="F29" s="46" t="str">
        <f t="shared" si="12"/>
        <v>69 - 97</v>
      </c>
      <c r="G29" s="46">
        <f t="shared" si="13"/>
        <v>89.473684210526315</v>
      </c>
      <c r="H29" s="46" t="str">
        <f t="shared" si="14"/>
        <v>69 - 97</v>
      </c>
      <c r="I29" s="548">
        <f t="shared" si="15"/>
        <v>31.578947368421048</v>
      </c>
      <c r="J29" s="547">
        <f t="shared" si="16"/>
        <v>0</v>
      </c>
      <c r="K29" s="546">
        <v>60</v>
      </c>
      <c r="L29" s="545">
        <v>95</v>
      </c>
      <c r="M29" s="405">
        <v>11</v>
      </c>
      <c r="N29" s="405">
        <v>19</v>
      </c>
      <c r="O29" s="405">
        <v>6</v>
      </c>
      <c r="P29" s="405">
        <v>19</v>
      </c>
      <c r="Q29" s="405">
        <v>0</v>
      </c>
      <c r="R29" s="405">
        <v>19</v>
      </c>
    </row>
    <row r="30" spans="1:18">
      <c r="A30" s="45" t="s">
        <v>115</v>
      </c>
      <c r="B30" s="45" t="s">
        <v>116</v>
      </c>
      <c r="C30" s="46">
        <f t="shared" si="9"/>
        <v>41.975308641975303</v>
      </c>
      <c r="D30" s="46" t="str">
        <f t="shared" si="10"/>
        <v>35 - 50</v>
      </c>
      <c r="E30" s="46">
        <f t="shared" si="11"/>
        <v>82.098765432098759</v>
      </c>
      <c r="F30" s="46" t="str">
        <f t="shared" si="12"/>
        <v>75 - 87</v>
      </c>
      <c r="G30" s="46">
        <f t="shared" si="13"/>
        <v>88.888888888888886</v>
      </c>
      <c r="H30" s="46" t="str">
        <f t="shared" si="14"/>
        <v>83 - 93</v>
      </c>
      <c r="I30" s="548">
        <f t="shared" si="15"/>
        <v>40.123456790123456</v>
      </c>
      <c r="J30" s="547">
        <f t="shared" si="16"/>
        <v>6.790123456790127</v>
      </c>
      <c r="K30" s="546">
        <v>60</v>
      </c>
      <c r="L30" s="545">
        <v>95</v>
      </c>
      <c r="M30" s="405">
        <v>68</v>
      </c>
      <c r="N30" s="405">
        <v>162</v>
      </c>
      <c r="O30" s="405">
        <v>65</v>
      </c>
      <c r="P30" s="405">
        <v>162</v>
      </c>
      <c r="Q30" s="405">
        <v>11</v>
      </c>
      <c r="R30" s="405">
        <v>162</v>
      </c>
    </row>
    <row r="31" spans="1:18">
      <c r="A31" s="45" t="s">
        <v>118</v>
      </c>
      <c r="B31" s="45" t="s">
        <v>119</v>
      </c>
      <c r="C31" s="46">
        <f t="shared" si="9"/>
        <v>65.384615384615387</v>
      </c>
      <c r="D31" s="46" t="str">
        <f t="shared" si="10"/>
        <v>46 - 81</v>
      </c>
      <c r="E31" s="46">
        <f t="shared" si="11"/>
        <v>80.769230769230774</v>
      </c>
      <c r="F31" s="46" t="str">
        <f t="shared" si="12"/>
        <v>62 - 91</v>
      </c>
      <c r="G31" s="46">
        <f t="shared" si="13"/>
        <v>84.615384615384613</v>
      </c>
      <c r="H31" s="46" t="str">
        <f t="shared" si="14"/>
        <v>66 - 94</v>
      </c>
      <c r="I31" s="544">
        <f t="shared" si="15"/>
        <v>15.384615384615387</v>
      </c>
      <c r="J31" s="543">
        <f t="shared" si="16"/>
        <v>3.8461538461538396</v>
      </c>
      <c r="K31" s="542">
        <v>60</v>
      </c>
      <c r="L31" s="541">
        <v>95</v>
      </c>
      <c r="M31" s="405">
        <v>17</v>
      </c>
      <c r="N31" s="405">
        <v>26</v>
      </c>
      <c r="O31" s="405">
        <v>4</v>
      </c>
      <c r="P31" s="405">
        <v>26</v>
      </c>
      <c r="Q31" s="405">
        <v>1</v>
      </c>
      <c r="R31" s="405">
        <v>26</v>
      </c>
    </row>
    <row r="32" spans="1:18">
      <c r="A32" s="51"/>
      <c r="B32" s="51"/>
      <c r="C32" s="68"/>
      <c r="D32" s="68"/>
      <c r="E32" s="68"/>
      <c r="F32" s="68"/>
      <c r="G32" s="68"/>
      <c r="H32" s="68"/>
      <c r="I32" s="69"/>
      <c r="J32" s="69"/>
      <c r="K32" s="70"/>
      <c r="L32" s="70"/>
      <c r="M32" s="71"/>
      <c r="N32" s="71"/>
      <c r="O32" s="71"/>
      <c r="P32" s="71"/>
      <c r="Q32" s="71"/>
      <c r="R32" s="71"/>
    </row>
    <row r="33" spans="1:18">
      <c r="A33" s="51"/>
      <c r="C33" s="34"/>
      <c r="D33" s="34"/>
      <c r="E33" s="34"/>
      <c r="F33" s="34"/>
      <c r="G33" s="34"/>
      <c r="H33" s="34"/>
      <c r="I33" s="34"/>
      <c r="J33" s="34"/>
    </row>
    <row r="34" spans="1:18" ht="30" customHeight="1">
      <c r="A34" s="1030" t="s">
        <v>135</v>
      </c>
      <c r="B34" s="1031"/>
      <c r="C34" s="976" t="str">
        <f>C2&amp;" (%)"</f>
        <v>Same Day (%)</v>
      </c>
      <c r="D34" s="1056"/>
      <c r="E34" s="976" t="str">
        <f>E2&amp;" (%)"</f>
        <v>Within 1 Day (%)</v>
      </c>
      <c r="F34" s="1056"/>
      <c r="G34" s="976" t="str">
        <f>G2&amp;" (%)"</f>
        <v>Within 2 Days (%)</v>
      </c>
      <c r="H34" s="978"/>
      <c r="I34" s="1032"/>
      <c r="J34" s="1057"/>
      <c r="K34" s="1057"/>
      <c r="L34" s="1058"/>
      <c r="M34" s="1039" t="s">
        <v>48</v>
      </c>
      <c r="N34" s="1046"/>
      <c r="O34" s="1046" t="s">
        <v>49</v>
      </c>
      <c r="P34" s="1046"/>
      <c r="Q34" s="1046" t="s">
        <v>136</v>
      </c>
      <c r="R34" s="1047"/>
    </row>
    <row r="35" spans="1:18" ht="35.1" customHeight="1">
      <c r="A35" s="52"/>
      <c r="B35" s="53" t="s">
        <v>137</v>
      </c>
      <c r="C35" s="54" t="s">
        <v>138</v>
      </c>
      <c r="D35" s="55" t="s">
        <v>52</v>
      </c>
      <c r="E35" s="54" t="s">
        <v>138</v>
      </c>
      <c r="F35" s="55" t="s">
        <v>52</v>
      </c>
      <c r="G35" s="54" t="s">
        <v>138</v>
      </c>
      <c r="H35" s="56" t="s">
        <v>52</v>
      </c>
      <c r="I35" s="1059"/>
      <c r="J35" s="1060"/>
      <c r="K35" s="1060"/>
      <c r="L35" s="1061"/>
      <c r="M35" s="57" t="s">
        <v>26</v>
      </c>
      <c r="N35" s="58" t="s">
        <v>27</v>
      </c>
      <c r="O35" s="58" t="s">
        <v>26</v>
      </c>
      <c r="P35" s="58" t="s">
        <v>27</v>
      </c>
      <c r="Q35" s="58" t="s">
        <v>26</v>
      </c>
      <c r="R35" s="59" t="s">
        <v>27</v>
      </c>
    </row>
    <row r="36" spans="1:18">
      <c r="A36" s="1048"/>
      <c r="B36" s="60" t="s">
        <v>33</v>
      </c>
      <c r="C36" s="46">
        <f t="shared" ref="C36:C49" si="17">M36/N36*100</f>
        <v>28.35164835164835</v>
      </c>
      <c r="D36" s="46" t="str">
        <f t="shared" ref="D36:D49" si="18">IF(AND(N36&gt;0,ROUND(SUM(100*((2*M36+1.96^2)-(1.96*(SQRT(1.96^2+4*M36*(1-(M36/N36))))))/(2*(N36+1.96^2))),0)&lt;0),CONCATENATE(SUM(1*0)," - ",ROUND(SUM(100*((2*M36+1.96^2)+(1.96*(SQRT(1.96^2+4*M36*(1-(M36/N36))))))/(2*(N36+1.96^2))),0)),IF(AND(N36&gt;0,ROUND(SUM(100*((2*M36+1.96^2)-(1.96*(SQRT(1.96^2+4*M36*(1-(M36/N36))))))/(2*(N36+1.96^2))),0)&gt;=0),CONCATENATE(ROUND(SUM(100*((2*M36+1.96^2)-(1.96*(SQRT(1.96^2+4*M36*(1-(M36/N36))))))/(2*(N36+1.96^2))),0)," - ",ROUND(SUM(100*((2*M36+1.96^2)+(1.96*(SQRT(1.96^2+4*M36*(1-(M36/N36))))))/(2*(N36+1.96^2))),0)),""))</f>
        <v>24 - 33</v>
      </c>
      <c r="E36" s="46">
        <f t="shared" ref="E36:E49" si="19">(M36+O36)/P36*100</f>
        <v>84.395604395604394</v>
      </c>
      <c r="F36" s="46" t="str">
        <f t="shared" ref="F36:F49" si="20">IF(AND(P36&gt;0,ROUND(SUM(100*((2*(M36+O36)+1.96^2)-(1.96*(SQRT(1.96^2+4*(M36+O36)*(1-((M36+O36)/P36))))))/(2*(P36+1.96^2))),0)&lt;0),CONCATENATE(SUM(1*0)," - ",ROUND(SUM(100*((2*(M36+O36)+1.96^2)+(1.96*(SQRT(1.96^2+4*(M36+O36)*(1-((M36+O36)/P36))))))/(2*(P36+1.96^2))),0)),IF(AND(P36&gt;0,ROUND(SUM(100*((2*(M36+O36)+1.96^2)-(1.96*(SQRT(1.96^2+4*(M36+O36)*(1-((M36+O36)/P36))))))/(2*(P36+1.96^2))),0)&gt;=0),CONCATENATE(ROUND(SUM(100*((2*(M36+O36)+1.96^2)-(1.96*(SQRT(1.96^2+4*(M36+O36)*(1-((M36+O36)/P36))))))/(2*(P36+1.96^2))),0)," - ",ROUND(SUM(100*((2*(M36+O36)+1.96^2)+(1.96*(SQRT(1.96^2+4*(M36+O36)*(1-((M36+O36)/P36))))))/(2*(P36+1.96^2))),0)),""))</f>
        <v>81 - 87</v>
      </c>
      <c r="G36" s="46">
        <f t="shared" ref="G36:G49" si="21">(M36+O36+Q36)/R36*100</f>
        <v>92.527472527472526</v>
      </c>
      <c r="H36" s="46" t="str">
        <f t="shared" ref="H36:H49" si="22">IF(AND(R36&gt;0,ROUND(SUM(100*((2*(M36+O36+Q36)+1.96^2)-(1.96*(SQRT(1.96^2+4*(M36+O36+Q36)*(1-((M36+O36+Q36)/R36))))))/(2*(R36+1.96^2))),0)&lt;0),CONCATENATE(SUM(1*0)," - ",ROUND(SUM(100*((2*(M36+O36+Q36)+1.96^2)+(1.96*(SQRT(1.96^2+4*(M36+O36+Q36)*(1-((M36+O36+Q36)/R36))))))/(2*(R36+1.96^2))),0)),IF(AND(R36&gt;0,ROUND(SUM(100*((2*(M36+O36+Q36)+1.96^2)-(1.96*(SQRT(1.96^2+4*(M36+O36+Q36)*(1-((M36+O36+Q36)/R36))))))/(2*(R36+1.96^2))),0)&gt;=0),CONCATENATE(ROUND(SUM(100*((2*(M36+O36+Q36)+1.96^2)-(1.96*(SQRT(1.96^2+4*(M36+O36+Q36)*(1-((M36+O36+Q36)/R36))))))/(2*(R36+1.96^2))),0)," - ",ROUND(SUM(100*((2*(M36+O36+Q36)+1.96^2)+(1.96*(SQRT(1.96^2+4*(M36+O36+Q36)*(1-((M36+O36+Q36)/R36))))))/(2*(R36+1.96^2))),0)),""))</f>
        <v>90 - 95</v>
      </c>
      <c r="I36" s="1023"/>
      <c r="J36" s="1051"/>
      <c r="K36" s="1051"/>
      <c r="L36" s="1052"/>
      <c r="M36" s="406">
        <v>129</v>
      </c>
      <c r="N36" s="406">
        <v>455</v>
      </c>
      <c r="O36" s="520">
        <v>255</v>
      </c>
      <c r="P36" s="520">
        <v>455</v>
      </c>
      <c r="Q36" s="407">
        <v>37</v>
      </c>
      <c r="R36" s="407">
        <v>455</v>
      </c>
    </row>
    <row r="37" spans="1:18">
      <c r="A37" s="1049"/>
      <c r="B37" s="60" t="s">
        <v>28</v>
      </c>
      <c r="C37" s="46">
        <f t="shared" si="17"/>
        <v>73.103448275862064</v>
      </c>
      <c r="D37" s="46" t="str">
        <f t="shared" si="18"/>
        <v>65 - 80</v>
      </c>
      <c r="E37" s="46">
        <f t="shared" si="19"/>
        <v>97.931034482758619</v>
      </c>
      <c r="F37" s="46" t="str">
        <f t="shared" si="20"/>
        <v>94 - 99</v>
      </c>
      <c r="G37" s="46">
        <f t="shared" si="21"/>
        <v>99.310344827586206</v>
      </c>
      <c r="H37" s="46" t="str">
        <f t="shared" si="22"/>
        <v>96 - 100</v>
      </c>
      <c r="I37" s="1023"/>
      <c r="J37" s="1051"/>
      <c r="K37" s="1051"/>
      <c r="L37" s="1052"/>
      <c r="M37" s="406">
        <v>106</v>
      </c>
      <c r="N37" s="406">
        <v>145</v>
      </c>
      <c r="O37" s="406">
        <v>36</v>
      </c>
      <c r="P37" s="406">
        <v>145</v>
      </c>
      <c r="Q37" s="407">
        <v>2</v>
      </c>
      <c r="R37" s="407">
        <v>145</v>
      </c>
    </row>
    <row r="38" spans="1:18">
      <c r="A38" s="1049"/>
      <c r="B38" s="60" t="s">
        <v>31</v>
      </c>
      <c r="C38" s="46">
        <f t="shared" si="17"/>
        <v>55.813953488372093</v>
      </c>
      <c r="D38" s="46" t="str">
        <f t="shared" si="18"/>
        <v>48 - 63</v>
      </c>
      <c r="E38" s="46">
        <f t="shared" si="19"/>
        <v>93.023255813953483</v>
      </c>
      <c r="F38" s="46" t="str">
        <f t="shared" si="20"/>
        <v>88 - 96</v>
      </c>
      <c r="G38" s="46">
        <f t="shared" si="21"/>
        <v>97.674418604651152</v>
      </c>
      <c r="H38" s="46" t="str">
        <f t="shared" si="22"/>
        <v>94 - 99</v>
      </c>
      <c r="I38" s="1023"/>
      <c r="J38" s="1051"/>
      <c r="K38" s="1051"/>
      <c r="L38" s="1052"/>
      <c r="M38" s="406">
        <v>96</v>
      </c>
      <c r="N38" s="406">
        <v>172</v>
      </c>
      <c r="O38" s="406">
        <v>64</v>
      </c>
      <c r="P38" s="406">
        <v>172</v>
      </c>
      <c r="Q38" s="407">
        <v>8</v>
      </c>
      <c r="R38" s="407">
        <v>172</v>
      </c>
    </row>
    <row r="39" spans="1:18">
      <c r="A39" s="1049"/>
      <c r="B39" s="60" t="s">
        <v>30</v>
      </c>
      <c r="C39" s="46">
        <f t="shared" si="17"/>
        <v>58.612975391498878</v>
      </c>
      <c r="D39" s="46" t="str">
        <f t="shared" si="18"/>
        <v>54 - 63</v>
      </c>
      <c r="E39" s="46">
        <f t="shared" si="19"/>
        <v>94.407158836689035</v>
      </c>
      <c r="F39" s="46" t="str">
        <f t="shared" si="20"/>
        <v>92 - 96</v>
      </c>
      <c r="G39" s="46">
        <f t="shared" si="21"/>
        <v>95.973154362416096</v>
      </c>
      <c r="H39" s="46" t="str">
        <f t="shared" si="22"/>
        <v>94 - 97</v>
      </c>
      <c r="I39" s="1023"/>
      <c r="J39" s="1051"/>
      <c r="K39" s="1051"/>
      <c r="L39" s="1052"/>
      <c r="M39" s="406">
        <v>262</v>
      </c>
      <c r="N39" s="406">
        <v>447</v>
      </c>
      <c r="O39" s="406">
        <v>160</v>
      </c>
      <c r="P39" s="406">
        <v>447</v>
      </c>
      <c r="Q39" s="407">
        <v>7</v>
      </c>
      <c r="R39" s="407">
        <v>447</v>
      </c>
    </row>
    <row r="40" spans="1:18">
      <c r="A40" s="1049"/>
      <c r="B40" s="60" t="s">
        <v>35</v>
      </c>
      <c r="C40" s="46">
        <f t="shared" si="17"/>
        <v>51.351351351351347</v>
      </c>
      <c r="D40" s="46" t="str">
        <f t="shared" si="18"/>
        <v>47 - 56</v>
      </c>
      <c r="E40" s="46">
        <f t="shared" si="19"/>
        <v>93.120393120393118</v>
      </c>
      <c r="F40" s="46" t="str">
        <f t="shared" si="20"/>
        <v>90 - 95</v>
      </c>
      <c r="G40" s="46">
        <f t="shared" si="21"/>
        <v>96.805896805896808</v>
      </c>
      <c r="H40" s="46" t="str">
        <f t="shared" si="22"/>
        <v>95 - 98</v>
      </c>
      <c r="I40" s="1023"/>
      <c r="J40" s="1051"/>
      <c r="K40" s="1051"/>
      <c r="L40" s="1052"/>
      <c r="M40" s="406">
        <v>209</v>
      </c>
      <c r="N40" s="406">
        <v>407</v>
      </c>
      <c r="O40" s="406">
        <v>170</v>
      </c>
      <c r="P40" s="406">
        <v>407</v>
      </c>
      <c r="Q40" s="407">
        <v>15</v>
      </c>
      <c r="R40" s="407">
        <v>407</v>
      </c>
    </row>
    <row r="41" spans="1:18">
      <c r="A41" s="1049"/>
      <c r="B41" s="60" t="s">
        <v>34</v>
      </c>
      <c r="C41" s="46">
        <f t="shared" si="17"/>
        <v>69.247787610619469</v>
      </c>
      <c r="D41" s="46" t="str">
        <f t="shared" si="18"/>
        <v>65 - 73</v>
      </c>
      <c r="E41" s="46">
        <f t="shared" si="19"/>
        <v>90.044247787610615</v>
      </c>
      <c r="F41" s="46" t="str">
        <f t="shared" si="20"/>
        <v>87 - 92</v>
      </c>
      <c r="G41" s="46">
        <f t="shared" si="21"/>
        <v>93.805309734513273</v>
      </c>
      <c r="H41" s="46" t="str">
        <f t="shared" si="22"/>
        <v>91 - 96</v>
      </c>
      <c r="I41" s="1023"/>
      <c r="J41" s="1051"/>
      <c r="K41" s="1051"/>
      <c r="L41" s="1052"/>
      <c r="M41" s="406">
        <v>313</v>
      </c>
      <c r="N41" s="406">
        <v>452</v>
      </c>
      <c r="O41" s="406">
        <v>94</v>
      </c>
      <c r="P41" s="406">
        <v>452</v>
      </c>
      <c r="Q41" s="407">
        <v>17</v>
      </c>
      <c r="R41" s="407">
        <v>452</v>
      </c>
    </row>
    <row r="42" spans="1:18">
      <c r="A42" s="1049"/>
      <c r="B42" s="60" t="s">
        <v>40</v>
      </c>
      <c r="C42" s="46">
        <f t="shared" si="17"/>
        <v>56.179024716098866</v>
      </c>
      <c r="D42" s="46" t="str">
        <f t="shared" si="18"/>
        <v>54 - 59</v>
      </c>
      <c r="E42" s="46">
        <f t="shared" si="19"/>
        <v>88.844355377421508</v>
      </c>
      <c r="F42" s="46" t="str">
        <f t="shared" si="20"/>
        <v>87 - 90</v>
      </c>
      <c r="G42" s="46">
        <f t="shared" si="21"/>
        <v>92.852371409485642</v>
      </c>
      <c r="H42" s="46" t="str">
        <f t="shared" si="22"/>
        <v>91 - 94</v>
      </c>
      <c r="I42" s="1023"/>
      <c r="J42" s="1051"/>
      <c r="K42" s="1051"/>
      <c r="L42" s="1052"/>
      <c r="M42" s="406">
        <v>841</v>
      </c>
      <c r="N42" s="406">
        <v>1497</v>
      </c>
      <c r="O42" s="406">
        <v>489</v>
      </c>
      <c r="P42" s="406">
        <v>1497</v>
      </c>
      <c r="Q42" s="407">
        <v>60</v>
      </c>
      <c r="R42" s="407">
        <v>1497</v>
      </c>
    </row>
    <row r="43" spans="1:18">
      <c r="A43" s="1049"/>
      <c r="B43" s="60" t="s">
        <v>36</v>
      </c>
      <c r="C43" s="46">
        <f t="shared" si="17"/>
        <v>63.606557377049178</v>
      </c>
      <c r="D43" s="46" t="str">
        <f t="shared" si="18"/>
        <v>58 - 69</v>
      </c>
      <c r="E43" s="46">
        <f t="shared" si="19"/>
        <v>92.786885245901644</v>
      </c>
      <c r="F43" s="46" t="str">
        <f t="shared" si="20"/>
        <v>89 - 95</v>
      </c>
      <c r="G43" s="46">
        <f t="shared" si="21"/>
        <v>95.73770491803279</v>
      </c>
      <c r="H43" s="46" t="str">
        <f t="shared" si="22"/>
        <v>93 - 97</v>
      </c>
      <c r="I43" s="1023"/>
      <c r="J43" s="1051"/>
      <c r="K43" s="1051"/>
      <c r="L43" s="1052"/>
      <c r="M43" s="406">
        <v>194</v>
      </c>
      <c r="N43" s="406">
        <v>305</v>
      </c>
      <c r="O43" s="406">
        <v>89</v>
      </c>
      <c r="P43" s="406">
        <v>305</v>
      </c>
      <c r="Q43" s="407">
        <v>9</v>
      </c>
      <c r="R43" s="407">
        <v>305</v>
      </c>
    </row>
    <row r="44" spans="1:18">
      <c r="A44" s="1049"/>
      <c r="B44" s="60" t="s">
        <v>29</v>
      </c>
      <c r="C44" s="46">
        <f t="shared" si="17"/>
        <v>45.906432748538009</v>
      </c>
      <c r="D44" s="46" t="str">
        <f t="shared" si="18"/>
        <v>42 - 50</v>
      </c>
      <c r="E44" s="46">
        <f t="shared" si="19"/>
        <v>90.935672514619881</v>
      </c>
      <c r="F44" s="46" t="str">
        <f t="shared" si="20"/>
        <v>89 - 93</v>
      </c>
      <c r="G44" s="46">
        <f t="shared" si="21"/>
        <v>95.32163742690058</v>
      </c>
      <c r="H44" s="46" t="str">
        <f t="shared" si="22"/>
        <v>93 - 97</v>
      </c>
      <c r="I44" s="1023"/>
      <c r="J44" s="1051"/>
      <c r="K44" s="1051"/>
      <c r="L44" s="1052"/>
      <c r="M44" s="406">
        <v>314</v>
      </c>
      <c r="N44" s="406">
        <v>684</v>
      </c>
      <c r="O44" s="406">
        <v>308</v>
      </c>
      <c r="P44" s="406">
        <v>684</v>
      </c>
      <c r="Q44" s="407">
        <v>30</v>
      </c>
      <c r="R44" s="407">
        <v>684</v>
      </c>
    </row>
    <row r="45" spans="1:18">
      <c r="A45" s="1049"/>
      <c r="B45" s="60" t="s">
        <v>38</v>
      </c>
      <c r="C45" s="46">
        <f t="shared" si="17"/>
        <v>59.656652360515018</v>
      </c>
      <c r="D45" s="46" t="str">
        <f t="shared" si="18"/>
        <v>56 - 63</v>
      </c>
      <c r="E45" s="46">
        <f t="shared" si="19"/>
        <v>87.875536480686705</v>
      </c>
      <c r="F45" s="46" t="str">
        <f t="shared" si="20"/>
        <v>86 - 90</v>
      </c>
      <c r="G45" s="46">
        <f t="shared" si="21"/>
        <v>91.630901287553641</v>
      </c>
      <c r="H45" s="46" t="str">
        <f t="shared" si="22"/>
        <v>90 - 93</v>
      </c>
      <c r="I45" s="1023"/>
      <c r="J45" s="1051"/>
      <c r="K45" s="1051"/>
      <c r="L45" s="1052"/>
      <c r="M45" s="406">
        <v>556</v>
      </c>
      <c r="N45" s="406">
        <v>932</v>
      </c>
      <c r="O45" s="406">
        <v>263</v>
      </c>
      <c r="P45" s="406">
        <v>932</v>
      </c>
      <c r="Q45" s="407">
        <v>35</v>
      </c>
      <c r="R45" s="407">
        <v>932</v>
      </c>
    </row>
    <row r="46" spans="1:18">
      <c r="A46" s="1049"/>
      <c r="B46" s="60" t="s">
        <v>41</v>
      </c>
      <c r="C46" s="46">
        <f t="shared" si="17"/>
        <v>65.384615384615387</v>
      </c>
      <c r="D46" s="46" t="str">
        <f t="shared" si="18"/>
        <v>46 - 81</v>
      </c>
      <c r="E46" s="46">
        <f t="shared" si="19"/>
        <v>80.769230769230774</v>
      </c>
      <c r="F46" s="46" t="str">
        <f t="shared" si="20"/>
        <v>62 - 91</v>
      </c>
      <c r="G46" s="46">
        <f t="shared" si="21"/>
        <v>84.615384615384613</v>
      </c>
      <c r="H46" s="46" t="str">
        <f t="shared" si="22"/>
        <v>66 - 94</v>
      </c>
      <c r="I46" s="1023"/>
      <c r="J46" s="1051"/>
      <c r="K46" s="1051"/>
      <c r="L46" s="1052"/>
      <c r="M46" s="406">
        <v>17</v>
      </c>
      <c r="N46" s="406">
        <v>26</v>
      </c>
      <c r="O46" s="406">
        <v>4</v>
      </c>
      <c r="P46" s="406">
        <v>26</v>
      </c>
      <c r="Q46" s="407">
        <v>1</v>
      </c>
      <c r="R46" s="407">
        <v>26</v>
      </c>
    </row>
    <row r="47" spans="1:18">
      <c r="A47" s="1049"/>
      <c r="B47" s="60" t="s">
        <v>39</v>
      </c>
      <c r="C47" s="46">
        <f t="shared" si="17"/>
        <v>59.259259259259252</v>
      </c>
      <c r="D47" s="46" t="str">
        <f t="shared" si="18"/>
        <v>41 - 75</v>
      </c>
      <c r="E47" s="46">
        <f t="shared" si="19"/>
        <v>92.592592592592595</v>
      </c>
      <c r="F47" s="46" t="str">
        <f t="shared" si="20"/>
        <v>77 - 98</v>
      </c>
      <c r="G47" s="46">
        <f t="shared" si="21"/>
        <v>100</v>
      </c>
      <c r="H47" s="46" t="str">
        <f t="shared" si="22"/>
        <v>88 - 100</v>
      </c>
      <c r="I47" s="1023"/>
      <c r="J47" s="1051"/>
      <c r="K47" s="1051"/>
      <c r="L47" s="1052"/>
      <c r="M47" s="406">
        <v>16</v>
      </c>
      <c r="N47" s="406">
        <v>27</v>
      </c>
      <c r="O47" s="406">
        <v>9</v>
      </c>
      <c r="P47" s="406">
        <v>27</v>
      </c>
      <c r="Q47" s="407">
        <v>2</v>
      </c>
      <c r="R47" s="407">
        <v>27</v>
      </c>
    </row>
    <row r="48" spans="1:18">
      <c r="A48" s="1049"/>
      <c r="B48" s="60" t="s">
        <v>32</v>
      </c>
      <c r="C48" s="46">
        <f t="shared" si="17"/>
        <v>51.898734177215189</v>
      </c>
      <c r="D48" s="46" t="str">
        <f t="shared" si="18"/>
        <v>47 - 57</v>
      </c>
      <c r="E48" s="46">
        <f t="shared" si="19"/>
        <v>90.632911392405063</v>
      </c>
      <c r="F48" s="46" t="str">
        <f t="shared" si="20"/>
        <v>87 - 93</v>
      </c>
      <c r="G48" s="46">
        <f t="shared" si="21"/>
        <v>94.936708860759495</v>
      </c>
      <c r="H48" s="46" t="str">
        <f t="shared" si="22"/>
        <v>92 - 97</v>
      </c>
      <c r="I48" s="1023"/>
      <c r="J48" s="1051"/>
      <c r="K48" s="1051"/>
      <c r="L48" s="1052"/>
      <c r="M48" s="406">
        <v>205</v>
      </c>
      <c r="N48" s="406">
        <v>395</v>
      </c>
      <c r="O48" s="406">
        <v>153</v>
      </c>
      <c r="P48" s="406">
        <v>395</v>
      </c>
      <c r="Q48" s="407">
        <v>17</v>
      </c>
      <c r="R48" s="407">
        <v>395</v>
      </c>
    </row>
    <row r="49" spans="1:18">
      <c r="A49" s="1050"/>
      <c r="B49" s="60" t="s">
        <v>37</v>
      </c>
      <c r="C49" s="46">
        <f t="shared" si="17"/>
        <v>70</v>
      </c>
      <c r="D49" s="46" t="str">
        <f t="shared" si="18"/>
        <v>48 - 85</v>
      </c>
      <c r="E49" s="46">
        <f t="shared" si="19"/>
        <v>95</v>
      </c>
      <c r="F49" s="46" t="str">
        <f t="shared" si="20"/>
        <v>76 - 99</v>
      </c>
      <c r="G49" s="46">
        <f t="shared" si="21"/>
        <v>95</v>
      </c>
      <c r="H49" s="46" t="str">
        <f t="shared" si="22"/>
        <v>76 - 99</v>
      </c>
      <c r="I49" s="1053"/>
      <c r="J49" s="1054"/>
      <c r="K49" s="1054"/>
      <c r="L49" s="1055"/>
      <c r="M49" s="406">
        <v>14</v>
      </c>
      <c r="N49" s="406">
        <v>20</v>
      </c>
      <c r="O49" s="406">
        <v>5</v>
      </c>
      <c r="P49" s="406">
        <v>20</v>
      </c>
      <c r="Q49" s="407">
        <v>0</v>
      </c>
      <c r="R49" s="407">
        <v>20</v>
      </c>
    </row>
    <row r="50" spans="1:18" s="685" customFormat="1">
      <c r="A50" s="51"/>
      <c r="B50" s="688"/>
      <c r="C50" s="34"/>
      <c r="D50" s="34"/>
      <c r="E50" s="34"/>
      <c r="F50" s="34"/>
      <c r="G50" s="34"/>
      <c r="H50" s="34"/>
      <c r="I50" s="34"/>
      <c r="J50" s="34"/>
      <c r="M50" s="688"/>
      <c r="N50" s="688"/>
      <c r="O50" s="688"/>
      <c r="P50" s="688"/>
      <c r="Q50" s="688"/>
      <c r="R50" s="688"/>
    </row>
    <row r="51" spans="1:18" s="685" customFormat="1">
      <c r="A51" s="51"/>
      <c r="B51" s="688"/>
      <c r="C51" s="34"/>
      <c r="D51" s="34"/>
      <c r="E51" s="34"/>
      <c r="F51" s="34"/>
      <c r="G51" s="34"/>
      <c r="H51" s="34"/>
      <c r="I51" s="34"/>
      <c r="J51" s="34"/>
      <c r="M51" s="688"/>
      <c r="N51" s="688"/>
      <c r="O51" s="688"/>
      <c r="P51" s="688"/>
      <c r="Q51" s="688"/>
      <c r="R51" s="688"/>
    </row>
    <row r="52" spans="1:18" s="685" customFormat="1">
      <c r="A52" s="51"/>
      <c r="B52" s="688"/>
      <c r="C52" s="34"/>
      <c r="D52" s="34"/>
      <c r="E52" s="34"/>
      <c r="F52" s="34"/>
      <c r="G52" s="34"/>
      <c r="H52" s="34"/>
      <c r="I52" s="34"/>
      <c r="J52" s="34"/>
      <c r="M52" s="688"/>
      <c r="N52" s="688"/>
      <c r="O52" s="688"/>
      <c r="P52" s="688"/>
      <c r="Q52" s="688"/>
      <c r="R52" s="688"/>
    </row>
  </sheetData>
  <sheetProtection password="B8D9" sheet="1" objects="1" scenarios="1"/>
  <sortState ref="A4:R31">
    <sortCondition descending="1" ref="G4:G31"/>
  </sortState>
  <mergeCells count="15">
    <mergeCell ref="A1:B1"/>
    <mergeCell ref="C1:H1"/>
    <mergeCell ref="M1:N1"/>
    <mergeCell ref="O1:P1"/>
    <mergeCell ref="Q1:R1"/>
    <mergeCell ref="M34:N34"/>
    <mergeCell ref="O34:P34"/>
    <mergeCell ref="Q34:R34"/>
    <mergeCell ref="A36:A49"/>
    <mergeCell ref="I36:L49"/>
    <mergeCell ref="A34:B34"/>
    <mergeCell ref="C34:D34"/>
    <mergeCell ref="E34:F34"/>
    <mergeCell ref="G34:H34"/>
    <mergeCell ref="I34:L35"/>
  </mergeCells>
  <pageMargins left="0.70866141732283472" right="0.70866141732283472" top="0.74803149606299213" bottom="0.74803149606299213" header="0.31496062992125984" footer="0.31496062992125984"/>
  <pageSetup paperSize="9" scale="69"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41.xml><?xml version="1.0" encoding="utf-8"?>
<worksheet xmlns="http://schemas.openxmlformats.org/spreadsheetml/2006/main" xmlns:r="http://schemas.openxmlformats.org/officeDocument/2006/relationships">
  <sheetPr codeName="Sheet20">
    <pageSetUpPr fitToPage="1"/>
  </sheetPr>
  <dimension ref="A1:T38"/>
  <sheetViews>
    <sheetView workbookViewId="0"/>
  </sheetViews>
  <sheetFormatPr defaultRowHeight="12.75"/>
  <cols>
    <col min="1" max="1" width="1.7109375" style="2" customWidth="1"/>
    <col min="2" max="16384" width="9.140625" style="2"/>
  </cols>
  <sheetData>
    <row r="1" spans="1:20" ht="12.75" customHeight="1">
      <c r="A1" s="1"/>
      <c r="B1" s="969" t="s">
        <v>610</v>
      </c>
      <c r="C1" s="969"/>
      <c r="D1" s="969"/>
      <c r="E1" s="969"/>
      <c r="F1" s="969"/>
      <c r="G1" s="969"/>
      <c r="H1" s="969"/>
      <c r="I1" s="969"/>
      <c r="J1" s="969"/>
      <c r="K1" s="969"/>
      <c r="L1" s="969"/>
      <c r="M1" s="969"/>
      <c r="N1" s="969"/>
      <c r="O1" s="985" t="s">
        <v>45</v>
      </c>
    </row>
    <row r="2" spans="1:20">
      <c r="B2" s="969"/>
      <c r="C2" s="969"/>
      <c r="D2" s="969"/>
      <c r="E2" s="969"/>
      <c r="F2" s="969"/>
      <c r="G2" s="969"/>
      <c r="H2" s="969"/>
      <c r="I2" s="969"/>
      <c r="J2" s="969"/>
      <c r="K2" s="969"/>
      <c r="L2" s="969"/>
      <c r="M2" s="969"/>
      <c r="N2" s="969"/>
      <c r="O2" s="985"/>
    </row>
    <row r="3" spans="1:20">
      <c r="B3" s="1067" t="s">
        <v>396</v>
      </c>
      <c r="C3" s="1067"/>
      <c r="D3" s="1067"/>
      <c r="E3" s="1067"/>
      <c r="F3" s="1067"/>
      <c r="G3" s="1067"/>
      <c r="H3" s="1067"/>
      <c r="I3" s="1067"/>
      <c r="J3" s="1067"/>
      <c r="K3" s="1067"/>
      <c r="L3" s="1067"/>
      <c r="M3" s="1067"/>
      <c r="N3" s="1067"/>
      <c r="O3" s="985"/>
    </row>
    <row r="4" spans="1:20">
      <c r="B4" s="1067"/>
      <c r="C4" s="1067"/>
      <c r="D4" s="1067"/>
      <c r="E4" s="1067"/>
      <c r="F4" s="1067"/>
      <c r="G4" s="1067"/>
      <c r="H4" s="1067"/>
      <c r="I4" s="1067"/>
      <c r="J4" s="1067"/>
      <c r="K4" s="1067"/>
      <c r="L4" s="1067"/>
      <c r="M4" s="1067"/>
      <c r="N4" s="1067"/>
      <c r="O4" s="985"/>
    </row>
    <row r="6" spans="1:20">
      <c r="O6" s="987" t="s">
        <v>554</v>
      </c>
      <c r="P6" s="987"/>
    </row>
    <row r="13" spans="1:20">
      <c r="O13" s="788"/>
      <c r="P13" s="789"/>
      <c r="Q13" s="789"/>
      <c r="R13" s="789"/>
      <c r="S13" s="789"/>
      <c r="T13" s="790"/>
    </row>
    <row r="14" spans="1:20" ht="15">
      <c r="O14" s="791"/>
      <c r="P14" s="343" t="s">
        <v>438</v>
      </c>
      <c r="Q14" s="343"/>
      <c r="R14" s="343"/>
      <c r="S14" s="343"/>
      <c r="T14" s="793"/>
    </row>
    <row r="15" spans="1:20" ht="15">
      <c r="O15" s="794"/>
      <c r="P15" s="343" t="s">
        <v>592</v>
      </c>
      <c r="Q15" s="343"/>
      <c r="R15" s="343"/>
      <c r="S15" s="343"/>
      <c r="T15" s="793"/>
    </row>
    <row r="16" spans="1:20" ht="15">
      <c r="O16" s="795"/>
      <c r="P16" s="343" t="s">
        <v>591</v>
      </c>
      <c r="Q16" s="343"/>
      <c r="R16" s="343"/>
      <c r="S16" s="343"/>
      <c r="T16" s="793"/>
    </row>
    <row r="17" spans="2:20" ht="15">
      <c r="O17" s="796"/>
      <c r="P17" s="343" t="s">
        <v>593</v>
      </c>
      <c r="Q17" s="343"/>
      <c r="R17" s="343"/>
      <c r="S17" s="343"/>
      <c r="T17" s="793"/>
    </row>
    <row r="18" spans="2:20" ht="15">
      <c r="O18" s="797"/>
      <c r="P18" s="343" t="s">
        <v>274</v>
      </c>
      <c r="Q18" s="343"/>
      <c r="R18" s="343"/>
      <c r="S18" s="343"/>
      <c r="T18" s="793"/>
    </row>
    <row r="19" spans="2:20">
      <c r="O19" s="798"/>
      <c r="P19" s="799"/>
      <c r="Q19" s="799"/>
      <c r="R19" s="799"/>
      <c r="S19" s="799"/>
      <c r="T19" s="800"/>
    </row>
    <row r="31" spans="2:20">
      <c r="B31" s="206" t="s">
        <v>405</v>
      </c>
      <c r="C31" s="207"/>
      <c r="D31" s="207"/>
      <c r="E31" s="207"/>
      <c r="F31" s="207"/>
      <c r="G31" s="207"/>
      <c r="H31" s="207"/>
      <c r="I31" s="207"/>
      <c r="J31" s="207"/>
      <c r="K31" s="207"/>
      <c r="L31" s="207"/>
      <c r="M31" s="207"/>
    </row>
    <row r="32" spans="2:20" ht="24.75" customHeight="1">
      <c r="B32" s="1066" t="s">
        <v>10</v>
      </c>
      <c r="C32" s="1066"/>
      <c r="D32" s="1066"/>
      <c r="E32" s="1066"/>
      <c r="F32" s="1066"/>
      <c r="G32" s="1066"/>
      <c r="H32" s="1066"/>
      <c r="I32" s="1066"/>
      <c r="J32" s="1066"/>
      <c r="K32" s="1066"/>
      <c r="L32" s="1066"/>
      <c r="M32" s="1066"/>
    </row>
    <row r="33" spans="2:13" ht="25.5" customHeight="1">
      <c r="B33" s="1065" t="s">
        <v>532</v>
      </c>
      <c r="C33" s="1065"/>
      <c r="D33" s="1065"/>
      <c r="E33" s="1065"/>
      <c r="F33" s="1065"/>
      <c r="G33" s="1065"/>
      <c r="H33" s="1065"/>
      <c r="I33" s="1065"/>
      <c r="J33" s="1065"/>
      <c r="K33" s="1065"/>
      <c r="L33" s="1065"/>
      <c r="M33" s="1065"/>
    </row>
    <row r="34" spans="2:13">
      <c r="B34" s="1065"/>
      <c r="C34" s="1065"/>
      <c r="D34" s="1065"/>
      <c r="E34" s="1065"/>
      <c r="F34" s="1065"/>
      <c r="G34" s="1065"/>
      <c r="H34" s="1065"/>
      <c r="I34" s="1065"/>
      <c r="J34" s="1065"/>
      <c r="K34" s="1065"/>
      <c r="L34" s="1065"/>
      <c r="M34" s="1065"/>
    </row>
    <row r="35" spans="2:13" ht="12.75" customHeight="1">
      <c r="B35" s="1065" t="s">
        <v>611</v>
      </c>
      <c r="C35" s="1065"/>
      <c r="D35" s="1065"/>
      <c r="E35" s="1065"/>
      <c r="F35" s="1065"/>
      <c r="G35" s="1065"/>
      <c r="H35" s="1065"/>
      <c r="I35" s="1065"/>
      <c r="J35" s="1065"/>
      <c r="K35" s="1065"/>
      <c r="L35" s="1065"/>
      <c r="M35" s="1065"/>
    </row>
    <row r="36" spans="2:13">
      <c r="B36" s="1065"/>
      <c r="C36" s="1065"/>
      <c r="D36" s="1065"/>
      <c r="E36" s="1065"/>
      <c r="F36" s="1065"/>
      <c r="G36" s="1065"/>
      <c r="H36" s="1065"/>
      <c r="I36" s="1065"/>
      <c r="J36" s="1065"/>
      <c r="K36" s="1065"/>
      <c r="L36" s="1065"/>
      <c r="M36" s="1065"/>
    </row>
    <row r="37" spans="2:13">
      <c r="B37" s="1065"/>
      <c r="C37" s="1065"/>
      <c r="D37" s="1065"/>
      <c r="E37" s="1065"/>
      <c r="F37" s="1065"/>
      <c r="G37" s="1065"/>
      <c r="H37" s="1065"/>
      <c r="I37" s="1065"/>
      <c r="J37" s="1065"/>
      <c r="K37" s="1065"/>
      <c r="L37" s="1065"/>
      <c r="M37" s="1065"/>
    </row>
    <row r="38" spans="2:13" s="784" customFormat="1" ht="15">
      <c r="B38" s="205" t="s">
        <v>762</v>
      </c>
      <c r="C38" s="203"/>
      <c r="D38" s="204"/>
      <c r="E38" s="204"/>
      <c r="F38" s="204"/>
      <c r="G38" s="204"/>
      <c r="H38" s="204"/>
      <c r="I38" s="204"/>
      <c r="J38" s="203"/>
    </row>
  </sheetData>
  <sheetProtection password="B8D9" sheet="1" objects="1" scenarios="1"/>
  <mergeCells count="7">
    <mergeCell ref="B35:M37"/>
    <mergeCell ref="O1:O4"/>
    <mergeCell ref="B32:M32"/>
    <mergeCell ref="B33:M34"/>
    <mergeCell ref="B3:N4"/>
    <mergeCell ref="B1:N2"/>
    <mergeCell ref="O6:P6"/>
  </mergeCells>
  <phoneticPr fontId="0" type="noConversion"/>
  <hyperlinks>
    <hyperlink ref="O1" location="'List of Tables &amp; Charts'!A1" display="return to List of Tables &amp; Charts"/>
    <hyperlink ref="O6:P6" location="'Chart 6 DATA'!A1" display="view Chart 6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42.xml><?xml version="1.0" encoding="utf-8"?>
<worksheet xmlns="http://schemas.openxmlformats.org/spreadsheetml/2006/main" xmlns:r="http://schemas.openxmlformats.org/officeDocument/2006/relationships">
  <sheetPr codeName="Sheet21">
    <pageSetUpPr fitToPage="1"/>
  </sheetPr>
  <dimension ref="A1:W117"/>
  <sheetViews>
    <sheetView zoomScaleNormal="100" workbookViewId="0">
      <selection sqref="A1:A2"/>
    </sheetView>
  </sheetViews>
  <sheetFormatPr defaultRowHeight="11.25"/>
  <cols>
    <col min="1" max="1" width="15.7109375" style="5" customWidth="1"/>
    <col min="2" max="8" width="9.140625" style="5"/>
    <col min="9" max="14" width="9.7109375" style="5" customWidth="1"/>
    <col min="15" max="15" width="10.42578125" style="5" bestFit="1" customWidth="1"/>
    <col min="16" max="16" width="45.7109375" style="5" customWidth="1"/>
    <col min="17" max="20" width="11.7109375" style="22" customWidth="1"/>
    <col min="21" max="16384" width="9.140625" style="5"/>
  </cols>
  <sheetData>
    <row r="1" spans="1:20" ht="15" customHeight="1">
      <c r="A1" s="1076" t="s">
        <v>25</v>
      </c>
      <c r="B1" s="1078" t="s">
        <v>42</v>
      </c>
      <c r="C1" s="1079"/>
      <c r="D1" s="1079"/>
      <c r="E1" s="1079"/>
      <c r="F1" s="1079"/>
      <c r="G1" s="1079"/>
      <c r="H1" s="1079"/>
      <c r="I1" s="3"/>
      <c r="J1" s="4"/>
      <c r="K1" s="4"/>
      <c r="L1" s="4"/>
      <c r="M1" s="4"/>
      <c r="N1" s="4"/>
      <c r="O1" s="1073" t="s">
        <v>20</v>
      </c>
      <c r="P1" s="1080"/>
      <c r="Q1" s="1073">
        <v>2015</v>
      </c>
      <c r="R1" s="1073"/>
      <c r="S1" s="1073">
        <v>2016</v>
      </c>
      <c r="T1" s="1073"/>
    </row>
    <row r="2" spans="1:20" ht="23.25" customHeight="1">
      <c r="A2" s="1077"/>
      <c r="B2" s="6" t="s">
        <v>438</v>
      </c>
      <c r="C2" s="6" t="s">
        <v>586</v>
      </c>
      <c r="D2" s="7" t="s">
        <v>21</v>
      </c>
      <c r="E2" s="1074" t="s">
        <v>449</v>
      </c>
      <c r="F2" s="1074"/>
      <c r="G2" s="1074" t="s">
        <v>587</v>
      </c>
      <c r="H2" s="1075"/>
      <c r="I2" s="8" t="s">
        <v>446</v>
      </c>
      <c r="J2" s="9" t="s">
        <v>589</v>
      </c>
      <c r="K2" s="10" t="s">
        <v>22</v>
      </c>
      <c r="L2" s="24" t="s">
        <v>16</v>
      </c>
      <c r="M2" s="24" t="s">
        <v>15</v>
      </c>
      <c r="N2" s="11" t="s">
        <v>23</v>
      </c>
      <c r="O2" s="12" t="s">
        <v>24</v>
      </c>
      <c r="P2" s="13" t="s">
        <v>25</v>
      </c>
      <c r="Q2" s="13" t="s">
        <v>26</v>
      </c>
      <c r="R2" s="13" t="s">
        <v>27</v>
      </c>
      <c r="S2" s="13" t="s">
        <v>26</v>
      </c>
      <c r="T2" s="13" t="s">
        <v>27</v>
      </c>
    </row>
    <row r="3" spans="1:20" ht="12">
      <c r="A3" s="14" t="str">
        <f t="shared" ref="A3:A25" si="0">O3</f>
        <v>Scotland</v>
      </c>
      <c r="B3" s="15">
        <f t="shared" ref="B3" si="1">Q3/R3*100</f>
        <v>83.149242229642951</v>
      </c>
      <c r="C3" s="15">
        <f t="shared" ref="C3" si="2">S3/T3*100</f>
        <v>82.098445595854912</v>
      </c>
      <c r="D3" s="15">
        <f>80</f>
        <v>80</v>
      </c>
      <c r="E3" s="16">
        <f t="shared" ref="E3" si="3">SUM(1*MID(I3,1,FIND(" - ",I3)-1))</f>
        <v>82</v>
      </c>
      <c r="F3" s="17">
        <f t="shared" ref="F3" si="4">SUM(1*MID(I3,FIND(" - ",I3)+2,LEN(I3)))</f>
        <v>84</v>
      </c>
      <c r="G3" s="17">
        <f t="shared" ref="G3" si="5">SUM(1*MID(J3,1,FIND(" - ",J3)-1))</f>
        <v>81</v>
      </c>
      <c r="H3" s="17">
        <f t="shared" ref="H3" si="6">SUM(1*MID(J3,FIND(" - ",J3)+2,LEN(J3)))</f>
        <v>83</v>
      </c>
      <c r="I3" s="18"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82 - 84</v>
      </c>
      <c r="J3" s="19"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81 - 83</v>
      </c>
      <c r="K3" s="253">
        <f t="shared" ref="K3" si="9">C3-B3</f>
        <v>-1.050796633788039</v>
      </c>
      <c r="L3" s="254">
        <f t="shared" ref="L3:L25" si="10">((S3/T3)-(Q3/R3))-(NORMSINV(1-(0.05/COUNTA($O$3:$O$34)))*(SQRT((((Q3/R3)*(1-(Q3/R3)))/R3)+(((S3/T3)*(1-(S3/T3)))/T3))))</f>
        <v>-3.5166825515496339E-2</v>
      </c>
      <c r="M3" s="254">
        <f t="shared" ref="M3:M25" si="11">((S3/T3)-(Q3/R3))+(NORMSINV(1-(0.05/COUNTA($O$3:$O$34)))*(SQRT((((Q3/R3)*(1-(Q3/R3)))/R3)+(((S3/T3)*(1-(S3/T3)))/T3))))</f>
        <v>1.4150892839735713E-2</v>
      </c>
      <c r="N3" s="20">
        <f t="shared" ref="N3" si="12">IF(ISERR(IF(AND(((S3/T3)-(Q3/R3))-(NORMSINV(1-(0.05/COUNTA($P$3:$P$21)))*(SQRT((((Q3/R3)*(1-(Q3/R3)))/R3)+(((S3/T3)*(1-(S3/T3)))/T3))))&gt;0,((S3/T3)-(Q3/R3))+(NORMSINV(1-(0.05/COUNTA($P$3:$P$21)))*(SQRT((((Q3/R3)*(1-(Q3/R3)))/R3)+(((S3/T3)*(1-(S3/T3)))/T3))))&gt;0),1,IF(AND(((S3/T3)-(Q3/R3))-(NORMSINV(1-(0.05/COUNTA($P$3:$P$21)))*(SQRT((((Q3/R3)*(1-(Q3/R3)))/R3)+(((S3/T3)*(1-(S3/T3)))/T3))))&lt;0,((S3/T3)-(Q3/R3))+(NORMSINV(1-(0.05/COUNTA($P$3:$P$21)))*(SQRT((((Q3/R3)*(1-(Q3/R3)))/R3)+(((S3/T3)*(1-(S3/T3)))/T3))))&lt;0),-1,0))),"",IF(AND(((S3/T3)-(Q3/R3))-(NORMSINV(1-(0.05/COUNTA($P$3:$P$21)))*(SQRT((((Q3/R3)*(1-(Q3/R3)))/R3)+(((S3/T3)*(1-(S3/T3)))/T3))))&gt;0,((S3/T3)-(Q3/R3))+(NORMSINV(1-(0.05/COUNTA($P$3:$P$21)))*(SQRT((((Q3/R3)*(1-(Q3/R3)))/R3)+(((S3/T3)*(1-(S3/T3)))/T3))))&gt;0),1,IF(AND(((S3/T3)-(Q3/R3))-(NORMSINV(1-(0.05/COUNTA($P$3:$P$21)))*(SQRT((((Q3/R3)*(1-(Q3/R3)))/R3)+(((S3/T3)*(1-(S3/T3)))/T3))))&lt;0,((S3/T3)-(Q3/R3))+(NORMSINV(1-(0.05/COUNTA($P$3:$P$21)))*(SQRT((((Q3/R3)*(1-(Q3/R3)))/R3)+(((S3/T3)*(1-(S3/T3)))/T3))))&lt;0),-1,0)))</f>
        <v>0</v>
      </c>
      <c r="O3" s="14" t="str">
        <f t="shared" ref="O3" si="13">VLOOKUP(P3,Hospitals,2,FALSE)</f>
        <v>Scotland</v>
      </c>
      <c r="P3" s="14" t="s">
        <v>450</v>
      </c>
      <c r="Q3" s="408">
        <f>SUM(Q4:Q25)</f>
        <v>3237</v>
      </c>
      <c r="R3" s="408">
        <f>SUM(R4:R25)</f>
        <v>3893</v>
      </c>
      <c r="S3" s="408">
        <f>SUM(S4:S25)</f>
        <v>3169</v>
      </c>
      <c r="T3" s="408">
        <f>SUM(T4:T25)</f>
        <v>3860</v>
      </c>
    </row>
    <row r="4" spans="1:20" ht="12">
      <c r="A4" s="14" t="str">
        <f t="shared" ref="A4:A24" si="14">O4</f>
        <v>WGH</v>
      </c>
      <c r="B4" s="15">
        <f t="shared" ref="B4:B24" si="15">Q4/R4*100</f>
        <v>94.677419354838705</v>
      </c>
      <c r="C4" s="15">
        <f t="shared" ref="C4:C24" si="16">S4/T4*100</f>
        <v>96.491228070175438</v>
      </c>
      <c r="D4" s="17">
        <f>80</f>
        <v>80</v>
      </c>
      <c r="E4" s="17">
        <f t="shared" ref="E4:E24" si="17">SUM(1*MID(I4,1,FIND(" - ",I4)-1))</f>
        <v>93</v>
      </c>
      <c r="F4" s="17">
        <f t="shared" ref="F4:F24" si="18">SUM(1*MID(I4,FIND(" - ",I4)+2,LEN(I4)))</f>
        <v>96</v>
      </c>
      <c r="G4" s="17">
        <f t="shared" ref="G4:G24" si="19">SUM(1*MID(J4,1,FIND(" - ",J4)-1))</f>
        <v>94</v>
      </c>
      <c r="H4" s="17">
        <f t="shared" ref="H4:H24" si="20">SUM(1*MID(J4,FIND(" - ",J4)+2,LEN(J4)))</f>
        <v>98</v>
      </c>
      <c r="I4" s="21" t="str">
        <f t="shared" ref="I4:I24" si="21">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93 - 96</v>
      </c>
      <c r="J4" s="19" t="str">
        <f t="shared" ref="J4:J24" si="22">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94 - 98</v>
      </c>
      <c r="K4" s="253">
        <f t="shared" ref="K4:K24" si="23">C4-B4</f>
        <v>1.8138087153367337</v>
      </c>
      <c r="L4" s="254">
        <f t="shared" ref="L4:L24" si="24">((S4/T4)-(Q4/R4))-(NORMSINV(1-(0.05/COUNTA($O$3:$O$34)))*(SQRT((((Q4/R4)*(1-(Q4/R4)))/R4)+(((S4/T4)*(1-(S4/T4)))/T4))))</f>
        <v>-1.7594546593625193E-2</v>
      </c>
      <c r="M4" s="254">
        <f t="shared" ref="M4:M24" si="25">((S4/T4)-(Q4/R4))+(NORMSINV(1-(0.05/COUNTA($O$3:$O$34)))*(SQRT((((Q4/R4)*(1-(Q4/R4)))/R4)+(((S4/T4)*(1-(S4/T4)))/T4))))</f>
        <v>5.387072090035977E-2</v>
      </c>
      <c r="N4" s="20">
        <f t="shared" ref="N4:N24" si="26">IF(ISERR(IF(AND(((S4/T4)-(Q4/R4))-(NORMSINV(1-(0.05/COUNTA($P$3:$P$21)))*(SQRT((((Q4/R4)*(1-(Q4/R4)))/R4)+(((S4/T4)*(1-(S4/T4)))/T4))))&gt;0,((S4/T4)-(Q4/R4))+(NORMSINV(1-(0.05/COUNTA($P$3:$P$21)))*(SQRT((((Q4/R4)*(1-(Q4/R4)))/R4)+(((S4/T4)*(1-(S4/T4)))/T4))))&gt;0),1,IF(AND(((S4/T4)-(Q4/R4))-(NORMSINV(1-(0.05/COUNTA($P$3:$P$21)))*(SQRT((((Q4/R4)*(1-(Q4/R4)))/R4)+(((S4/T4)*(1-(S4/T4)))/T4))))&lt;0,((S4/T4)-(Q4/R4))+(NORMSINV(1-(0.05/COUNTA($P$3:$P$21)))*(SQRT((((Q4/R4)*(1-(Q4/R4)))/R4)+(((S4/T4)*(1-(S4/T4)))/T4))))&lt;0),-1,0))),"",IF(AND(((S4/T4)-(Q4/R4))-(NORMSINV(1-(0.05/COUNTA($P$3:$P$21)))*(SQRT((((Q4/R4)*(1-(Q4/R4)))/R4)+(((S4/T4)*(1-(S4/T4)))/T4))))&gt;0,((S4/T4)-(Q4/R4))+(NORMSINV(1-(0.05/COUNTA($P$3:$P$21)))*(SQRT((((Q4/R4)*(1-(Q4/R4)))/R4)+(((S4/T4)*(1-(S4/T4)))/T4))))&gt;0),1,IF(AND(((S4/T4)-(Q4/R4))-(NORMSINV(1-(0.05/COUNTA($P$3:$P$21)))*(SQRT((((Q4/R4)*(1-(Q4/R4)))/R4)+(((S4/T4)*(1-(S4/T4)))/T4))))&lt;0,((S4/T4)-(Q4/R4))+(NORMSINV(1-(0.05/COUNTA($P$3:$P$21)))*(SQRT((((Q4/R4)*(1-(Q4/R4)))/R4)+(((S4/T4)*(1-(S4/T4)))/T4))))&lt;0),-1,0)))</f>
        <v>0</v>
      </c>
      <c r="O4" s="14" t="str">
        <f>VLOOKUP(P4,Hospitals,2,FALSE)</f>
        <v>WGH</v>
      </c>
      <c r="P4" s="14" t="s">
        <v>114</v>
      </c>
      <c r="Q4" s="408">
        <f>VLOOKUP($P4,$Q$41:$T$62,3,FALSE)</f>
        <v>587</v>
      </c>
      <c r="R4" s="408">
        <f>VLOOKUP($P4,$Q$41:$T$62,4,FALSE)</f>
        <v>620</v>
      </c>
      <c r="S4" s="408">
        <f t="shared" ref="S4:S24" si="27">VLOOKUP($P4,$Q$65:$T$88,3,FALSE)</f>
        <v>440</v>
      </c>
      <c r="T4" s="408">
        <f t="shared" ref="T4:T24" si="28">VLOOKUP($P4,$Q$65:$T$88,4,FALSE)</f>
        <v>456</v>
      </c>
    </row>
    <row r="5" spans="1:20" ht="12">
      <c r="A5" s="14" t="str">
        <f t="shared" si="14"/>
        <v>Monklands</v>
      </c>
      <c r="B5" s="15">
        <f t="shared" si="15"/>
        <v>84.615384615384613</v>
      </c>
      <c r="C5" s="15">
        <f t="shared" si="16"/>
        <v>94.520547945205479</v>
      </c>
      <c r="D5" s="17">
        <f>80</f>
        <v>80</v>
      </c>
      <c r="E5" s="17">
        <f t="shared" si="17"/>
        <v>78</v>
      </c>
      <c r="F5" s="17">
        <f t="shared" si="18"/>
        <v>90</v>
      </c>
      <c r="G5" s="17">
        <f t="shared" si="19"/>
        <v>90</v>
      </c>
      <c r="H5" s="17">
        <f t="shared" si="20"/>
        <v>97</v>
      </c>
      <c r="I5" s="21" t="str">
        <f t="shared" si="21"/>
        <v>78 - 90</v>
      </c>
      <c r="J5" s="19" t="str">
        <f t="shared" si="22"/>
        <v>90 - 97</v>
      </c>
      <c r="K5" s="253">
        <f t="shared" si="23"/>
        <v>9.9051633298208657</v>
      </c>
      <c r="L5" s="254">
        <f t="shared" si="24"/>
        <v>-2.8595372010241232E-3</v>
      </c>
      <c r="M5" s="254">
        <f t="shared" si="25"/>
        <v>0.20096280379744141</v>
      </c>
      <c r="N5" s="20">
        <f t="shared" si="26"/>
        <v>0</v>
      </c>
      <c r="O5" s="14" t="str">
        <f>VLOOKUP(P5,Hospitals,2,FALSE)</f>
        <v>Monklands</v>
      </c>
      <c r="P5" s="14" t="s">
        <v>103</v>
      </c>
      <c r="Q5" s="408">
        <f>VLOOKUP($P5,$Q$41:$T$62,3,FALSE)</f>
        <v>121</v>
      </c>
      <c r="R5" s="408">
        <f>VLOOKUP($P5,$Q$41:$T$62,4,FALSE)</f>
        <v>143</v>
      </c>
      <c r="S5" s="408">
        <f t="shared" si="27"/>
        <v>138</v>
      </c>
      <c r="T5" s="408">
        <f t="shared" si="28"/>
        <v>146</v>
      </c>
    </row>
    <row r="6" spans="1:20" ht="12">
      <c r="A6" s="14" t="str">
        <f t="shared" si="14"/>
        <v>Ayr</v>
      </c>
      <c r="B6" s="15">
        <f t="shared" si="15"/>
        <v>96.610169491525426</v>
      </c>
      <c r="C6" s="15">
        <f t="shared" si="16"/>
        <v>90.990990990990994</v>
      </c>
      <c r="D6" s="17">
        <f>80</f>
        <v>80</v>
      </c>
      <c r="E6" s="17">
        <f t="shared" si="17"/>
        <v>92</v>
      </c>
      <c r="F6" s="17">
        <f t="shared" si="18"/>
        <v>99</v>
      </c>
      <c r="G6" s="17">
        <f t="shared" si="19"/>
        <v>84</v>
      </c>
      <c r="H6" s="17">
        <f t="shared" si="20"/>
        <v>95</v>
      </c>
      <c r="I6" s="21" t="str">
        <f t="shared" si="21"/>
        <v>92 - 99</v>
      </c>
      <c r="J6" s="19" t="str">
        <f t="shared" si="22"/>
        <v>84 - 95</v>
      </c>
      <c r="K6" s="253">
        <f t="shared" si="23"/>
        <v>-5.6191785005344315</v>
      </c>
      <c r="L6" s="254">
        <f t="shared" si="24"/>
        <v>-0.14752300448692982</v>
      </c>
      <c r="M6" s="254">
        <f t="shared" si="25"/>
        <v>3.5139434476241266E-2</v>
      </c>
      <c r="N6" s="20">
        <f t="shared" si="26"/>
        <v>0</v>
      </c>
      <c r="O6" s="14" t="str">
        <f>VLOOKUP(P6,Hospitals,2,FALSE)</f>
        <v>Ayr</v>
      </c>
      <c r="P6" s="14" t="s">
        <v>57</v>
      </c>
      <c r="Q6" s="408">
        <f>VLOOKUP($P6,$Q$41:$T$62,3,FALSE)</f>
        <v>114</v>
      </c>
      <c r="R6" s="408">
        <f>VLOOKUP($P6,$Q$41:$T$62,4,FALSE)</f>
        <v>118</v>
      </c>
      <c r="S6" s="408">
        <f t="shared" si="27"/>
        <v>101</v>
      </c>
      <c r="T6" s="408">
        <f t="shared" si="28"/>
        <v>111</v>
      </c>
    </row>
    <row r="7" spans="1:20" ht="12">
      <c r="A7" s="14" t="str">
        <f t="shared" si="14"/>
        <v>RIE</v>
      </c>
      <c r="B7" s="15" t="e">
        <f t="shared" si="15"/>
        <v>#DIV/0!</v>
      </c>
      <c r="C7" s="15">
        <f t="shared" si="16"/>
        <v>90.677966101694921</v>
      </c>
      <c r="D7" s="17">
        <f>80</f>
        <v>80</v>
      </c>
      <c r="E7" s="17" t="e">
        <f t="shared" si="17"/>
        <v>#DIV/0!</v>
      </c>
      <c r="F7" s="17" t="e">
        <f t="shared" si="18"/>
        <v>#DIV/0!</v>
      </c>
      <c r="G7" s="17">
        <f t="shared" si="19"/>
        <v>84</v>
      </c>
      <c r="H7" s="17">
        <f t="shared" si="20"/>
        <v>95</v>
      </c>
      <c r="I7" s="21" t="e">
        <f t="shared" si="21"/>
        <v>#DIV/0!</v>
      </c>
      <c r="J7" s="19" t="str">
        <f t="shared" si="22"/>
        <v>84 - 95</v>
      </c>
      <c r="K7" s="253" t="e">
        <f t="shared" si="23"/>
        <v>#DIV/0!</v>
      </c>
      <c r="L7" s="254" t="e">
        <f t="shared" si="24"/>
        <v>#DIV/0!</v>
      </c>
      <c r="M7" s="254" t="e">
        <f t="shared" si="25"/>
        <v>#DIV/0!</v>
      </c>
      <c r="N7" s="20" t="str">
        <f t="shared" si="26"/>
        <v/>
      </c>
      <c r="O7" s="14" t="s">
        <v>109</v>
      </c>
      <c r="P7" s="14" t="s">
        <v>108</v>
      </c>
      <c r="Q7" s="408"/>
      <c r="R7" s="408"/>
      <c r="S7" s="408">
        <f t="shared" si="27"/>
        <v>107</v>
      </c>
      <c r="T7" s="408">
        <f t="shared" si="28"/>
        <v>118</v>
      </c>
    </row>
    <row r="8" spans="1:20" ht="12">
      <c r="A8" s="14" t="str">
        <f t="shared" si="14"/>
        <v>Crosshouse</v>
      </c>
      <c r="B8" s="15">
        <f t="shared" si="15"/>
        <v>87.428571428571431</v>
      </c>
      <c r="C8" s="15">
        <f t="shared" si="16"/>
        <v>89.81481481481481</v>
      </c>
      <c r="D8" s="17">
        <f>80</f>
        <v>80</v>
      </c>
      <c r="E8" s="17">
        <f t="shared" si="17"/>
        <v>82</v>
      </c>
      <c r="F8" s="17">
        <f t="shared" si="18"/>
        <v>92</v>
      </c>
      <c r="G8" s="17">
        <f t="shared" si="19"/>
        <v>85</v>
      </c>
      <c r="H8" s="17">
        <f t="shared" si="20"/>
        <v>93</v>
      </c>
      <c r="I8" s="21" t="str">
        <f t="shared" si="21"/>
        <v>82 - 92</v>
      </c>
      <c r="J8" s="19" t="str">
        <f t="shared" si="22"/>
        <v>85 - 93</v>
      </c>
      <c r="K8" s="253">
        <f t="shared" si="23"/>
        <v>2.3862433862433789</v>
      </c>
      <c r="L8" s="254">
        <f t="shared" si="24"/>
        <v>-6.9051899360952435E-2</v>
      </c>
      <c r="M8" s="254">
        <f t="shared" si="25"/>
        <v>0.11677676708582005</v>
      </c>
      <c r="N8" s="20">
        <f t="shared" si="26"/>
        <v>0</v>
      </c>
      <c r="O8" s="14" t="str">
        <f t="shared" ref="O8:O25" si="29">VLOOKUP(P8,Hospitals,2,FALSE)</f>
        <v>Crosshouse</v>
      </c>
      <c r="P8" s="14" t="s">
        <v>59</v>
      </c>
      <c r="Q8" s="408">
        <f t="shared" ref="Q8:Q24" si="30">VLOOKUP($P8,$Q$41:$T$62,3,FALSE)</f>
        <v>153</v>
      </c>
      <c r="R8" s="408">
        <f t="shared" ref="R8:R24" si="31">VLOOKUP($P8,$Q$41:$T$62,4,FALSE)</f>
        <v>175</v>
      </c>
      <c r="S8" s="408">
        <f t="shared" si="27"/>
        <v>194</v>
      </c>
      <c r="T8" s="408">
        <f t="shared" si="28"/>
        <v>216</v>
      </c>
    </row>
    <row r="9" spans="1:20" ht="12">
      <c r="A9" s="14" t="str">
        <f t="shared" si="14"/>
        <v>VHK</v>
      </c>
      <c r="B9" s="15">
        <f t="shared" si="15"/>
        <v>85</v>
      </c>
      <c r="C9" s="15">
        <f t="shared" si="16"/>
        <v>89.583333333333343</v>
      </c>
      <c r="D9" s="17">
        <f>80</f>
        <v>80</v>
      </c>
      <c r="E9" s="17">
        <f t="shared" si="17"/>
        <v>80</v>
      </c>
      <c r="F9" s="17">
        <f t="shared" si="18"/>
        <v>89</v>
      </c>
      <c r="G9" s="17">
        <f t="shared" si="19"/>
        <v>85</v>
      </c>
      <c r="H9" s="17">
        <f t="shared" si="20"/>
        <v>93</v>
      </c>
      <c r="I9" s="21" t="str">
        <f t="shared" si="21"/>
        <v>80 - 89</v>
      </c>
      <c r="J9" s="19" t="str">
        <f t="shared" si="22"/>
        <v>85 - 93</v>
      </c>
      <c r="K9" s="253">
        <f t="shared" si="23"/>
        <v>4.5833333333333428</v>
      </c>
      <c r="L9" s="254">
        <f t="shared" si="24"/>
        <v>-3.7415849717311406E-2</v>
      </c>
      <c r="M9" s="254">
        <f t="shared" si="25"/>
        <v>0.12908251638397819</v>
      </c>
      <c r="N9" s="20">
        <f t="shared" si="26"/>
        <v>0</v>
      </c>
      <c r="O9" s="14" t="str">
        <f t="shared" si="29"/>
        <v>VHK</v>
      </c>
      <c r="P9" s="14" t="s">
        <v>281</v>
      </c>
      <c r="Q9" s="408">
        <f t="shared" si="30"/>
        <v>238</v>
      </c>
      <c r="R9" s="408">
        <f t="shared" si="31"/>
        <v>280</v>
      </c>
      <c r="S9" s="408">
        <f t="shared" si="27"/>
        <v>215</v>
      </c>
      <c r="T9" s="408">
        <f t="shared" si="28"/>
        <v>240</v>
      </c>
    </row>
    <row r="10" spans="1:20" ht="12">
      <c r="A10" s="14" t="str">
        <f t="shared" si="14"/>
        <v>L&amp;I</v>
      </c>
      <c r="B10" s="15">
        <f t="shared" si="15"/>
        <v>78.378378378378372</v>
      </c>
      <c r="C10" s="15">
        <f t="shared" si="16"/>
        <v>88.888888888888886</v>
      </c>
      <c r="D10" s="17">
        <f>80</f>
        <v>80</v>
      </c>
      <c r="E10" s="17">
        <f t="shared" si="17"/>
        <v>63</v>
      </c>
      <c r="F10" s="17">
        <f t="shared" si="18"/>
        <v>89</v>
      </c>
      <c r="G10" s="17">
        <f t="shared" si="19"/>
        <v>77</v>
      </c>
      <c r="H10" s="17">
        <f t="shared" si="20"/>
        <v>95</v>
      </c>
      <c r="I10" s="21" t="str">
        <f t="shared" si="21"/>
        <v>63 - 89</v>
      </c>
      <c r="J10" s="19" t="str">
        <f t="shared" si="22"/>
        <v>77 - 95</v>
      </c>
      <c r="K10" s="253">
        <f t="shared" si="23"/>
        <v>10.510510510510514</v>
      </c>
      <c r="L10" s="254">
        <f t="shared" si="24"/>
        <v>-0.13073505851685152</v>
      </c>
      <c r="M10" s="254">
        <f t="shared" si="25"/>
        <v>0.34094526872706166</v>
      </c>
      <c r="N10" s="20">
        <f t="shared" si="26"/>
        <v>0</v>
      </c>
      <c r="O10" s="14" t="str">
        <f t="shared" si="29"/>
        <v>L&amp;I</v>
      </c>
      <c r="P10" s="14" t="s">
        <v>94</v>
      </c>
      <c r="Q10" s="408">
        <f t="shared" si="30"/>
        <v>29</v>
      </c>
      <c r="R10" s="408">
        <f t="shared" si="31"/>
        <v>37</v>
      </c>
      <c r="S10" s="408">
        <f t="shared" si="27"/>
        <v>40</v>
      </c>
      <c r="T10" s="408">
        <f t="shared" si="28"/>
        <v>45</v>
      </c>
    </row>
    <row r="11" spans="1:20" ht="12">
      <c r="A11" s="14" t="str">
        <f t="shared" si="14"/>
        <v>Balfour</v>
      </c>
      <c r="B11" s="15">
        <f t="shared" si="15"/>
        <v>0</v>
      </c>
      <c r="C11" s="15">
        <f t="shared" si="16"/>
        <v>88.888888888888886</v>
      </c>
      <c r="D11" s="17">
        <f>80</f>
        <v>80</v>
      </c>
      <c r="E11" s="17">
        <f t="shared" si="17"/>
        <v>0</v>
      </c>
      <c r="F11" s="17">
        <f t="shared" si="18"/>
        <v>79</v>
      </c>
      <c r="G11" s="17">
        <f t="shared" si="19"/>
        <v>72</v>
      </c>
      <c r="H11" s="17">
        <f t="shared" si="20"/>
        <v>96</v>
      </c>
      <c r="I11" s="21" t="str">
        <f t="shared" si="21"/>
        <v>0 - 79</v>
      </c>
      <c r="J11" s="19" t="str">
        <f t="shared" si="22"/>
        <v>72 - 96</v>
      </c>
      <c r="K11" s="253">
        <f t="shared" si="23"/>
        <v>88.888888888888886</v>
      </c>
      <c r="L11" s="254">
        <f t="shared" si="24"/>
        <v>0.7155944305015085</v>
      </c>
      <c r="M11" s="254">
        <f t="shared" si="25"/>
        <v>1.0621833472762692</v>
      </c>
      <c r="N11" s="20">
        <f t="shared" si="26"/>
        <v>1</v>
      </c>
      <c r="O11" s="14" t="str">
        <f t="shared" si="29"/>
        <v>Balfour</v>
      </c>
      <c r="P11" s="14" t="s">
        <v>117</v>
      </c>
      <c r="Q11" s="408">
        <f t="shared" si="30"/>
        <v>0</v>
      </c>
      <c r="R11" s="408">
        <f t="shared" si="31"/>
        <v>1</v>
      </c>
      <c r="S11" s="408">
        <f t="shared" si="27"/>
        <v>24</v>
      </c>
      <c r="T11" s="408">
        <f t="shared" si="28"/>
        <v>27</v>
      </c>
    </row>
    <row r="12" spans="1:20" ht="12">
      <c r="A12" s="14" t="str">
        <f t="shared" si="14"/>
        <v>PRI</v>
      </c>
      <c r="B12" s="15">
        <f t="shared" si="15"/>
        <v>68.807339449541288</v>
      </c>
      <c r="C12" s="15">
        <f t="shared" si="16"/>
        <v>85.611510791366911</v>
      </c>
      <c r="D12" s="17">
        <f>80</f>
        <v>80</v>
      </c>
      <c r="E12" s="17">
        <f t="shared" si="17"/>
        <v>60</v>
      </c>
      <c r="F12" s="17">
        <f t="shared" si="18"/>
        <v>77</v>
      </c>
      <c r="G12" s="17">
        <f t="shared" si="19"/>
        <v>79</v>
      </c>
      <c r="H12" s="17">
        <f t="shared" si="20"/>
        <v>90</v>
      </c>
      <c r="I12" s="21" t="str">
        <f t="shared" si="21"/>
        <v>60 - 77</v>
      </c>
      <c r="J12" s="19" t="str">
        <f t="shared" si="22"/>
        <v>79 - 90</v>
      </c>
      <c r="K12" s="253">
        <f t="shared" si="23"/>
        <v>16.804171341825622</v>
      </c>
      <c r="L12" s="254">
        <f t="shared" si="24"/>
        <v>1.4937328765890073E-2</v>
      </c>
      <c r="M12" s="254">
        <f t="shared" si="25"/>
        <v>0.32114609807062244</v>
      </c>
      <c r="N12" s="20">
        <f t="shared" si="26"/>
        <v>1</v>
      </c>
      <c r="O12" s="14" t="str">
        <f t="shared" si="29"/>
        <v>PRI</v>
      </c>
      <c r="P12" s="14" t="s">
        <v>126</v>
      </c>
      <c r="Q12" s="408">
        <f t="shared" si="30"/>
        <v>75</v>
      </c>
      <c r="R12" s="408">
        <f t="shared" si="31"/>
        <v>109</v>
      </c>
      <c r="S12" s="408">
        <f t="shared" si="27"/>
        <v>119</v>
      </c>
      <c r="T12" s="408">
        <f t="shared" si="28"/>
        <v>139</v>
      </c>
    </row>
    <row r="13" spans="1:20" ht="12">
      <c r="A13" s="14" t="str">
        <f t="shared" si="14"/>
        <v>Wishaw</v>
      </c>
      <c r="B13" s="15">
        <f t="shared" si="15"/>
        <v>86.470588235294116</v>
      </c>
      <c r="C13" s="15">
        <f t="shared" si="16"/>
        <v>85.555555555555557</v>
      </c>
      <c r="D13" s="17">
        <f>80</f>
        <v>80</v>
      </c>
      <c r="E13" s="17">
        <f t="shared" si="17"/>
        <v>81</v>
      </c>
      <c r="F13" s="17">
        <f t="shared" si="18"/>
        <v>91</v>
      </c>
      <c r="G13" s="17">
        <f t="shared" si="19"/>
        <v>80</v>
      </c>
      <c r="H13" s="17">
        <f t="shared" si="20"/>
        <v>90</v>
      </c>
      <c r="I13" s="21" t="str">
        <f t="shared" si="21"/>
        <v>81 - 91</v>
      </c>
      <c r="J13" s="19" t="str">
        <f t="shared" si="22"/>
        <v>80 - 90</v>
      </c>
      <c r="K13" s="253">
        <f t="shared" si="23"/>
        <v>-0.91503267973855884</v>
      </c>
      <c r="L13" s="254">
        <f t="shared" si="24"/>
        <v>-0.11538663280217172</v>
      </c>
      <c r="M13" s="254">
        <f t="shared" si="25"/>
        <v>9.7085979207400322E-2</v>
      </c>
      <c r="N13" s="20">
        <f t="shared" si="26"/>
        <v>0</v>
      </c>
      <c r="O13" s="14" t="str">
        <f t="shared" si="29"/>
        <v>Wishaw</v>
      </c>
      <c r="P13" s="14" t="s">
        <v>106</v>
      </c>
      <c r="Q13" s="408">
        <f t="shared" si="30"/>
        <v>147</v>
      </c>
      <c r="R13" s="408">
        <f t="shared" si="31"/>
        <v>170</v>
      </c>
      <c r="S13" s="408">
        <f t="shared" si="27"/>
        <v>154</v>
      </c>
      <c r="T13" s="408">
        <f t="shared" si="28"/>
        <v>180</v>
      </c>
    </row>
    <row r="14" spans="1:20" ht="12">
      <c r="A14" s="14" t="str">
        <f t="shared" si="14"/>
        <v>DGRI</v>
      </c>
      <c r="B14" s="15">
        <f t="shared" si="15"/>
        <v>84.974093264248708</v>
      </c>
      <c r="C14" s="15">
        <f t="shared" si="16"/>
        <v>84.302325581395351</v>
      </c>
      <c r="D14" s="17">
        <f>80</f>
        <v>80</v>
      </c>
      <c r="E14" s="17">
        <f t="shared" si="17"/>
        <v>79</v>
      </c>
      <c r="F14" s="17">
        <f t="shared" si="18"/>
        <v>89</v>
      </c>
      <c r="G14" s="17">
        <f t="shared" si="19"/>
        <v>78</v>
      </c>
      <c r="H14" s="17">
        <f t="shared" si="20"/>
        <v>89</v>
      </c>
      <c r="I14" s="21" t="str">
        <f t="shared" si="21"/>
        <v>79 - 89</v>
      </c>
      <c r="J14" s="19" t="str">
        <f t="shared" si="22"/>
        <v>78 - 89</v>
      </c>
      <c r="K14" s="253">
        <f t="shared" si="23"/>
        <v>-0.67176768285335697</v>
      </c>
      <c r="L14" s="254">
        <f t="shared" si="24"/>
        <v>-0.11510448566831517</v>
      </c>
      <c r="M14" s="254">
        <f t="shared" si="25"/>
        <v>0.10166913201124812</v>
      </c>
      <c r="N14" s="20">
        <f t="shared" si="26"/>
        <v>0</v>
      </c>
      <c r="O14" s="14" t="str">
        <f t="shared" si="29"/>
        <v>DGRI</v>
      </c>
      <c r="P14" s="14" t="s">
        <v>64</v>
      </c>
      <c r="Q14" s="408">
        <f t="shared" si="30"/>
        <v>164</v>
      </c>
      <c r="R14" s="408">
        <f t="shared" si="31"/>
        <v>193</v>
      </c>
      <c r="S14" s="408">
        <f t="shared" si="27"/>
        <v>145</v>
      </c>
      <c r="T14" s="408">
        <f t="shared" si="28"/>
        <v>172</v>
      </c>
    </row>
    <row r="15" spans="1:20" ht="12">
      <c r="A15" s="14" t="str">
        <f t="shared" si="14"/>
        <v>Hairmyres</v>
      </c>
      <c r="B15" s="15">
        <f t="shared" si="15"/>
        <v>85.520361990950221</v>
      </c>
      <c r="C15" s="15">
        <f t="shared" si="16"/>
        <v>83.88429752066115</v>
      </c>
      <c r="D15" s="17">
        <f>80</f>
        <v>80</v>
      </c>
      <c r="E15" s="17">
        <f t="shared" si="17"/>
        <v>80</v>
      </c>
      <c r="F15" s="17">
        <f t="shared" si="18"/>
        <v>90</v>
      </c>
      <c r="G15" s="17">
        <f t="shared" si="19"/>
        <v>79</v>
      </c>
      <c r="H15" s="17">
        <f t="shared" si="20"/>
        <v>88</v>
      </c>
      <c r="I15" s="21" t="str">
        <f t="shared" si="21"/>
        <v>80 - 90</v>
      </c>
      <c r="J15" s="19" t="str">
        <f t="shared" si="22"/>
        <v>79 - 88</v>
      </c>
      <c r="K15" s="253">
        <f t="shared" si="23"/>
        <v>-1.636064470289071</v>
      </c>
      <c r="L15" s="254">
        <f t="shared" si="24"/>
        <v>-0.11220503498188907</v>
      </c>
      <c r="M15" s="254">
        <f t="shared" si="25"/>
        <v>7.9483745576107726E-2</v>
      </c>
      <c r="N15" s="20">
        <f t="shared" si="26"/>
        <v>0</v>
      </c>
      <c r="O15" s="14" t="str">
        <f t="shared" si="29"/>
        <v>Hairmyres</v>
      </c>
      <c r="P15" s="14" t="s">
        <v>100</v>
      </c>
      <c r="Q15" s="408">
        <f t="shared" si="30"/>
        <v>189</v>
      </c>
      <c r="R15" s="408">
        <f t="shared" si="31"/>
        <v>221</v>
      </c>
      <c r="S15" s="408">
        <f t="shared" si="27"/>
        <v>203</v>
      </c>
      <c r="T15" s="408">
        <f t="shared" si="28"/>
        <v>242</v>
      </c>
    </row>
    <row r="16" spans="1:20" ht="12">
      <c r="A16" s="14" t="str">
        <f t="shared" si="14"/>
        <v>Borders</v>
      </c>
      <c r="B16" s="15">
        <f t="shared" si="15"/>
        <v>86.956521739130437</v>
      </c>
      <c r="C16" s="15">
        <f t="shared" si="16"/>
        <v>83.766233766233768</v>
      </c>
      <c r="D16" s="17">
        <f>80</f>
        <v>80</v>
      </c>
      <c r="E16" s="17">
        <f t="shared" si="17"/>
        <v>80</v>
      </c>
      <c r="F16" s="17">
        <f t="shared" si="18"/>
        <v>92</v>
      </c>
      <c r="G16" s="17">
        <f t="shared" si="19"/>
        <v>77</v>
      </c>
      <c r="H16" s="17">
        <f t="shared" si="20"/>
        <v>89</v>
      </c>
      <c r="I16" s="21" t="str">
        <f t="shared" si="21"/>
        <v>80 - 92</v>
      </c>
      <c r="J16" s="19" t="str">
        <f t="shared" si="22"/>
        <v>77 - 89</v>
      </c>
      <c r="K16" s="253">
        <f t="shared" si="23"/>
        <v>-3.1902879728966695</v>
      </c>
      <c r="L16" s="254">
        <f t="shared" si="24"/>
        <v>-0.15021104061877172</v>
      </c>
      <c r="M16" s="254">
        <f t="shared" si="25"/>
        <v>8.6405281160838412E-2</v>
      </c>
      <c r="N16" s="20">
        <f t="shared" si="26"/>
        <v>0</v>
      </c>
      <c r="O16" s="14" t="str">
        <f t="shared" si="29"/>
        <v>Borders</v>
      </c>
      <c r="P16" s="14" t="s">
        <v>62</v>
      </c>
      <c r="Q16" s="408">
        <f t="shared" si="30"/>
        <v>120</v>
      </c>
      <c r="R16" s="408">
        <f t="shared" si="31"/>
        <v>138</v>
      </c>
      <c r="S16" s="408">
        <f t="shared" si="27"/>
        <v>129</v>
      </c>
      <c r="T16" s="408">
        <f t="shared" si="28"/>
        <v>154</v>
      </c>
    </row>
    <row r="17" spans="1:23" ht="12">
      <c r="A17" s="14" t="str">
        <f t="shared" si="14"/>
        <v>SJH</v>
      </c>
      <c r="B17" s="15">
        <f t="shared" si="15"/>
        <v>80.924855491329481</v>
      </c>
      <c r="C17" s="15">
        <f t="shared" si="16"/>
        <v>78.260869565217391</v>
      </c>
      <c r="D17" s="17">
        <f>80</f>
        <v>80</v>
      </c>
      <c r="E17" s="17">
        <f t="shared" si="17"/>
        <v>74</v>
      </c>
      <c r="F17" s="17">
        <f t="shared" si="18"/>
        <v>86</v>
      </c>
      <c r="G17" s="17">
        <f t="shared" si="19"/>
        <v>69</v>
      </c>
      <c r="H17" s="17">
        <f t="shared" si="20"/>
        <v>85</v>
      </c>
      <c r="I17" s="21" t="str">
        <f t="shared" si="21"/>
        <v>74 - 86</v>
      </c>
      <c r="J17" s="19" t="str">
        <f t="shared" si="22"/>
        <v>69 - 85</v>
      </c>
      <c r="K17" s="253">
        <f t="shared" si="23"/>
        <v>-2.6639859261120904</v>
      </c>
      <c r="L17" s="254">
        <f t="shared" si="24"/>
        <v>-0.17666433691296202</v>
      </c>
      <c r="M17" s="254">
        <f t="shared" si="25"/>
        <v>0.12338461839072024</v>
      </c>
      <c r="N17" s="20">
        <f t="shared" si="26"/>
        <v>0</v>
      </c>
      <c r="O17" s="14" t="str">
        <f t="shared" si="29"/>
        <v>SJH</v>
      </c>
      <c r="P17" s="14" t="s">
        <v>111</v>
      </c>
      <c r="Q17" s="408">
        <f t="shared" si="30"/>
        <v>140</v>
      </c>
      <c r="R17" s="408">
        <f t="shared" si="31"/>
        <v>173</v>
      </c>
      <c r="S17" s="408">
        <f t="shared" si="27"/>
        <v>72</v>
      </c>
      <c r="T17" s="408">
        <f t="shared" si="28"/>
        <v>92</v>
      </c>
    </row>
    <row r="18" spans="1:23" ht="12">
      <c r="A18" s="14" t="str">
        <f t="shared" si="14"/>
        <v>Dr Grays</v>
      </c>
      <c r="B18" s="15">
        <f t="shared" si="15"/>
        <v>66.037735849056602</v>
      </c>
      <c r="C18" s="15">
        <f t="shared" si="16"/>
        <v>76.470588235294116</v>
      </c>
      <c r="D18" s="17">
        <f>80</f>
        <v>80</v>
      </c>
      <c r="E18" s="17">
        <f t="shared" si="17"/>
        <v>53</v>
      </c>
      <c r="F18" s="17">
        <f t="shared" si="18"/>
        <v>77</v>
      </c>
      <c r="G18" s="17">
        <f t="shared" si="19"/>
        <v>63</v>
      </c>
      <c r="H18" s="17">
        <f t="shared" si="20"/>
        <v>86</v>
      </c>
      <c r="I18" s="21" t="str">
        <f t="shared" si="21"/>
        <v>53 - 77</v>
      </c>
      <c r="J18" s="19" t="str">
        <f t="shared" si="22"/>
        <v>63 - 86</v>
      </c>
      <c r="K18" s="253">
        <f t="shared" si="23"/>
        <v>10.432852386237514</v>
      </c>
      <c r="L18" s="254">
        <f t="shared" si="24"/>
        <v>-0.14807042754674832</v>
      </c>
      <c r="M18" s="254">
        <f t="shared" si="25"/>
        <v>0.35672747527149856</v>
      </c>
      <c r="N18" s="20">
        <f t="shared" si="26"/>
        <v>0</v>
      </c>
      <c r="O18" s="14" t="str">
        <f t="shared" si="29"/>
        <v>Dr Grays</v>
      </c>
      <c r="P18" s="14" t="s">
        <v>76</v>
      </c>
      <c r="Q18" s="408">
        <f t="shared" si="30"/>
        <v>35</v>
      </c>
      <c r="R18" s="408">
        <f t="shared" si="31"/>
        <v>53</v>
      </c>
      <c r="S18" s="408">
        <f t="shared" si="27"/>
        <v>39</v>
      </c>
      <c r="T18" s="408">
        <f t="shared" si="28"/>
        <v>51</v>
      </c>
    </row>
    <row r="19" spans="1:23" ht="12">
      <c r="A19" s="14" t="str">
        <f t="shared" si="14"/>
        <v>Raigmore</v>
      </c>
      <c r="B19" s="15">
        <f t="shared" si="15"/>
        <v>75.925925925925924</v>
      </c>
      <c r="C19" s="15">
        <f t="shared" si="16"/>
        <v>75.80071174377224</v>
      </c>
      <c r="D19" s="17">
        <f>80</f>
        <v>80</v>
      </c>
      <c r="E19" s="17">
        <f t="shared" si="17"/>
        <v>71</v>
      </c>
      <c r="F19" s="17">
        <f t="shared" si="18"/>
        <v>80</v>
      </c>
      <c r="G19" s="17">
        <f t="shared" si="19"/>
        <v>70</v>
      </c>
      <c r="H19" s="17">
        <f t="shared" si="20"/>
        <v>80</v>
      </c>
      <c r="I19" s="21" t="str">
        <f t="shared" si="21"/>
        <v>71 - 80</v>
      </c>
      <c r="J19" s="19" t="str">
        <f t="shared" si="22"/>
        <v>70 - 80</v>
      </c>
      <c r="K19" s="253">
        <f t="shared" si="23"/>
        <v>-0.12521418215368385</v>
      </c>
      <c r="L19" s="254">
        <f t="shared" si="24"/>
        <v>-0.10120555308365435</v>
      </c>
      <c r="M19" s="254">
        <f t="shared" si="25"/>
        <v>9.8701269440580594E-2</v>
      </c>
      <c r="N19" s="20">
        <f t="shared" si="26"/>
        <v>0</v>
      </c>
      <c r="O19" s="14" t="str">
        <f t="shared" si="29"/>
        <v>Raigmore</v>
      </c>
      <c r="P19" s="14" t="s">
        <v>97</v>
      </c>
      <c r="Q19" s="408">
        <f t="shared" si="30"/>
        <v>246</v>
      </c>
      <c r="R19" s="408">
        <f t="shared" si="31"/>
        <v>324</v>
      </c>
      <c r="S19" s="408">
        <f t="shared" si="27"/>
        <v>213</v>
      </c>
      <c r="T19" s="408">
        <f t="shared" si="28"/>
        <v>281</v>
      </c>
    </row>
    <row r="20" spans="1:23" ht="12">
      <c r="A20" s="14" t="str">
        <f t="shared" si="14"/>
        <v>ARI</v>
      </c>
      <c r="B20" s="15">
        <f t="shared" si="15"/>
        <v>69.742489270386272</v>
      </c>
      <c r="C20" s="15">
        <f t="shared" si="16"/>
        <v>72.504378283712782</v>
      </c>
      <c r="D20" s="17">
        <f>80</f>
        <v>80</v>
      </c>
      <c r="E20" s="17">
        <f t="shared" si="17"/>
        <v>65</v>
      </c>
      <c r="F20" s="17">
        <f t="shared" si="18"/>
        <v>74</v>
      </c>
      <c r="G20" s="17">
        <f t="shared" si="19"/>
        <v>69</v>
      </c>
      <c r="H20" s="17">
        <f t="shared" si="20"/>
        <v>76</v>
      </c>
      <c r="I20" s="21" t="str">
        <f t="shared" si="21"/>
        <v>65 - 74</v>
      </c>
      <c r="J20" s="19" t="str">
        <f t="shared" si="22"/>
        <v>69 - 76</v>
      </c>
      <c r="K20" s="253">
        <f t="shared" si="23"/>
        <v>2.7618890133265097</v>
      </c>
      <c r="L20" s="254">
        <f t="shared" si="24"/>
        <v>-5.3522808964441809E-2</v>
      </c>
      <c r="M20" s="254">
        <f t="shared" si="25"/>
        <v>0.10876058923097229</v>
      </c>
      <c r="N20" s="20">
        <f t="shared" si="26"/>
        <v>0</v>
      </c>
      <c r="O20" s="14" t="str">
        <f t="shared" si="29"/>
        <v>ARI</v>
      </c>
      <c r="P20" s="14" t="s">
        <v>74</v>
      </c>
      <c r="Q20" s="408">
        <f t="shared" si="30"/>
        <v>325</v>
      </c>
      <c r="R20" s="408">
        <f t="shared" si="31"/>
        <v>466</v>
      </c>
      <c r="S20" s="408">
        <f t="shared" si="27"/>
        <v>414</v>
      </c>
      <c r="T20" s="408">
        <f t="shared" si="28"/>
        <v>571</v>
      </c>
    </row>
    <row r="21" spans="1:23" ht="12">
      <c r="A21" s="14" t="str">
        <f t="shared" si="14"/>
        <v>QMH</v>
      </c>
      <c r="B21" s="15">
        <f t="shared" si="15"/>
        <v>56.111111111111114</v>
      </c>
      <c r="C21" s="15">
        <f t="shared" si="16"/>
        <v>71.022727272727266</v>
      </c>
      <c r="D21" s="17">
        <f>80</f>
        <v>80</v>
      </c>
      <c r="E21" s="17">
        <f t="shared" si="17"/>
        <v>49</v>
      </c>
      <c r="F21" s="17">
        <f t="shared" si="18"/>
        <v>63</v>
      </c>
      <c r="G21" s="17">
        <f t="shared" si="19"/>
        <v>64</v>
      </c>
      <c r="H21" s="17">
        <f t="shared" si="20"/>
        <v>77</v>
      </c>
      <c r="I21" s="21" t="str">
        <f t="shared" si="21"/>
        <v>49 - 63</v>
      </c>
      <c r="J21" s="19" t="str">
        <f t="shared" si="22"/>
        <v>64 - 77</v>
      </c>
      <c r="K21" s="253">
        <f t="shared" si="23"/>
        <v>14.911616161616152</v>
      </c>
      <c r="L21" s="254">
        <f t="shared" si="24"/>
        <v>4.783102915196985E-3</v>
      </c>
      <c r="M21" s="254">
        <f t="shared" si="25"/>
        <v>0.29344922031712617</v>
      </c>
      <c r="N21" s="20">
        <f t="shared" si="26"/>
        <v>1</v>
      </c>
      <c r="O21" s="14" t="str">
        <f t="shared" si="29"/>
        <v>QMH</v>
      </c>
      <c r="P21" s="14" t="s">
        <v>171</v>
      </c>
      <c r="Q21" s="408">
        <f t="shared" si="30"/>
        <v>101</v>
      </c>
      <c r="R21" s="408">
        <f t="shared" si="31"/>
        <v>180</v>
      </c>
      <c r="S21" s="408">
        <f t="shared" si="27"/>
        <v>125</v>
      </c>
      <c r="T21" s="408">
        <f t="shared" si="28"/>
        <v>176</v>
      </c>
    </row>
    <row r="22" spans="1:23" ht="12">
      <c r="A22" s="14" t="str">
        <f t="shared" si="14"/>
        <v>Ninewells</v>
      </c>
      <c r="B22" s="15">
        <f t="shared" si="15"/>
        <v>92.178770949720672</v>
      </c>
      <c r="C22" s="15">
        <f t="shared" si="16"/>
        <v>67.368421052631575</v>
      </c>
      <c r="D22" s="17">
        <f>80</f>
        <v>80</v>
      </c>
      <c r="E22" s="17">
        <f t="shared" si="17"/>
        <v>87</v>
      </c>
      <c r="F22" s="17">
        <f t="shared" si="18"/>
        <v>95</v>
      </c>
      <c r="G22" s="17">
        <f t="shared" si="19"/>
        <v>60</v>
      </c>
      <c r="H22" s="17">
        <f t="shared" si="20"/>
        <v>74</v>
      </c>
      <c r="I22" s="21" t="str">
        <f t="shared" si="21"/>
        <v>87 - 95</v>
      </c>
      <c r="J22" s="19" t="str">
        <f t="shared" si="22"/>
        <v>60 - 74</v>
      </c>
      <c r="K22" s="253">
        <f t="shared" si="23"/>
        <v>-24.810349897089097</v>
      </c>
      <c r="L22" s="254">
        <f t="shared" si="24"/>
        <v>-0.3612644501801795</v>
      </c>
      <c r="M22" s="254">
        <f t="shared" si="25"/>
        <v>-0.13494254776160228</v>
      </c>
      <c r="N22" s="20">
        <f t="shared" si="26"/>
        <v>-1</v>
      </c>
      <c r="O22" s="14" t="str">
        <f t="shared" si="29"/>
        <v>Ninewells</v>
      </c>
      <c r="P22" s="14" t="s">
        <v>123</v>
      </c>
      <c r="Q22" s="408">
        <f t="shared" si="30"/>
        <v>165</v>
      </c>
      <c r="R22" s="408">
        <f t="shared" si="31"/>
        <v>179</v>
      </c>
      <c r="S22" s="408">
        <f t="shared" si="27"/>
        <v>128</v>
      </c>
      <c r="T22" s="408">
        <f t="shared" si="28"/>
        <v>190</v>
      </c>
    </row>
    <row r="23" spans="1:23" ht="12">
      <c r="A23" s="14" t="str">
        <f t="shared" si="14"/>
        <v>FVRH</v>
      </c>
      <c r="B23" s="15">
        <f t="shared" si="15"/>
        <v>93.288590604026851</v>
      </c>
      <c r="C23" s="15">
        <f t="shared" si="16"/>
        <v>67.073170731707322</v>
      </c>
      <c r="D23" s="17">
        <f>80</f>
        <v>80</v>
      </c>
      <c r="E23" s="17">
        <f t="shared" si="17"/>
        <v>90</v>
      </c>
      <c r="F23" s="17">
        <f t="shared" si="18"/>
        <v>96</v>
      </c>
      <c r="G23" s="17">
        <f t="shared" si="19"/>
        <v>61</v>
      </c>
      <c r="H23" s="17">
        <f t="shared" si="20"/>
        <v>73</v>
      </c>
      <c r="I23" s="21" t="str">
        <f t="shared" si="21"/>
        <v>90 - 96</v>
      </c>
      <c r="J23" s="19" t="str">
        <f t="shared" si="22"/>
        <v>61 - 73</v>
      </c>
      <c r="K23" s="253">
        <f t="shared" si="23"/>
        <v>-26.215419872319529</v>
      </c>
      <c r="L23" s="254">
        <f t="shared" si="24"/>
        <v>-0.35752334234686484</v>
      </c>
      <c r="M23" s="254">
        <f t="shared" si="25"/>
        <v>-0.16678505509952563</v>
      </c>
      <c r="N23" s="20">
        <f t="shared" si="26"/>
        <v>-1</v>
      </c>
      <c r="O23" s="14" t="str">
        <f t="shared" si="29"/>
        <v>FVRH</v>
      </c>
      <c r="P23" s="14" t="s">
        <v>72</v>
      </c>
      <c r="Q23" s="408">
        <f t="shared" si="30"/>
        <v>278</v>
      </c>
      <c r="R23" s="408">
        <f t="shared" si="31"/>
        <v>298</v>
      </c>
      <c r="S23" s="408">
        <f t="shared" si="27"/>
        <v>165</v>
      </c>
      <c r="T23" s="408">
        <f t="shared" si="28"/>
        <v>246</v>
      </c>
    </row>
    <row r="24" spans="1:23" ht="12">
      <c r="A24" s="14" t="str">
        <f t="shared" si="14"/>
        <v>Western Isles</v>
      </c>
      <c r="B24" s="15">
        <f t="shared" si="15"/>
        <v>66.666666666666657</v>
      </c>
      <c r="C24" s="15">
        <f t="shared" si="16"/>
        <v>57.142857142857139</v>
      </c>
      <c r="D24" s="17">
        <f>80</f>
        <v>80</v>
      </c>
      <c r="E24" s="17">
        <f t="shared" si="17"/>
        <v>42</v>
      </c>
      <c r="F24" s="17">
        <f t="shared" si="18"/>
        <v>85</v>
      </c>
      <c r="G24" s="17">
        <f t="shared" si="19"/>
        <v>25</v>
      </c>
      <c r="H24" s="17">
        <f t="shared" si="20"/>
        <v>84</v>
      </c>
      <c r="I24" s="21" t="str">
        <f t="shared" si="21"/>
        <v>42 - 85</v>
      </c>
      <c r="J24" s="19" t="str">
        <f t="shared" si="22"/>
        <v>25 - 84</v>
      </c>
      <c r="K24" s="253">
        <f t="shared" si="23"/>
        <v>-9.5238095238095184</v>
      </c>
      <c r="L24" s="254">
        <f t="shared" si="24"/>
        <v>-0.73464861965936357</v>
      </c>
      <c r="M24" s="254">
        <f t="shared" si="25"/>
        <v>0.5441724291831731</v>
      </c>
      <c r="N24" s="20">
        <f t="shared" si="26"/>
        <v>0</v>
      </c>
      <c r="O24" s="14" t="str">
        <f t="shared" si="29"/>
        <v>Western Isles</v>
      </c>
      <c r="P24" s="14" t="s">
        <v>132</v>
      </c>
      <c r="Q24" s="408">
        <f t="shared" si="30"/>
        <v>10</v>
      </c>
      <c r="R24" s="408">
        <f t="shared" si="31"/>
        <v>15</v>
      </c>
      <c r="S24" s="408">
        <f t="shared" si="27"/>
        <v>4</v>
      </c>
      <c r="T24" s="408">
        <f t="shared" si="28"/>
        <v>7</v>
      </c>
    </row>
    <row r="25" spans="1:23" ht="12">
      <c r="A25" s="14" t="str">
        <f t="shared" si="0"/>
        <v>Stracathro</v>
      </c>
      <c r="B25" s="15" t="e">
        <f t="shared" ref="B25" si="32">Q25/R25*100</f>
        <v>#DIV/0!</v>
      </c>
      <c r="C25" s="15" t="e">
        <f t="shared" ref="C25" si="33">S25/T25*100</f>
        <v>#DIV/0!</v>
      </c>
      <c r="D25" s="17">
        <f>80</f>
        <v>80</v>
      </c>
      <c r="E25" s="17" t="e">
        <f t="shared" ref="E25" si="34">SUM(1*MID(I25,1,FIND(" - ",I25)-1))</f>
        <v>#DIV/0!</v>
      </c>
      <c r="F25" s="17" t="e">
        <f t="shared" ref="F25" si="35">SUM(1*MID(I25,FIND(" - ",I25)+2,LEN(I25)))</f>
        <v>#DIV/0!</v>
      </c>
      <c r="G25" s="17" t="e">
        <f t="shared" ref="G25" si="36">SUM(1*MID(J25,1,FIND(" - ",J25)-1))</f>
        <v>#DIV/0!</v>
      </c>
      <c r="H25" s="17" t="e">
        <f t="shared" ref="H25" si="37">SUM(1*MID(J25,FIND(" - ",J25)+2,LEN(J25)))</f>
        <v>#DIV/0!</v>
      </c>
      <c r="I25" s="21" t="e">
        <f t="shared" ref="I25" si="38">IF(AND(R25&gt;0,ROUND(SUM(100*((2*Q25+1.96^2)-(1.96*(SQRT(1.96^2+4*Q25*(1-(Q25/R25))))))/(2*(R25+1.96^2))),0)&lt;0),CONCATENATE(SUM(1*0)," - ",ROUND(SUM(100*((2*Q25+1.96^2)+(1.96*(SQRT(1.96^2+4*Q25*(1-(Q25/R25))))))/(2*(R25+1.96^2))),0)),IF(AND(R25&gt;0,ROUND(SUM(100*((2*Q25+1.96^2)-(1.96*(SQRT(1.96^2+4*Q25*(1-(Q25/R25))))))/(2*(R25+1.96^2))),0)&gt;=0),CONCATENATE(ROUND(SUM(100*((2*Q25+1.96^2)-(1.96*(SQRT(1.96^2+4*Q25*(1-(Q25/R25))))))/(2*(R25+1.96^2))),0)," - ",ROUND(SUM(100*((2*Q25+1.96^2)+(1.96*(SQRT(1.96^2+4*Q25*(1-(Q25/R25))))))/(2*(R25+1.96^2))),0)),""))</f>
        <v>#DIV/0!</v>
      </c>
      <c r="J25" s="19" t="e">
        <f t="shared" ref="J25" si="39">IF(AND(T25&gt;0,ROUND(SUM(100*((2*S25+1.96^2)-(1.96*(SQRT(1.96^2+4*S25*(1-(S25/T25))))))/(2*(T25+1.96^2))),0)&lt;0),CONCATENATE(SUM(1*0)," - ",ROUND(SUM(100*((2*S25+1.96^2)+(1.96*(SQRT(1.96^2+4*S25*(1-(S25/T25))))))/(2*(T25+1.96^2))),0)),IF(AND(T25&gt;0,ROUND(SUM(100*((2*S25+1.96^2)-(1.96*(SQRT(1.96^2+4*S25*(1-(S25/T25))))))/(2*(T25+1.96^2))),0)&gt;=0),CONCATENATE(ROUND(SUM(100*((2*S25+1.96^2)-(1.96*(SQRT(1.96^2+4*S25*(1-(S25/T25))))))/(2*(T25+1.96^2))),0)," - ",ROUND(SUM(100*((2*S25+1.96^2)+(1.96*(SQRT(1.96^2+4*S25*(1-(S25/T25))))))/(2*(T25+1.96^2))),0)),""))</f>
        <v>#DIV/0!</v>
      </c>
      <c r="K25" s="253" t="e">
        <f t="shared" ref="K25" si="40">C25-B25</f>
        <v>#DIV/0!</v>
      </c>
      <c r="L25" s="254" t="e">
        <f t="shared" si="10"/>
        <v>#DIV/0!</v>
      </c>
      <c r="M25" s="254" t="e">
        <f t="shared" si="11"/>
        <v>#DIV/0!</v>
      </c>
      <c r="N25" s="20" t="str">
        <f t="shared" ref="N25" si="41">IF(ISERR(IF(AND(((S25/T25)-(Q25/R25))-(NORMSINV(1-(0.05/COUNTA($P$3:$P$21)))*(SQRT((((Q25/R25)*(1-(Q25/R25)))/R25)+(((S25/T25)*(1-(S25/T25)))/T25))))&gt;0,((S25/T25)-(Q25/R25))+(NORMSINV(1-(0.05/COUNTA($P$3:$P$21)))*(SQRT((((Q25/R25)*(1-(Q25/R25)))/R25)+(((S25/T25)*(1-(S25/T25)))/T25))))&gt;0),1,IF(AND(((S25/T25)-(Q25/R25))-(NORMSINV(1-(0.05/COUNTA($P$3:$P$21)))*(SQRT((((Q25/R25)*(1-(Q25/R25)))/R25)+(((S25/T25)*(1-(S25/T25)))/T25))))&lt;0,((S25/T25)-(Q25/R25))+(NORMSINV(1-(0.05/COUNTA($P$3:$P$21)))*(SQRT((((Q25/R25)*(1-(Q25/R25)))/R25)+(((S25/T25)*(1-(S25/T25)))/T25))))&lt;0),-1,0))),"",IF(AND(((S25/T25)-(Q25/R25))-(NORMSINV(1-(0.05/COUNTA($P$3:$P$21)))*(SQRT((((Q25/R25)*(1-(Q25/R25)))/R25)+(((S25/T25)*(1-(S25/T25)))/T25))))&gt;0,((S25/T25)-(Q25/R25))+(NORMSINV(1-(0.05/COUNTA($P$3:$P$21)))*(SQRT((((Q25/R25)*(1-(Q25/R25)))/R25)+(((S25/T25)*(1-(S25/T25)))/T25))))&gt;0),1,IF(AND(((S25/T25)-(Q25/R25))-(NORMSINV(1-(0.05/COUNTA($P$3:$P$21)))*(SQRT((((Q25/R25)*(1-(Q25/R25)))/R25)+(((S25/T25)*(1-(S25/T25)))/T25))))&lt;0,((S25/T25)-(Q25/R25))+(NORMSINV(1-(0.05/COUNTA($P$3:$P$21)))*(SQRT((((Q25/R25)*(1-(Q25/R25)))/R25)+(((S25/T25)*(1-(S25/T25)))/T25))))&lt;0),-1,0)))</f>
        <v/>
      </c>
      <c r="O25" s="14" t="str">
        <f t="shared" si="29"/>
        <v>Stracathro</v>
      </c>
      <c r="P25" s="14" t="s">
        <v>176</v>
      </c>
      <c r="Q25" s="408"/>
      <c r="R25" s="408"/>
      <c r="S25" s="408"/>
      <c r="T25" s="408"/>
    </row>
    <row r="26" spans="1:23" ht="15">
      <c r="L26" s="25"/>
      <c r="M26" s="25"/>
      <c r="O26" t="s">
        <v>455</v>
      </c>
      <c r="P26"/>
      <c r="Q26" s="442">
        <f>Q22+Q12</f>
        <v>240</v>
      </c>
      <c r="R26" s="442">
        <f>R22+R12</f>
        <v>288</v>
      </c>
      <c r="S26" s="442">
        <f>S22+S12</f>
        <v>247</v>
      </c>
      <c r="T26" s="442">
        <f t="shared" ref="T26" si="42">T22+T12</f>
        <v>329</v>
      </c>
      <c r="U26"/>
      <c r="V26"/>
      <c r="W26"/>
    </row>
    <row r="27" spans="1:23" ht="15">
      <c r="L27" s="25"/>
      <c r="M27" s="25"/>
      <c r="O27"/>
      <c r="P27"/>
      <c r="Q27" s="443">
        <f>Q26/R26</f>
        <v>0.83333333333333337</v>
      </c>
      <c r="R27"/>
      <c r="S27" s="443">
        <f>S26/T26</f>
        <v>0.75075987841945291</v>
      </c>
      <c r="T27"/>
      <c r="U27"/>
      <c r="V27"/>
      <c r="W27"/>
    </row>
    <row r="28" spans="1:23" ht="15">
      <c r="L28" s="25"/>
      <c r="M28" s="25"/>
      <c r="O28"/>
      <c r="P28"/>
      <c r="Q28"/>
      <c r="R28"/>
      <c r="S28"/>
      <c r="T28"/>
      <c r="U28"/>
      <c r="V28"/>
      <c r="W28"/>
    </row>
    <row r="29" spans="1:23" ht="15">
      <c r="L29" s="25"/>
      <c r="M29" s="25"/>
      <c r="O29"/>
      <c r="P29"/>
      <c r="Q29"/>
      <c r="R29"/>
      <c r="S29"/>
      <c r="T29"/>
      <c r="U29"/>
      <c r="V29"/>
      <c r="W29"/>
    </row>
    <row r="30" spans="1:23" ht="15">
      <c r="L30" s="25"/>
      <c r="M30" s="25"/>
      <c r="O30"/>
      <c r="P30"/>
      <c r="Q30"/>
      <c r="R30"/>
      <c r="S30"/>
      <c r="T30"/>
      <c r="U30"/>
      <c r="V30"/>
      <c r="W30"/>
    </row>
    <row r="31" spans="1:23" ht="15">
      <c r="L31" s="25"/>
      <c r="M31" s="25"/>
      <c r="O31"/>
      <c r="P31"/>
      <c r="Q31"/>
      <c r="R31"/>
      <c r="S31"/>
      <c r="T31"/>
      <c r="U31"/>
      <c r="V31"/>
      <c r="W31"/>
    </row>
    <row r="32" spans="1:23" ht="15">
      <c r="L32" s="25"/>
      <c r="M32" s="25"/>
      <c r="O32"/>
      <c r="P32"/>
      <c r="Q32"/>
      <c r="R32"/>
      <c r="S32"/>
      <c r="T32"/>
      <c r="U32"/>
      <c r="V32"/>
      <c r="W32"/>
    </row>
    <row r="33" spans="12:23" ht="15">
      <c r="L33" s="25"/>
      <c r="M33" s="25"/>
      <c r="O33"/>
      <c r="P33"/>
      <c r="Q33"/>
      <c r="R33"/>
      <c r="S33"/>
      <c r="T33"/>
      <c r="U33"/>
      <c r="V33"/>
      <c r="W33"/>
    </row>
    <row r="34" spans="12:23" ht="15">
      <c r="L34" s="25"/>
      <c r="M34" s="25"/>
      <c r="O34"/>
      <c r="P34"/>
      <c r="Q34"/>
      <c r="R34"/>
      <c r="S34"/>
      <c r="T34"/>
      <c r="U34"/>
      <c r="V34"/>
      <c r="W34"/>
    </row>
    <row r="35" spans="12:23" ht="15">
      <c r="O35"/>
      <c r="P35"/>
      <c r="Q35"/>
      <c r="R35"/>
      <c r="S35"/>
      <c r="T35"/>
      <c r="U35"/>
      <c r="V35"/>
      <c r="W35"/>
    </row>
    <row r="36" spans="12:23" ht="15">
      <c r="O36" s="1070" t="s">
        <v>604</v>
      </c>
      <c r="P36" s="1070"/>
      <c r="Q36" s="1070"/>
      <c r="R36" s="1070"/>
      <c r="S36" s="1070"/>
      <c r="T36" s="1070"/>
      <c r="U36" s="917"/>
      <c r="V36"/>
      <c r="W36"/>
    </row>
    <row r="37" spans="12:23" ht="15">
      <c r="O37" s="918" t="s">
        <v>581</v>
      </c>
      <c r="P37" s="917"/>
      <c r="Q37" s="917"/>
      <c r="R37" s="917"/>
      <c r="S37" s="917"/>
      <c r="T37" s="917"/>
      <c r="U37" s="917"/>
      <c r="V37"/>
      <c r="W37"/>
    </row>
    <row r="38" spans="12:23" ht="15">
      <c r="O38" s="1071" t="s">
        <v>605</v>
      </c>
      <c r="P38" s="1071"/>
      <c r="Q38" s="1071"/>
      <c r="R38" s="1072" t="s">
        <v>606</v>
      </c>
      <c r="S38" s="1072"/>
      <c r="T38" s="1072" t="s">
        <v>178</v>
      </c>
      <c r="U38" s="917"/>
      <c r="V38"/>
      <c r="W38"/>
    </row>
    <row r="39" spans="12:23" ht="15">
      <c r="O39" s="1071"/>
      <c r="P39" s="1071"/>
      <c r="Q39" s="1071"/>
      <c r="R39" s="919" t="s">
        <v>582</v>
      </c>
      <c r="S39" s="919" t="s">
        <v>583</v>
      </c>
      <c r="T39" s="1072"/>
      <c r="U39" s="917"/>
      <c r="V39"/>
      <c r="W39"/>
    </row>
    <row r="40" spans="12:23" ht="15">
      <c r="O40" s="1068" t="s">
        <v>584</v>
      </c>
      <c r="P40" s="1069" t="s">
        <v>607</v>
      </c>
      <c r="Q40" s="920" t="s">
        <v>328</v>
      </c>
      <c r="R40" s="921">
        <v>0</v>
      </c>
      <c r="S40" s="921">
        <v>1</v>
      </c>
      <c r="T40" s="921">
        <v>1</v>
      </c>
      <c r="U40" s="917"/>
      <c r="V40"/>
      <c r="W40"/>
    </row>
    <row r="41" spans="12:23" ht="36">
      <c r="O41" s="1069"/>
      <c r="P41" s="1069"/>
      <c r="Q41" s="920" t="s">
        <v>74</v>
      </c>
      <c r="R41" s="921">
        <v>141</v>
      </c>
      <c r="S41" s="921">
        <v>325</v>
      </c>
      <c r="T41" s="921">
        <v>466</v>
      </c>
      <c r="U41" s="917"/>
      <c r="V41"/>
      <c r="W41"/>
    </row>
    <row r="42" spans="12:23" ht="15">
      <c r="O42" s="1069"/>
      <c r="P42" s="1069"/>
      <c r="Q42" s="920" t="s">
        <v>57</v>
      </c>
      <c r="R42" s="921">
        <v>4</v>
      </c>
      <c r="S42" s="921">
        <v>114</v>
      </c>
      <c r="T42" s="921">
        <v>118</v>
      </c>
      <c r="U42" s="917"/>
      <c r="V42"/>
      <c r="W42"/>
    </row>
    <row r="43" spans="12:23" ht="24">
      <c r="O43" s="1069"/>
      <c r="P43" s="1069"/>
      <c r="Q43" s="920" t="s">
        <v>117</v>
      </c>
      <c r="R43" s="921">
        <v>1</v>
      </c>
      <c r="S43" s="921">
        <v>0</v>
      </c>
      <c r="T43" s="921">
        <v>1</v>
      </c>
      <c r="U43" s="917"/>
      <c r="V43"/>
      <c r="W43"/>
    </row>
    <row r="44" spans="12:23" ht="36">
      <c r="O44" s="1069"/>
      <c r="P44" s="1069"/>
      <c r="Q44" s="920" t="s">
        <v>62</v>
      </c>
      <c r="R44" s="921">
        <v>18</v>
      </c>
      <c r="S44" s="921">
        <v>120</v>
      </c>
      <c r="T44" s="921">
        <v>138</v>
      </c>
      <c r="U44" s="917"/>
      <c r="V44"/>
      <c r="W44"/>
    </row>
    <row r="45" spans="12:23" ht="24">
      <c r="O45" s="1069"/>
      <c r="P45" s="1069"/>
      <c r="Q45" s="920" t="s">
        <v>608</v>
      </c>
      <c r="R45" s="921">
        <v>1</v>
      </c>
      <c r="S45" s="921">
        <v>0</v>
      </c>
      <c r="T45" s="921">
        <v>1</v>
      </c>
      <c r="U45" s="917"/>
      <c r="V45"/>
      <c r="W45"/>
    </row>
    <row r="46" spans="12:23" ht="24">
      <c r="O46" s="1069"/>
      <c r="P46" s="1069"/>
      <c r="Q46" s="920" t="s">
        <v>59</v>
      </c>
      <c r="R46" s="921">
        <v>22</v>
      </c>
      <c r="S46" s="921">
        <v>153</v>
      </c>
      <c r="T46" s="921">
        <v>175</v>
      </c>
      <c r="U46" s="917"/>
      <c r="V46"/>
      <c r="W46"/>
    </row>
    <row r="47" spans="12:23" ht="24">
      <c r="O47" s="1069"/>
      <c r="P47" s="1069"/>
      <c r="Q47" s="920" t="s">
        <v>76</v>
      </c>
      <c r="R47" s="921">
        <v>18</v>
      </c>
      <c r="S47" s="921">
        <v>35</v>
      </c>
      <c r="T47" s="921">
        <v>53</v>
      </c>
      <c r="U47" s="917"/>
      <c r="V47"/>
      <c r="W47"/>
    </row>
    <row r="48" spans="12:23" ht="48">
      <c r="O48" s="1069"/>
      <c r="P48" s="1069"/>
      <c r="Q48" s="920" t="s">
        <v>64</v>
      </c>
      <c r="R48" s="921">
        <v>29</v>
      </c>
      <c r="S48" s="921">
        <v>164</v>
      </c>
      <c r="T48" s="921">
        <v>193</v>
      </c>
      <c r="U48" s="917"/>
      <c r="V48"/>
      <c r="W48"/>
    </row>
    <row r="49" spans="15:23" ht="24">
      <c r="O49" s="1069"/>
      <c r="P49" s="1069"/>
      <c r="Q49" s="920" t="s">
        <v>72</v>
      </c>
      <c r="R49" s="921">
        <v>20</v>
      </c>
      <c r="S49" s="921">
        <v>278</v>
      </c>
      <c r="T49" s="921">
        <v>298</v>
      </c>
      <c r="U49" s="917"/>
      <c r="V49"/>
      <c r="W49"/>
    </row>
    <row r="50" spans="15:23" ht="36">
      <c r="O50" s="1069"/>
      <c r="P50" s="1069"/>
      <c r="Q50" s="920" t="s">
        <v>67</v>
      </c>
      <c r="R50" s="921">
        <v>0</v>
      </c>
      <c r="S50" s="921">
        <v>1</v>
      </c>
      <c r="T50" s="921">
        <v>1</v>
      </c>
      <c r="U50" s="917"/>
      <c r="V50"/>
      <c r="W50"/>
    </row>
    <row r="51" spans="15:23" ht="24">
      <c r="O51" s="1069"/>
      <c r="P51" s="1069"/>
      <c r="Q51" s="920" t="s">
        <v>100</v>
      </c>
      <c r="R51" s="921">
        <v>32</v>
      </c>
      <c r="S51" s="921">
        <v>189</v>
      </c>
      <c r="T51" s="921">
        <v>221</v>
      </c>
      <c r="U51" s="917"/>
      <c r="V51"/>
      <c r="W51"/>
    </row>
    <row r="52" spans="15:23" ht="24">
      <c r="O52" s="1069"/>
      <c r="P52" s="1069"/>
      <c r="Q52" s="920" t="s">
        <v>94</v>
      </c>
      <c r="R52" s="921">
        <v>8</v>
      </c>
      <c r="S52" s="921">
        <v>29</v>
      </c>
      <c r="T52" s="921">
        <v>37</v>
      </c>
      <c r="U52" s="917"/>
      <c r="V52"/>
      <c r="W52"/>
    </row>
    <row r="53" spans="15:23" ht="24">
      <c r="O53" s="1069"/>
      <c r="P53" s="1069"/>
      <c r="Q53" s="920" t="s">
        <v>103</v>
      </c>
      <c r="R53" s="921">
        <v>22</v>
      </c>
      <c r="S53" s="921">
        <v>121</v>
      </c>
      <c r="T53" s="921">
        <v>143</v>
      </c>
      <c r="U53" s="917"/>
      <c r="V53"/>
      <c r="W53"/>
    </row>
    <row r="54" spans="15:23" ht="24">
      <c r="O54" s="1069"/>
      <c r="P54" s="1069"/>
      <c r="Q54" s="920" t="s">
        <v>123</v>
      </c>
      <c r="R54" s="921">
        <v>14</v>
      </c>
      <c r="S54" s="921">
        <v>165</v>
      </c>
      <c r="T54" s="921">
        <v>179</v>
      </c>
      <c r="U54" s="917"/>
      <c r="V54"/>
      <c r="W54"/>
    </row>
    <row r="55" spans="15:23" ht="24">
      <c r="O55" s="1069"/>
      <c r="P55" s="1069"/>
      <c r="Q55" s="920" t="s">
        <v>126</v>
      </c>
      <c r="R55" s="921">
        <v>34</v>
      </c>
      <c r="S55" s="921">
        <v>75</v>
      </c>
      <c r="T55" s="921">
        <v>109</v>
      </c>
      <c r="U55" s="922"/>
    </row>
    <row r="56" spans="15:23" ht="36">
      <c r="O56" s="1069"/>
      <c r="P56" s="1069"/>
      <c r="Q56" s="920" t="s">
        <v>171</v>
      </c>
      <c r="R56" s="921">
        <v>79</v>
      </c>
      <c r="S56" s="921">
        <v>101</v>
      </c>
      <c r="T56" s="921">
        <v>180</v>
      </c>
      <c r="U56" s="922"/>
    </row>
    <row r="57" spans="15:23" ht="24">
      <c r="O57" s="1069"/>
      <c r="P57" s="1069"/>
      <c r="Q57" s="920" t="s">
        <v>97</v>
      </c>
      <c r="R57" s="921">
        <v>78</v>
      </c>
      <c r="S57" s="921">
        <v>246</v>
      </c>
      <c r="T57" s="921">
        <v>324</v>
      </c>
      <c r="U57" s="922"/>
    </row>
    <row r="58" spans="15:23" ht="24">
      <c r="O58" s="1069"/>
      <c r="P58" s="1069"/>
      <c r="Q58" s="920" t="s">
        <v>111</v>
      </c>
      <c r="R58" s="921">
        <v>33</v>
      </c>
      <c r="S58" s="921">
        <v>140</v>
      </c>
      <c r="T58" s="921">
        <v>173</v>
      </c>
      <c r="U58" s="922"/>
    </row>
    <row r="59" spans="15:23" ht="36">
      <c r="O59" s="1069"/>
      <c r="P59" s="1069"/>
      <c r="Q59" s="920" t="s">
        <v>281</v>
      </c>
      <c r="R59" s="921">
        <v>42</v>
      </c>
      <c r="S59" s="921">
        <v>238</v>
      </c>
      <c r="T59" s="921">
        <v>280</v>
      </c>
      <c r="U59" s="922"/>
    </row>
    <row r="60" spans="15:23" ht="36">
      <c r="O60" s="1069"/>
      <c r="P60" s="1069"/>
      <c r="Q60" s="920" t="s">
        <v>114</v>
      </c>
      <c r="R60" s="921">
        <v>33</v>
      </c>
      <c r="S60" s="921">
        <v>587</v>
      </c>
      <c r="T60" s="921">
        <v>620</v>
      </c>
      <c r="U60" s="922"/>
    </row>
    <row r="61" spans="15:23" ht="24">
      <c r="O61" s="1069"/>
      <c r="P61" s="1069"/>
      <c r="Q61" s="920" t="s">
        <v>132</v>
      </c>
      <c r="R61" s="921">
        <v>5</v>
      </c>
      <c r="S61" s="921">
        <v>10</v>
      </c>
      <c r="T61" s="921">
        <v>15</v>
      </c>
      <c r="U61" s="922"/>
    </row>
    <row r="62" spans="15:23" ht="36">
      <c r="O62" s="1069"/>
      <c r="P62" s="1069"/>
      <c r="Q62" s="920" t="s">
        <v>106</v>
      </c>
      <c r="R62" s="921">
        <v>23</v>
      </c>
      <c r="S62" s="921">
        <v>147</v>
      </c>
      <c r="T62" s="921">
        <v>170</v>
      </c>
      <c r="U62" s="922"/>
    </row>
    <row r="63" spans="15:23" ht="12">
      <c r="O63" s="1069"/>
      <c r="P63" s="1069" t="s">
        <v>178</v>
      </c>
      <c r="Q63" s="1069"/>
      <c r="R63" s="921">
        <v>657</v>
      </c>
      <c r="S63" s="921">
        <v>3239</v>
      </c>
      <c r="T63" s="921">
        <v>3896</v>
      </c>
      <c r="U63" s="922"/>
    </row>
    <row r="64" spans="15:23" ht="12">
      <c r="O64" s="1068" t="s">
        <v>585</v>
      </c>
      <c r="P64" s="1069" t="s">
        <v>607</v>
      </c>
      <c r="Q64" s="920" t="s">
        <v>328</v>
      </c>
      <c r="R64" s="921">
        <v>1</v>
      </c>
      <c r="S64" s="921">
        <v>0</v>
      </c>
      <c r="T64" s="921">
        <v>1</v>
      </c>
      <c r="U64" s="922"/>
    </row>
    <row r="65" spans="15:21" ht="36">
      <c r="O65" s="1069"/>
      <c r="P65" s="1069"/>
      <c r="Q65" s="920" t="s">
        <v>74</v>
      </c>
      <c r="R65" s="921">
        <v>157</v>
      </c>
      <c r="S65" s="921">
        <v>414</v>
      </c>
      <c r="T65" s="921">
        <v>571</v>
      </c>
      <c r="U65" s="922"/>
    </row>
    <row r="66" spans="15:21" ht="12">
      <c r="O66" s="1069"/>
      <c r="P66" s="1069"/>
      <c r="Q66" s="920" t="s">
        <v>57</v>
      </c>
      <c r="R66" s="921">
        <v>10</v>
      </c>
      <c r="S66" s="921">
        <v>101</v>
      </c>
      <c r="T66" s="921">
        <v>111</v>
      </c>
      <c r="U66" s="922"/>
    </row>
    <row r="67" spans="15:21" ht="24">
      <c r="O67" s="1069"/>
      <c r="P67" s="1069"/>
      <c r="Q67" s="920" t="s">
        <v>117</v>
      </c>
      <c r="R67" s="921">
        <v>3</v>
      </c>
      <c r="S67" s="921">
        <v>24</v>
      </c>
      <c r="T67" s="921">
        <v>27</v>
      </c>
      <c r="U67" s="922"/>
    </row>
    <row r="68" spans="15:21" ht="36">
      <c r="O68" s="1069"/>
      <c r="P68" s="1069"/>
      <c r="Q68" s="920" t="s">
        <v>62</v>
      </c>
      <c r="R68" s="921">
        <v>25</v>
      </c>
      <c r="S68" s="921">
        <v>129</v>
      </c>
      <c r="T68" s="921">
        <v>154</v>
      </c>
      <c r="U68" s="922"/>
    </row>
    <row r="69" spans="15:21" ht="36">
      <c r="O69" s="1069"/>
      <c r="P69" s="1069"/>
      <c r="Q69" s="920" t="s">
        <v>91</v>
      </c>
      <c r="R69" s="921">
        <v>0</v>
      </c>
      <c r="S69" s="921">
        <v>1</v>
      </c>
      <c r="T69" s="921">
        <v>1</v>
      </c>
      <c r="U69" s="922"/>
    </row>
    <row r="70" spans="15:21" ht="24">
      <c r="O70" s="1069"/>
      <c r="P70" s="1069"/>
      <c r="Q70" s="920" t="s">
        <v>59</v>
      </c>
      <c r="R70" s="921">
        <v>22</v>
      </c>
      <c r="S70" s="921">
        <v>194</v>
      </c>
      <c r="T70" s="921">
        <v>216</v>
      </c>
      <c r="U70" s="922"/>
    </row>
    <row r="71" spans="15:21" ht="24">
      <c r="O71" s="1069"/>
      <c r="P71" s="1069"/>
      <c r="Q71" s="920" t="s">
        <v>76</v>
      </c>
      <c r="R71" s="921">
        <v>12</v>
      </c>
      <c r="S71" s="921">
        <v>39</v>
      </c>
      <c r="T71" s="921">
        <v>51</v>
      </c>
      <c r="U71" s="922"/>
    </row>
    <row r="72" spans="15:21" ht="48">
      <c r="O72" s="1069"/>
      <c r="P72" s="1069"/>
      <c r="Q72" s="920" t="s">
        <v>64</v>
      </c>
      <c r="R72" s="921">
        <v>27</v>
      </c>
      <c r="S72" s="921">
        <v>145</v>
      </c>
      <c r="T72" s="921">
        <v>172</v>
      </c>
      <c r="U72" s="922"/>
    </row>
    <row r="73" spans="15:21" ht="24">
      <c r="O73" s="1069"/>
      <c r="P73" s="1069"/>
      <c r="Q73" s="920" t="s">
        <v>72</v>
      </c>
      <c r="R73" s="921">
        <v>81</v>
      </c>
      <c r="S73" s="921">
        <v>165</v>
      </c>
      <c r="T73" s="921">
        <v>246</v>
      </c>
      <c r="U73" s="922"/>
    </row>
    <row r="74" spans="15:21" ht="36">
      <c r="O74" s="1069"/>
      <c r="P74" s="1069"/>
      <c r="Q74" s="920" t="s">
        <v>67</v>
      </c>
      <c r="R74" s="921">
        <v>0</v>
      </c>
      <c r="S74" s="921">
        <v>1</v>
      </c>
      <c r="T74" s="921">
        <v>1</v>
      </c>
      <c r="U74" s="922"/>
    </row>
    <row r="75" spans="15:21" ht="24">
      <c r="O75" s="1069"/>
      <c r="P75" s="1069"/>
      <c r="Q75" s="920" t="s">
        <v>100</v>
      </c>
      <c r="R75" s="921">
        <v>39</v>
      </c>
      <c r="S75" s="921">
        <v>203</v>
      </c>
      <c r="T75" s="921">
        <v>242</v>
      </c>
      <c r="U75" s="922"/>
    </row>
    <row r="76" spans="15:21" ht="24">
      <c r="O76" s="1069"/>
      <c r="P76" s="1069"/>
      <c r="Q76" s="920" t="s">
        <v>94</v>
      </c>
      <c r="R76" s="921">
        <v>5</v>
      </c>
      <c r="S76" s="921">
        <v>40</v>
      </c>
      <c r="T76" s="921">
        <v>45</v>
      </c>
      <c r="U76" s="922"/>
    </row>
    <row r="77" spans="15:21" ht="24">
      <c r="O77" s="1069"/>
      <c r="P77" s="1069"/>
      <c r="Q77" s="920" t="s">
        <v>609</v>
      </c>
      <c r="R77" s="921">
        <v>1</v>
      </c>
      <c r="S77" s="921">
        <v>0</v>
      </c>
      <c r="T77" s="921">
        <v>1</v>
      </c>
      <c r="U77" s="922"/>
    </row>
    <row r="78" spans="15:21" ht="24">
      <c r="O78" s="1069"/>
      <c r="P78" s="1069"/>
      <c r="Q78" s="920" t="s">
        <v>103</v>
      </c>
      <c r="R78" s="921">
        <v>8</v>
      </c>
      <c r="S78" s="921">
        <v>138</v>
      </c>
      <c r="T78" s="921">
        <v>146</v>
      </c>
      <c r="U78" s="922"/>
    </row>
    <row r="79" spans="15:21" ht="24">
      <c r="O79" s="1069"/>
      <c r="P79" s="1069"/>
      <c r="Q79" s="920" t="s">
        <v>123</v>
      </c>
      <c r="R79" s="921">
        <v>62</v>
      </c>
      <c r="S79" s="921">
        <v>128</v>
      </c>
      <c r="T79" s="921">
        <v>190</v>
      </c>
      <c r="U79" s="922"/>
    </row>
    <row r="80" spans="15:21" ht="24">
      <c r="O80" s="1069"/>
      <c r="P80" s="1069"/>
      <c r="Q80" s="920" t="s">
        <v>126</v>
      </c>
      <c r="R80" s="921">
        <v>20</v>
      </c>
      <c r="S80" s="921">
        <v>119</v>
      </c>
      <c r="T80" s="921">
        <v>139</v>
      </c>
      <c r="U80" s="922"/>
    </row>
    <row r="81" spans="15:21" ht="36">
      <c r="O81" s="1069"/>
      <c r="P81" s="1069"/>
      <c r="Q81" s="920" t="s">
        <v>171</v>
      </c>
      <c r="R81" s="921">
        <v>51</v>
      </c>
      <c r="S81" s="921">
        <v>125</v>
      </c>
      <c r="T81" s="921">
        <v>176</v>
      </c>
      <c r="U81" s="922"/>
    </row>
    <row r="82" spans="15:21" ht="24">
      <c r="O82" s="1069"/>
      <c r="P82" s="1069"/>
      <c r="Q82" s="920" t="s">
        <v>97</v>
      </c>
      <c r="R82" s="921">
        <v>68</v>
      </c>
      <c r="S82" s="921">
        <v>213</v>
      </c>
      <c r="T82" s="921">
        <v>281</v>
      </c>
      <c r="U82" s="922"/>
    </row>
    <row r="83" spans="15:21" ht="36">
      <c r="O83" s="1069"/>
      <c r="P83" s="1069"/>
      <c r="Q83" s="920" t="s">
        <v>108</v>
      </c>
      <c r="R83" s="921">
        <v>11</v>
      </c>
      <c r="S83" s="921">
        <v>107</v>
      </c>
      <c r="T83" s="921">
        <v>118</v>
      </c>
      <c r="U83" s="922"/>
    </row>
    <row r="84" spans="15:21" ht="24">
      <c r="O84" s="1069"/>
      <c r="P84" s="1069"/>
      <c r="Q84" s="920" t="s">
        <v>111</v>
      </c>
      <c r="R84" s="921">
        <v>20</v>
      </c>
      <c r="S84" s="921">
        <v>72</v>
      </c>
      <c r="T84" s="921">
        <v>92</v>
      </c>
      <c r="U84" s="922"/>
    </row>
    <row r="85" spans="15:21" ht="36">
      <c r="O85" s="1069"/>
      <c r="P85" s="1069"/>
      <c r="Q85" s="920" t="s">
        <v>281</v>
      </c>
      <c r="R85" s="921">
        <v>25</v>
      </c>
      <c r="S85" s="921">
        <v>215</v>
      </c>
      <c r="T85" s="921">
        <v>240</v>
      </c>
      <c r="U85" s="922"/>
    </row>
    <row r="86" spans="15:21" ht="36">
      <c r="O86" s="1069"/>
      <c r="P86" s="1069"/>
      <c r="Q86" s="920" t="s">
        <v>114</v>
      </c>
      <c r="R86" s="921">
        <v>16</v>
      </c>
      <c r="S86" s="921">
        <v>440</v>
      </c>
      <c r="T86" s="921">
        <v>456</v>
      </c>
      <c r="U86" s="922"/>
    </row>
    <row r="87" spans="15:21" ht="24">
      <c r="O87" s="1069"/>
      <c r="P87" s="1069"/>
      <c r="Q87" s="920" t="s">
        <v>132</v>
      </c>
      <c r="R87" s="921">
        <v>3</v>
      </c>
      <c r="S87" s="921">
        <v>4</v>
      </c>
      <c r="T87" s="921">
        <v>7</v>
      </c>
      <c r="U87" s="922"/>
    </row>
    <row r="88" spans="15:21" ht="36">
      <c r="O88" s="1069"/>
      <c r="P88" s="1069"/>
      <c r="Q88" s="920" t="s">
        <v>106</v>
      </c>
      <c r="R88" s="921">
        <v>26</v>
      </c>
      <c r="S88" s="921">
        <v>154</v>
      </c>
      <c r="T88" s="921">
        <v>180</v>
      </c>
      <c r="U88" s="922"/>
    </row>
    <row r="89" spans="15:21" ht="12">
      <c r="O89" s="1069"/>
      <c r="P89" s="1069" t="s">
        <v>178</v>
      </c>
      <c r="Q89" s="1069"/>
      <c r="R89" s="921">
        <v>693</v>
      </c>
      <c r="S89" s="921">
        <v>3171</v>
      </c>
      <c r="T89" s="921">
        <v>3864</v>
      </c>
      <c r="U89" s="922"/>
    </row>
    <row r="90" spans="15:21" ht="12">
      <c r="O90" s="1069" t="s">
        <v>178</v>
      </c>
      <c r="P90" s="1069" t="s">
        <v>607</v>
      </c>
      <c r="Q90" s="920" t="s">
        <v>328</v>
      </c>
      <c r="R90" s="921">
        <v>1</v>
      </c>
      <c r="S90" s="921">
        <v>1</v>
      </c>
      <c r="T90" s="921">
        <v>2</v>
      </c>
      <c r="U90" s="922"/>
    </row>
    <row r="91" spans="15:21" ht="36">
      <c r="O91" s="1069"/>
      <c r="P91" s="1069"/>
      <c r="Q91" s="920" t="s">
        <v>74</v>
      </c>
      <c r="R91" s="921">
        <v>298</v>
      </c>
      <c r="S91" s="921">
        <v>739</v>
      </c>
      <c r="T91" s="921">
        <v>1037</v>
      </c>
      <c r="U91" s="922"/>
    </row>
    <row r="92" spans="15:21" ht="12">
      <c r="O92" s="1069"/>
      <c r="P92" s="1069"/>
      <c r="Q92" s="920" t="s">
        <v>57</v>
      </c>
      <c r="R92" s="921">
        <v>14</v>
      </c>
      <c r="S92" s="921">
        <v>215</v>
      </c>
      <c r="T92" s="921">
        <v>229</v>
      </c>
      <c r="U92" s="922"/>
    </row>
    <row r="93" spans="15:21" ht="24">
      <c r="O93" s="1069"/>
      <c r="P93" s="1069"/>
      <c r="Q93" s="920" t="s">
        <v>117</v>
      </c>
      <c r="R93" s="921">
        <v>4</v>
      </c>
      <c r="S93" s="921">
        <v>24</v>
      </c>
      <c r="T93" s="921">
        <v>28</v>
      </c>
      <c r="U93" s="922"/>
    </row>
    <row r="94" spans="15:21" ht="36">
      <c r="O94" s="1069"/>
      <c r="P94" s="1069"/>
      <c r="Q94" s="920" t="s">
        <v>62</v>
      </c>
      <c r="R94" s="921">
        <v>43</v>
      </c>
      <c r="S94" s="921">
        <v>249</v>
      </c>
      <c r="T94" s="921">
        <v>292</v>
      </c>
      <c r="U94" s="922"/>
    </row>
    <row r="95" spans="15:21" ht="36">
      <c r="O95" s="1069"/>
      <c r="P95" s="1069"/>
      <c r="Q95" s="920" t="s">
        <v>91</v>
      </c>
      <c r="R95" s="921">
        <v>0</v>
      </c>
      <c r="S95" s="921">
        <v>1</v>
      </c>
      <c r="T95" s="921">
        <v>1</v>
      </c>
      <c r="U95" s="922"/>
    </row>
    <row r="96" spans="15:21" ht="24">
      <c r="O96" s="1069"/>
      <c r="P96" s="1069"/>
      <c r="Q96" s="920" t="s">
        <v>608</v>
      </c>
      <c r="R96" s="921">
        <v>1</v>
      </c>
      <c r="S96" s="921">
        <v>0</v>
      </c>
      <c r="T96" s="921">
        <v>1</v>
      </c>
      <c r="U96" s="922"/>
    </row>
    <row r="97" spans="15:21" ht="24">
      <c r="O97" s="1069"/>
      <c r="P97" s="1069"/>
      <c r="Q97" s="920" t="s">
        <v>59</v>
      </c>
      <c r="R97" s="921">
        <v>44</v>
      </c>
      <c r="S97" s="921">
        <v>347</v>
      </c>
      <c r="T97" s="921">
        <v>391</v>
      </c>
      <c r="U97" s="922"/>
    </row>
    <row r="98" spans="15:21" ht="24">
      <c r="O98" s="1069"/>
      <c r="P98" s="1069"/>
      <c r="Q98" s="920" t="s">
        <v>76</v>
      </c>
      <c r="R98" s="921">
        <v>30</v>
      </c>
      <c r="S98" s="921">
        <v>74</v>
      </c>
      <c r="T98" s="921">
        <v>104</v>
      </c>
      <c r="U98" s="922"/>
    </row>
    <row r="99" spans="15:21" ht="48">
      <c r="O99" s="1069"/>
      <c r="P99" s="1069"/>
      <c r="Q99" s="920" t="s">
        <v>64</v>
      </c>
      <c r="R99" s="921">
        <v>56</v>
      </c>
      <c r="S99" s="921">
        <v>309</v>
      </c>
      <c r="T99" s="921">
        <v>365</v>
      </c>
      <c r="U99" s="922"/>
    </row>
    <row r="100" spans="15:21" ht="24">
      <c r="O100" s="1069"/>
      <c r="P100" s="1069"/>
      <c r="Q100" s="920" t="s">
        <v>72</v>
      </c>
      <c r="R100" s="921">
        <v>101</v>
      </c>
      <c r="S100" s="921">
        <v>443</v>
      </c>
      <c r="T100" s="921">
        <v>544</v>
      </c>
      <c r="U100" s="922"/>
    </row>
    <row r="101" spans="15:21" ht="36">
      <c r="O101" s="1069"/>
      <c r="P101" s="1069"/>
      <c r="Q101" s="920" t="s">
        <v>67</v>
      </c>
      <c r="R101" s="921">
        <v>0</v>
      </c>
      <c r="S101" s="921">
        <v>2</v>
      </c>
      <c r="T101" s="921">
        <v>2</v>
      </c>
      <c r="U101" s="922"/>
    </row>
    <row r="102" spans="15:21" ht="24">
      <c r="O102" s="1069"/>
      <c r="P102" s="1069"/>
      <c r="Q102" s="920" t="s">
        <v>100</v>
      </c>
      <c r="R102" s="921">
        <v>71</v>
      </c>
      <c r="S102" s="921">
        <v>392</v>
      </c>
      <c r="T102" s="921">
        <v>463</v>
      </c>
      <c r="U102" s="922"/>
    </row>
    <row r="103" spans="15:21" ht="24">
      <c r="O103" s="1069"/>
      <c r="P103" s="1069"/>
      <c r="Q103" s="920" t="s">
        <v>94</v>
      </c>
      <c r="R103" s="921">
        <v>13</v>
      </c>
      <c r="S103" s="921">
        <v>69</v>
      </c>
      <c r="T103" s="921">
        <v>82</v>
      </c>
      <c r="U103" s="922"/>
    </row>
    <row r="104" spans="15:21" ht="24">
      <c r="O104" s="1069"/>
      <c r="P104" s="1069"/>
      <c r="Q104" s="920" t="s">
        <v>609</v>
      </c>
      <c r="R104" s="921">
        <v>1</v>
      </c>
      <c r="S104" s="921">
        <v>0</v>
      </c>
      <c r="T104" s="921">
        <v>1</v>
      </c>
      <c r="U104" s="922"/>
    </row>
    <row r="105" spans="15:21" ht="24">
      <c r="O105" s="1069"/>
      <c r="P105" s="1069"/>
      <c r="Q105" s="920" t="s">
        <v>103</v>
      </c>
      <c r="R105" s="921">
        <v>30</v>
      </c>
      <c r="S105" s="921">
        <v>259</v>
      </c>
      <c r="T105" s="921">
        <v>289</v>
      </c>
      <c r="U105" s="922"/>
    </row>
    <row r="106" spans="15:21" ht="24">
      <c r="O106" s="1069"/>
      <c r="P106" s="1069"/>
      <c r="Q106" s="920" t="s">
        <v>123</v>
      </c>
      <c r="R106" s="921">
        <v>76</v>
      </c>
      <c r="S106" s="921">
        <v>293</v>
      </c>
      <c r="T106" s="921">
        <v>369</v>
      </c>
      <c r="U106" s="922"/>
    </row>
    <row r="107" spans="15:21" ht="24">
      <c r="O107" s="1069"/>
      <c r="P107" s="1069"/>
      <c r="Q107" s="920" t="s">
        <v>126</v>
      </c>
      <c r="R107" s="921">
        <v>54</v>
      </c>
      <c r="S107" s="921">
        <v>194</v>
      </c>
      <c r="T107" s="921">
        <v>248</v>
      </c>
      <c r="U107" s="922"/>
    </row>
    <row r="108" spans="15:21" ht="36">
      <c r="O108" s="1069"/>
      <c r="P108" s="1069"/>
      <c r="Q108" s="920" t="s">
        <v>171</v>
      </c>
      <c r="R108" s="921">
        <v>130</v>
      </c>
      <c r="S108" s="921">
        <v>226</v>
      </c>
      <c r="T108" s="921">
        <v>356</v>
      </c>
      <c r="U108" s="922"/>
    </row>
    <row r="109" spans="15:21" ht="24">
      <c r="O109" s="1069"/>
      <c r="P109" s="1069"/>
      <c r="Q109" s="920" t="s">
        <v>97</v>
      </c>
      <c r="R109" s="921">
        <v>146</v>
      </c>
      <c r="S109" s="921">
        <v>459</v>
      </c>
      <c r="T109" s="921">
        <v>605</v>
      </c>
      <c r="U109" s="922"/>
    </row>
    <row r="110" spans="15:21" ht="36">
      <c r="O110" s="1069"/>
      <c r="P110" s="1069"/>
      <c r="Q110" s="920" t="s">
        <v>108</v>
      </c>
      <c r="R110" s="921">
        <v>11</v>
      </c>
      <c r="S110" s="921">
        <v>107</v>
      </c>
      <c r="T110" s="921">
        <v>118</v>
      </c>
      <c r="U110" s="922"/>
    </row>
    <row r="111" spans="15:21" ht="24">
      <c r="O111" s="1069"/>
      <c r="P111" s="1069"/>
      <c r="Q111" s="920" t="s">
        <v>111</v>
      </c>
      <c r="R111" s="921">
        <v>53</v>
      </c>
      <c r="S111" s="921">
        <v>212</v>
      </c>
      <c r="T111" s="921">
        <v>265</v>
      </c>
      <c r="U111" s="922"/>
    </row>
    <row r="112" spans="15:21" ht="36">
      <c r="O112" s="1069"/>
      <c r="P112" s="1069"/>
      <c r="Q112" s="920" t="s">
        <v>281</v>
      </c>
      <c r="R112" s="921">
        <v>67</v>
      </c>
      <c r="S112" s="921">
        <v>453</v>
      </c>
      <c r="T112" s="921">
        <v>520</v>
      </c>
      <c r="U112" s="922"/>
    </row>
    <row r="113" spans="15:21" ht="36">
      <c r="O113" s="1069"/>
      <c r="P113" s="1069"/>
      <c r="Q113" s="920" t="s">
        <v>114</v>
      </c>
      <c r="R113" s="921">
        <v>49</v>
      </c>
      <c r="S113" s="921">
        <v>1027</v>
      </c>
      <c r="T113" s="921">
        <v>1076</v>
      </c>
      <c r="U113" s="922"/>
    </row>
    <row r="114" spans="15:21" ht="24">
      <c r="O114" s="1069"/>
      <c r="P114" s="1069"/>
      <c r="Q114" s="920" t="s">
        <v>132</v>
      </c>
      <c r="R114" s="921">
        <v>8</v>
      </c>
      <c r="S114" s="921">
        <v>14</v>
      </c>
      <c r="T114" s="921">
        <v>22</v>
      </c>
      <c r="U114" s="922"/>
    </row>
    <row r="115" spans="15:21" ht="36">
      <c r="O115" s="1069"/>
      <c r="P115" s="1069"/>
      <c r="Q115" s="920" t="s">
        <v>106</v>
      </c>
      <c r="R115" s="921">
        <v>49</v>
      </c>
      <c r="S115" s="921">
        <v>301</v>
      </c>
      <c r="T115" s="921">
        <v>350</v>
      </c>
      <c r="U115" s="922"/>
    </row>
    <row r="116" spans="15:21" ht="12">
      <c r="O116" s="1069"/>
      <c r="P116" s="1069" t="s">
        <v>178</v>
      </c>
      <c r="Q116" s="1069"/>
      <c r="R116" s="921">
        <v>1350</v>
      </c>
      <c r="S116" s="921">
        <v>6410</v>
      </c>
      <c r="T116" s="921">
        <v>7760</v>
      </c>
      <c r="U116" s="922"/>
    </row>
    <row r="117" spans="15:21">
      <c r="O117" s="923"/>
      <c r="P117" s="923"/>
      <c r="Q117" s="924"/>
      <c r="R117" s="924"/>
      <c r="S117" s="924"/>
      <c r="T117" s="924"/>
      <c r="U117" s="923"/>
    </row>
  </sheetData>
  <sheetProtection password="B8D9" sheet="1" objects="1" scenarios="1"/>
  <sortState ref="A4:T24">
    <sortCondition descending="1" ref="C4:C24"/>
  </sortState>
  <mergeCells count="20">
    <mergeCell ref="S1:T1"/>
    <mergeCell ref="E2:F2"/>
    <mergeCell ref="G2:H2"/>
    <mergeCell ref="A1:A2"/>
    <mergeCell ref="B1:H1"/>
    <mergeCell ref="O1:P1"/>
    <mergeCell ref="Q1:R1"/>
    <mergeCell ref="O36:T36"/>
    <mergeCell ref="O38:Q39"/>
    <mergeCell ref="R38:S38"/>
    <mergeCell ref="T38:T39"/>
    <mergeCell ref="O40:O63"/>
    <mergeCell ref="P40:P62"/>
    <mergeCell ref="P63:Q63"/>
    <mergeCell ref="O64:O89"/>
    <mergeCell ref="P64:P88"/>
    <mergeCell ref="P89:Q89"/>
    <mergeCell ref="O90:O116"/>
    <mergeCell ref="P90:P115"/>
    <mergeCell ref="P116:Q116"/>
  </mergeCells>
  <phoneticPr fontId="0" type="noConversion"/>
  <conditionalFormatting sqref="A3:A25">
    <cfRule type="expression" dxfId="17" priority="1">
      <formula>$N3=-1</formula>
    </cfRule>
    <cfRule type="expression" dxfId="16" priority="2">
      <formula>$N3=0</formula>
    </cfRule>
    <cfRule type="expression" dxfId="15" priority="3">
      <formula>$N3=1</formula>
    </cfRule>
  </conditionalFormatting>
  <pageMargins left="0.70866141732283472" right="0.70866141732283472" top="0.74803149606299213" bottom="0.74803149606299213" header="0.31496062992125984" footer="0.31496062992125984"/>
  <pageSetup paperSize="9" scale="17"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43.xml><?xml version="1.0" encoding="utf-8"?>
<worksheet xmlns="http://schemas.openxmlformats.org/spreadsheetml/2006/main" xmlns:r="http://schemas.openxmlformats.org/officeDocument/2006/relationships">
  <sheetPr codeName="Sheet45">
    <pageSetUpPr fitToPage="1"/>
  </sheetPr>
  <dimension ref="A1:T45"/>
  <sheetViews>
    <sheetView workbookViewId="0"/>
  </sheetViews>
  <sheetFormatPr defaultRowHeight="12.75"/>
  <cols>
    <col min="1" max="1" width="2.7109375" style="676" customWidth="1"/>
    <col min="2" max="16384" width="9.140625" style="676"/>
  </cols>
  <sheetData>
    <row r="1" spans="1:20" s="669" customFormat="1" ht="24.95" customHeight="1">
      <c r="A1" s="669" t="s">
        <v>639</v>
      </c>
      <c r="B1" s="967" t="s">
        <v>640</v>
      </c>
      <c r="C1" s="967"/>
      <c r="D1" s="967"/>
      <c r="E1" s="967"/>
      <c r="F1" s="967"/>
      <c r="G1" s="967"/>
      <c r="H1" s="967"/>
      <c r="I1" s="967"/>
      <c r="J1" s="967"/>
      <c r="K1" s="967"/>
      <c r="L1" s="967"/>
      <c r="M1" s="967"/>
      <c r="N1" s="967"/>
      <c r="O1" s="26"/>
      <c r="P1" s="985" t="s">
        <v>45</v>
      </c>
      <c r="Q1" s="26"/>
      <c r="R1" s="26"/>
      <c r="S1" s="26"/>
      <c r="T1" s="26"/>
    </row>
    <row r="2" spans="1:20" s="669" customFormat="1" ht="12.75" customHeight="1">
      <c r="B2" s="1043" t="s">
        <v>396</v>
      </c>
      <c r="C2" s="1043"/>
      <c r="D2" s="1043"/>
      <c r="E2" s="1043"/>
      <c r="F2" s="1043"/>
      <c r="G2" s="1043"/>
      <c r="H2" s="1043"/>
      <c r="I2" s="1043"/>
      <c r="J2" s="1043"/>
      <c r="K2" s="1043"/>
      <c r="L2" s="1043"/>
      <c r="M2" s="1043"/>
      <c r="O2" s="27"/>
      <c r="P2" s="985"/>
      <c r="Q2" s="28"/>
      <c r="R2" s="987"/>
      <c r="S2" s="987"/>
      <c r="T2" s="987"/>
    </row>
    <row r="3" spans="1:20" s="669" customFormat="1" ht="12.75" customHeight="1">
      <c r="B3" s="1043"/>
      <c r="C3" s="1043"/>
      <c r="D3" s="1043"/>
      <c r="E3" s="1043"/>
      <c r="F3" s="1043"/>
      <c r="G3" s="1043"/>
      <c r="H3" s="1043"/>
      <c r="I3" s="1043"/>
      <c r="J3" s="1043"/>
      <c r="K3" s="1043"/>
      <c r="L3" s="1043"/>
      <c r="M3" s="1043"/>
      <c r="O3" s="519"/>
      <c r="P3" s="985"/>
      <c r="Q3" s="29"/>
      <c r="R3" s="667"/>
      <c r="S3" s="667"/>
      <c r="T3" s="667"/>
    </row>
    <row r="4" spans="1:20" s="669" customFormat="1" ht="12.75" customHeight="1">
      <c r="B4" s="1044" t="s">
        <v>324</v>
      </c>
      <c r="C4" s="1044"/>
      <c r="D4" s="1044"/>
      <c r="E4" s="1044"/>
      <c r="F4" s="1044"/>
      <c r="G4" s="1044"/>
      <c r="H4" s="1044"/>
      <c r="I4" s="1044"/>
      <c r="J4" s="1044"/>
      <c r="K4" s="1044"/>
      <c r="L4" s="1044"/>
      <c r="M4" s="1044"/>
      <c r="O4" s="30"/>
      <c r="P4" s="985"/>
      <c r="Q4" s="664"/>
      <c r="R4" s="29"/>
      <c r="S4" s="72"/>
    </row>
    <row r="5" spans="1:20" s="669" customFormat="1" ht="12.75" customHeight="1">
      <c r="B5" s="1044"/>
      <c r="C5" s="1044"/>
      <c r="D5" s="1044"/>
      <c r="E5" s="1044"/>
      <c r="F5" s="1044"/>
      <c r="G5" s="1044"/>
      <c r="H5" s="1044"/>
      <c r="I5" s="1044"/>
      <c r="J5" s="1044"/>
      <c r="K5" s="1044"/>
      <c r="L5" s="1044"/>
      <c r="M5" s="1044"/>
      <c r="N5" s="666"/>
      <c r="O5" s="30"/>
      <c r="P5" s="30"/>
      <c r="Q5" s="664"/>
      <c r="R5" s="29"/>
      <c r="S5" s="72"/>
    </row>
    <row r="6" spans="1:20" s="669" customFormat="1" ht="12.75" customHeight="1">
      <c r="B6" s="1044"/>
      <c r="C6" s="1044"/>
      <c r="D6" s="1044"/>
      <c r="E6" s="1044"/>
      <c r="F6" s="1044"/>
      <c r="G6" s="1044"/>
      <c r="H6" s="1044"/>
      <c r="I6" s="1044"/>
      <c r="J6" s="1044"/>
      <c r="K6" s="1044"/>
      <c r="L6" s="1044"/>
      <c r="M6" s="1044"/>
      <c r="N6" s="666"/>
      <c r="O6" s="30"/>
      <c r="P6" s="837" t="s">
        <v>567</v>
      </c>
      <c r="Q6" s="664"/>
      <c r="R6" s="29"/>
      <c r="S6" s="72"/>
    </row>
    <row r="7" spans="1:20" s="669" customFormat="1">
      <c r="B7" s="1044"/>
      <c r="C7" s="1044"/>
      <c r="D7" s="1044"/>
      <c r="E7" s="1044"/>
      <c r="F7" s="1044"/>
      <c r="G7" s="1044"/>
      <c r="H7" s="1044"/>
      <c r="I7" s="1044"/>
      <c r="J7" s="1044"/>
      <c r="K7" s="1044"/>
      <c r="L7" s="1044"/>
      <c r="M7" s="1044"/>
      <c r="N7" s="675"/>
      <c r="O7" s="30"/>
      <c r="P7" s="30"/>
      <c r="Q7" s="664"/>
      <c r="R7" s="29"/>
      <c r="S7" s="72"/>
    </row>
    <row r="41" spans="2:14">
      <c r="B41" s="565"/>
      <c r="C41" s="565"/>
      <c r="D41" s="565"/>
      <c r="E41" s="565"/>
      <c r="F41" s="565"/>
      <c r="G41" s="565"/>
      <c r="H41" s="565"/>
      <c r="I41" s="565"/>
      <c r="J41" s="565"/>
      <c r="K41" s="565"/>
      <c r="L41" s="565"/>
      <c r="M41" s="565"/>
    </row>
    <row r="42" spans="2:14" s="669" customFormat="1">
      <c r="B42" s="77" t="s">
        <v>406</v>
      </c>
      <c r="D42" s="34"/>
      <c r="E42" s="34"/>
      <c r="F42" s="34"/>
      <c r="G42" s="34"/>
      <c r="H42" s="34"/>
      <c r="I42" s="34"/>
      <c r="J42" s="663"/>
      <c r="K42" s="663"/>
      <c r="L42" s="663"/>
      <c r="M42" s="663"/>
      <c r="N42" s="663"/>
    </row>
    <row r="43" spans="2:14" s="674" customFormat="1" ht="24.95" customHeight="1">
      <c r="B43" s="972" t="s">
        <v>0</v>
      </c>
      <c r="C43" s="972"/>
      <c r="D43" s="972"/>
      <c r="E43" s="972"/>
      <c r="F43" s="972"/>
      <c r="G43" s="972"/>
      <c r="H43" s="972"/>
      <c r="I43" s="972"/>
      <c r="J43" s="972"/>
      <c r="K43" s="972"/>
      <c r="L43" s="972"/>
      <c r="M43" s="972"/>
      <c r="N43" s="252"/>
    </row>
    <row r="44" spans="2:14" s="669" customFormat="1" ht="31.5" customHeight="1">
      <c r="B44" s="1081" t="s">
        <v>726</v>
      </c>
      <c r="C44" s="1081"/>
      <c r="D44" s="1081"/>
      <c r="E44" s="1081"/>
      <c r="F44" s="1081"/>
      <c r="G44" s="1081"/>
      <c r="H44" s="1081"/>
      <c r="I44" s="1081"/>
      <c r="J44" s="1081"/>
      <c r="K44" s="1081"/>
      <c r="L44" s="1081"/>
      <c r="M44" s="1081"/>
      <c r="N44" s="1081"/>
    </row>
    <row r="45" spans="2:14" s="784" customFormat="1" ht="15">
      <c r="B45" s="205" t="s">
        <v>756</v>
      </c>
      <c r="C45" s="203"/>
      <c r="D45" s="204"/>
      <c r="E45" s="204"/>
      <c r="F45" s="204"/>
      <c r="G45" s="204"/>
      <c r="H45" s="204"/>
      <c r="I45" s="204"/>
      <c r="J45" s="203"/>
    </row>
  </sheetData>
  <sheetProtection password="B8D9" sheet="1" objects="1" scenarios="1"/>
  <mergeCells count="7">
    <mergeCell ref="B44:N44"/>
    <mergeCell ref="B1:N1"/>
    <mergeCell ref="P1:P4"/>
    <mergeCell ref="B2:M3"/>
    <mergeCell ref="R2:T2"/>
    <mergeCell ref="B4:M7"/>
    <mergeCell ref="B43:M43"/>
  </mergeCells>
  <hyperlinks>
    <hyperlink ref="N4" location="'List of Tables &amp; Charts'!A1" display="return to List of Tables &amp; Charts"/>
    <hyperlink ref="P1" location="'List of Tables &amp; Charts'!A1" display="return to List of Tables &amp; Charts"/>
    <hyperlink ref="P6" location="'Chart 7 (2016) DATA'!A1" display="view Chart 7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44.xml><?xml version="1.0" encoding="utf-8"?>
<worksheet xmlns="http://schemas.openxmlformats.org/spreadsheetml/2006/main" xmlns:r="http://schemas.openxmlformats.org/officeDocument/2006/relationships">
  <sheetPr codeName="Sheet46">
    <pageSetUpPr fitToPage="1"/>
  </sheetPr>
  <dimension ref="A1:V50"/>
  <sheetViews>
    <sheetView showGridLines="0" workbookViewId="0">
      <selection sqref="A1:B1"/>
    </sheetView>
  </sheetViews>
  <sheetFormatPr defaultRowHeight="12.75"/>
  <cols>
    <col min="1" max="1" width="16.7109375" style="669" customWidth="1"/>
    <col min="2" max="2" width="40.7109375" style="669" customWidth="1"/>
    <col min="3" max="7" width="10.7109375" style="663" customWidth="1"/>
    <col min="8" max="12" width="2.7109375" style="663" customWidth="1"/>
    <col min="13" max="13" width="9.28515625" style="663" customWidth="1"/>
    <col min="14" max="14" width="11.28515625" style="669" customWidth="1"/>
    <col min="15" max="15" width="9.28515625" style="669" customWidth="1"/>
    <col min="16" max="16" width="11.28515625" style="669" customWidth="1"/>
    <col min="17" max="17" width="9.28515625" style="669" customWidth="1"/>
    <col min="18" max="18" width="11.28515625" style="669" customWidth="1"/>
    <col min="19" max="19" width="9.28515625" style="669" customWidth="1"/>
    <col min="20" max="20" width="11.28515625" style="669" customWidth="1"/>
    <col min="21" max="21" width="9.28515625" style="669" customWidth="1"/>
    <col min="22" max="22" width="11.28515625" style="669" customWidth="1"/>
    <col min="23" max="16384" width="9.140625" style="669"/>
  </cols>
  <sheetData>
    <row r="1" spans="1:22" ht="25.5" customHeight="1">
      <c r="A1" s="1091">
        <v>2016</v>
      </c>
      <c r="B1" s="1046"/>
      <c r="C1" s="1062" t="s">
        <v>42</v>
      </c>
      <c r="D1" s="1063"/>
      <c r="E1" s="1063"/>
      <c r="F1" s="1063"/>
      <c r="G1" s="1064"/>
      <c r="H1" s="79"/>
      <c r="I1" s="79"/>
      <c r="J1" s="79"/>
      <c r="K1" s="79"/>
      <c r="L1" s="79"/>
      <c r="M1" s="1015" t="s">
        <v>48</v>
      </c>
      <c r="N1" s="1017"/>
      <c r="O1" s="1015" t="s">
        <v>49</v>
      </c>
      <c r="P1" s="1017"/>
      <c r="Q1" s="1015" t="s">
        <v>163</v>
      </c>
      <c r="R1" s="1017"/>
      <c r="S1" s="1015" t="s">
        <v>164</v>
      </c>
      <c r="T1" s="1017"/>
      <c r="U1" s="1016" t="s">
        <v>165</v>
      </c>
      <c r="V1" s="1082"/>
    </row>
    <row r="2" spans="1:22" ht="45" customHeight="1">
      <c r="A2" s="80" t="s">
        <v>24</v>
      </c>
      <c r="B2" s="53" t="s">
        <v>25</v>
      </c>
      <c r="C2" s="40" t="s">
        <v>51</v>
      </c>
      <c r="D2" s="40" t="s">
        <v>53</v>
      </c>
      <c r="E2" s="40" t="s">
        <v>166</v>
      </c>
      <c r="F2" s="81" t="s">
        <v>167</v>
      </c>
      <c r="G2" s="40" t="s">
        <v>18</v>
      </c>
      <c r="H2" s="82" t="s">
        <v>55</v>
      </c>
      <c r="I2" s="82" t="s">
        <v>168</v>
      </c>
      <c r="J2" s="82" t="s">
        <v>169</v>
      </c>
      <c r="K2" s="82" t="s">
        <v>170</v>
      </c>
      <c r="L2" s="82" t="s">
        <v>274</v>
      </c>
      <c r="M2" s="43" t="s">
        <v>26</v>
      </c>
      <c r="N2" s="43" t="s">
        <v>27</v>
      </c>
      <c r="O2" s="43" t="s">
        <v>26</v>
      </c>
      <c r="P2" s="43" t="s">
        <v>27</v>
      </c>
      <c r="Q2" s="43" t="s">
        <v>26</v>
      </c>
      <c r="R2" s="43" t="s">
        <v>27</v>
      </c>
      <c r="S2" s="43" t="s">
        <v>26</v>
      </c>
      <c r="T2" s="43" t="s">
        <v>27</v>
      </c>
      <c r="U2" s="83" t="s">
        <v>26</v>
      </c>
      <c r="V2" s="65" t="s">
        <v>27</v>
      </c>
    </row>
    <row r="3" spans="1:22">
      <c r="A3" s="45" t="s">
        <v>134</v>
      </c>
      <c r="B3" s="45" t="s">
        <v>178</v>
      </c>
      <c r="C3" s="46">
        <f t="shared" ref="C3" si="0">M3/N3*100</f>
        <v>12.276612276612276</v>
      </c>
      <c r="D3" s="46">
        <f t="shared" ref="D3" si="1">(M3+O3)/P3*100</f>
        <v>38.2025382025382</v>
      </c>
      <c r="E3" s="46">
        <f t="shared" ref="E3" si="2">(M3+O3+Q3)/R3*100</f>
        <v>82.077182077182073</v>
      </c>
      <c r="F3" s="46">
        <f t="shared" ref="F3" si="3">U3/V3*100</f>
        <v>94.690494690494688</v>
      </c>
      <c r="G3" s="46" t="str">
        <f t="shared" ref="G3" si="4">IF(AND(AND(V3&gt;0,(M3+O3+Q3)&gt;0),ROUND(SUM(100*((2*(M3+O3+Q3)+1.96^2)-(1.96*(SQRT(1.96^2+4*(M3+O3+Q3)*(1-((M3+O3+Q3)/V3))))))/(2*(V3+1.96^2))),0)&lt;0),CONCATENATE(SUM(1*0)," - ",ROUND(SUM(100*((2*(M3+O3+Q3)+1.96^2)+(1.96*(SQRT(1.96^2+4*(M3+O3+Q3)*(1-((M3+O3+Q3)/V3))))))/(2*(V3+1.96^2))),0)),IF(AND(AND(V3&gt;0,(M3+O3+Q3)&gt;0),ROUND(SUM(100*((2*(M3+O3+Q3)+1.96^2)-(1.96*(SQRT(1.96^2+4*(M3+O3+Q3)*(1-((M3+O3+Q3)/V3))))))/(2*(V3+1.96^2))),0)&gt;=0),CONCATENATE(ROUND(SUM(100*((2*(M3+O3+Q3)+1.96^2)-(1.96*(SQRT(1.96^2+4*(M3+O3+Q3)*(1-((M3+O3+Q3)/V3))))))/(2*(V3+1.96^2))),0)," - ",ROUND(SUM(100*((2*(M3+O3+Q3)+1.96^2)+(1.96*(SQRT(1.96^2+4*(M3+O3+Q3)*(1-((M3+O3+Q3)/V3))))))/(2*(V3+1.96^2))),0)),""))</f>
        <v>81 - 83</v>
      </c>
      <c r="H3" s="536">
        <f t="shared" ref="H3:J3" si="5">D3-C3</f>
        <v>25.925925925925924</v>
      </c>
      <c r="I3" s="563">
        <f t="shared" si="5"/>
        <v>43.874643874643873</v>
      </c>
      <c r="J3" s="562">
        <f t="shared" si="5"/>
        <v>12.613312613312615</v>
      </c>
      <c r="K3" s="562">
        <f t="shared" ref="K3" si="6">F3</f>
        <v>94.690494690494688</v>
      </c>
      <c r="L3" s="561">
        <v>80</v>
      </c>
      <c r="M3" s="405">
        <f t="shared" ref="M3:V3" si="7">SUM(M4:M24)</f>
        <v>474</v>
      </c>
      <c r="N3" s="405">
        <f t="shared" si="7"/>
        <v>3861</v>
      </c>
      <c r="O3" s="405">
        <f t="shared" si="7"/>
        <v>1001</v>
      </c>
      <c r="P3" s="405">
        <f t="shared" si="7"/>
        <v>3861</v>
      </c>
      <c r="Q3" s="405">
        <f t="shared" si="7"/>
        <v>1694</v>
      </c>
      <c r="R3" s="405">
        <f t="shared" si="7"/>
        <v>3861</v>
      </c>
      <c r="S3" s="405">
        <f t="shared" si="7"/>
        <v>487</v>
      </c>
      <c r="T3" s="405">
        <f t="shared" si="7"/>
        <v>3861</v>
      </c>
      <c r="U3" s="405">
        <f t="shared" si="7"/>
        <v>3656</v>
      </c>
      <c r="V3" s="405">
        <f t="shared" si="7"/>
        <v>3861</v>
      </c>
    </row>
    <row r="4" spans="1:22">
      <c r="A4" s="45" t="s">
        <v>115</v>
      </c>
      <c r="B4" s="45" t="s">
        <v>116</v>
      </c>
      <c r="C4" s="46">
        <f t="shared" ref="C4:C24" si="8">M4/N4*100</f>
        <v>23.684210526315788</v>
      </c>
      <c r="D4" s="46">
        <f t="shared" ref="D4:D24" si="9">(M4+O4)/P4*100</f>
        <v>46.710526315789473</v>
      </c>
      <c r="E4" s="46">
        <f t="shared" ref="E4:E24" si="10">(M4+O4+Q4)/R4*100</f>
        <v>96.491228070175438</v>
      </c>
      <c r="F4" s="46">
        <f t="shared" ref="F4:F24" si="11">U4/V4*100</f>
        <v>99.561403508771932</v>
      </c>
      <c r="G4" s="46" t="str">
        <f t="shared" ref="G4:G24" si="12">IF(AND(AND(V4&gt;0,(M4+O4+Q4)&gt;0),ROUND(SUM(100*((2*(M4+O4+Q4)+1.96^2)-(1.96*(SQRT(1.96^2+4*(M4+O4+Q4)*(1-((M4+O4+Q4)/V4))))))/(2*(V4+1.96^2))),0)&lt;0),CONCATENATE(SUM(1*0)," - ",ROUND(SUM(100*((2*(M4+O4+Q4)+1.96^2)+(1.96*(SQRT(1.96^2+4*(M4+O4+Q4)*(1-((M4+O4+Q4)/V4))))))/(2*(V4+1.96^2))),0)),IF(AND(AND(V4&gt;0,(M4+O4+Q4)&gt;0),ROUND(SUM(100*((2*(M4+O4+Q4)+1.96^2)-(1.96*(SQRT(1.96^2+4*(M4+O4+Q4)*(1-((M4+O4+Q4)/V4))))))/(2*(V4+1.96^2))),0)&gt;=0),CONCATENATE(ROUND(SUM(100*((2*(M4+O4+Q4)+1.96^2)-(1.96*(SQRT(1.96^2+4*(M4+O4+Q4)*(1-((M4+O4+Q4)/V4))))))/(2*(V4+1.96^2))),0)," - ",ROUND(SUM(100*((2*(M4+O4+Q4)+1.96^2)+(1.96*(SQRT(1.96^2+4*(M4+O4+Q4)*(1-((M4+O4+Q4)/V4))))))/(2*(V4+1.96^2))),0)),""))</f>
        <v>94 - 98</v>
      </c>
      <c r="H4" s="523">
        <f t="shared" ref="H4:H24" si="13">D4-C4</f>
        <v>23.026315789473685</v>
      </c>
      <c r="I4" s="560">
        <f t="shared" ref="I4:I24" si="14">E4-D4</f>
        <v>49.780701754385966</v>
      </c>
      <c r="J4" s="559">
        <f t="shared" ref="J4:J24" si="15">F4-E4</f>
        <v>3.0701754385964932</v>
      </c>
      <c r="K4" s="559">
        <f t="shared" ref="K4:K24" si="16">F4</f>
        <v>99.561403508771932</v>
      </c>
      <c r="L4" s="559">
        <v>80</v>
      </c>
      <c r="M4" s="405">
        <v>108</v>
      </c>
      <c r="N4" s="405">
        <v>456</v>
      </c>
      <c r="O4" s="405">
        <v>105</v>
      </c>
      <c r="P4" s="405">
        <v>456</v>
      </c>
      <c r="Q4" s="405">
        <v>227</v>
      </c>
      <c r="R4" s="405">
        <v>456</v>
      </c>
      <c r="S4" s="405">
        <v>14</v>
      </c>
      <c r="T4" s="405">
        <v>456</v>
      </c>
      <c r="U4" s="405">
        <v>454</v>
      </c>
      <c r="V4" s="405">
        <v>456</v>
      </c>
    </row>
    <row r="5" spans="1:22">
      <c r="A5" s="45" t="s">
        <v>104</v>
      </c>
      <c r="B5" s="45" t="s">
        <v>513</v>
      </c>
      <c r="C5" s="46">
        <f t="shared" si="8"/>
        <v>10.95890410958904</v>
      </c>
      <c r="D5" s="46">
        <f t="shared" si="9"/>
        <v>60.958904109589042</v>
      </c>
      <c r="E5" s="46">
        <f t="shared" si="10"/>
        <v>94.520547945205479</v>
      </c>
      <c r="F5" s="46">
        <f t="shared" si="11"/>
        <v>99.315068493150676</v>
      </c>
      <c r="G5" s="46" t="str">
        <f t="shared" si="12"/>
        <v>90 - 97</v>
      </c>
      <c r="H5" s="523">
        <f t="shared" si="13"/>
        <v>50</v>
      </c>
      <c r="I5" s="560">
        <f t="shared" si="14"/>
        <v>33.561643835616437</v>
      </c>
      <c r="J5" s="559">
        <f t="shared" si="15"/>
        <v>4.7945205479451971</v>
      </c>
      <c r="K5" s="559">
        <f t="shared" si="16"/>
        <v>99.315068493150676</v>
      </c>
      <c r="L5" s="557">
        <v>80</v>
      </c>
      <c r="M5" s="405">
        <v>16</v>
      </c>
      <c r="N5" s="405">
        <v>146</v>
      </c>
      <c r="O5" s="405">
        <v>73</v>
      </c>
      <c r="P5" s="405">
        <v>146</v>
      </c>
      <c r="Q5" s="405">
        <v>49</v>
      </c>
      <c r="R5" s="405">
        <v>146</v>
      </c>
      <c r="S5" s="405">
        <v>7</v>
      </c>
      <c r="T5" s="405">
        <v>146</v>
      </c>
      <c r="U5" s="405">
        <v>145</v>
      </c>
      <c r="V5" s="405">
        <v>146</v>
      </c>
    </row>
    <row r="6" spans="1:22">
      <c r="A6" s="45" t="s">
        <v>109</v>
      </c>
      <c r="B6" s="45" t="s">
        <v>110</v>
      </c>
      <c r="C6" s="46">
        <f t="shared" si="8"/>
        <v>3.3898305084745761</v>
      </c>
      <c r="D6" s="46">
        <f t="shared" si="9"/>
        <v>59.322033898305079</v>
      </c>
      <c r="E6" s="46">
        <f t="shared" si="10"/>
        <v>90.677966101694921</v>
      </c>
      <c r="F6" s="46">
        <f t="shared" si="11"/>
        <v>99.152542372881356</v>
      </c>
      <c r="G6" s="46" t="str">
        <f t="shared" si="12"/>
        <v>84 - 95</v>
      </c>
      <c r="H6" s="529">
        <f t="shared" si="13"/>
        <v>55.932203389830505</v>
      </c>
      <c r="I6" s="558">
        <f t="shared" si="14"/>
        <v>31.355932203389841</v>
      </c>
      <c r="J6" s="557">
        <f t="shared" si="15"/>
        <v>8.4745762711864359</v>
      </c>
      <c r="K6" s="557">
        <f t="shared" si="16"/>
        <v>99.152542372881356</v>
      </c>
      <c r="L6" s="557">
        <v>80</v>
      </c>
      <c r="M6" s="405">
        <v>4</v>
      </c>
      <c r="N6" s="405">
        <v>118</v>
      </c>
      <c r="O6" s="405">
        <v>66</v>
      </c>
      <c r="P6" s="405">
        <v>118</v>
      </c>
      <c r="Q6" s="405">
        <v>37</v>
      </c>
      <c r="R6" s="405">
        <v>118</v>
      </c>
      <c r="S6" s="405">
        <v>10</v>
      </c>
      <c r="T6" s="405">
        <v>118</v>
      </c>
      <c r="U6" s="405">
        <v>117</v>
      </c>
      <c r="V6" s="405">
        <v>118</v>
      </c>
    </row>
    <row r="7" spans="1:22">
      <c r="A7" s="45" t="s">
        <v>101</v>
      </c>
      <c r="B7" s="45" t="s">
        <v>102</v>
      </c>
      <c r="C7" s="46">
        <f t="shared" si="8"/>
        <v>0.41322314049586778</v>
      </c>
      <c r="D7" s="46">
        <f t="shared" si="9"/>
        <v>25.206611570247933</v>
      </c>
      <c r="E7" s="46">
        <f t="shared" si="10"/>
        <v>83.88429752066115</v>
      </c>
      <c r="F7" s="46">
        <f t="shared" si="11"/>
        <v>97.933884297520663</v>
      </c>
      <c r="G7" s="46" t="str">
        <f t="shared" si="12"/>
        <v>79 - 88</v>
      </c>
      <c r="H7" s="529">
        <f t="shared" si="13"/>
        <v>24.793388429752063</v>
      </c>
      <c r="I7" s="558">
        <f t="shared" si="14"/>
        <v>58.67768595041322</v>
      </c>
      <c r="J7" s="557">
        <f t="shared" si="15"/>
        <v>14.049586776859513</v>
      </c>
      <c r="K7" s="557">
        <f t="shared" si="16"/>
        <v>97.933884297520663</v>
      </c>
      <c r="L7" s="557">
        <v>80</v>
      </c>
      <c r="M7" s="405">
        <v>1</v>
      </c>
      <c r="N7" s="405">
        <v>242</v>
      </c>
      <c r="O7" s="405">
        <v>60</v>
      </c>
      <c r="P7" s="405">
        <v>242</v>
      </c>
      <c r="Q7" s="405">
        <v>142</v>
      </c>
      <c r="R7" s="405">
        <v>242</v>
      </c>
      <c r="S7" s="405">
        <v>34</v>
      </c>
      <c r="T7" s="405">
        <v>242</v>
      </c>
      <c r="U7" s="405">
        <v>237</v>
      </c>
      <c r="V7" s="405">
        <v>242</v>
      </c>
    </row>
    <row r="8" spans="1:22">
      <c r="A8" s="45" t="s">
        <v>28</v>
      </c>
      <c r="B8" s="45" t="s">
        <v>63</v>
      </c>
      <c r="C8" s="46">
        <f t="shared" si="8"/>
        <v>1.2987012987012987</v>
      </c>
      <c r="D8" s="46">
        <f t="shared" si="9"/>
        <v>17.532467532467532</v>
      </c>
      <c r="E8" s="46">
        <f t="shared" si="10"/>
        <v>83.766233766233768</v>
      </c>
      <c r="F8" s="46">
        <f t="shared" si="11"/>
        <v>97.402597402597408</v>
      </c>
      <c r="G8" s="46" t="str">
        <f t="shared" si="12"/>
        <v>77 - 89</v>
      </c>
      <c r="H8" s="529">
        <f t="shared" si="13"/>
        <v>16.233766233766232</v>
      </c>
      <c r="I8" s="558">
        <f t="shared" si="14"/>
        <v>66.233766233766232</v>
      </c>
      <c r="J8" s="557">
        <f t="shared" si="15"/>
        <v>13.63636363636364</v>
      </c>
      <c r="K8" s="557">
        <f t="shared" si="16"/>
        <v>97.402597402597408</v>
      </c>
      <c r="L8" s="557">
        <v>80</v>
      </c>
      <c r="M8" s="405">
        <v>2</v>
      </c>
      <c r="N8" s="405">
        <v>154</v>
      </c>
      <c r="O8" s="405">
        <v>25</v>
      </c>
      <c r="P8" s="405">
        <v>154</v>
      </c>
      <c r="Q8" s="405">
        <v>102</v>
      </c>
      <c r="R8" s="405">
        <v>154</v>
      </c>
      <c r="S8" s="405">
        <v>21</v>
      </c>
      <c r="T8" s="405">
        <v>154</v>
      </c>
      <c r="U8" s="405">
        <v>150</v>
      </c>
      <c r="V8" s="405">
        <v>154</v>
      </c>
    </row>
    <row r="9" spans="1:22">
      <c r="A9" s="45" t="s">
        <v>58</v>
      </c>
      <c r="B9" s="45" t="s">
        <v>57</v>
      </c>
      <c r="C9" s="46">
        <f t="shared" si="8"/>
        <v>2.7027027027027026</v>
      </c>
      <c r="D9" s="46">
        <f t="shared" si="9"/>
        <v>31.531531531531531</v>
      </c>
      <c r="E9" s="46">
        <f t="shared" si="10"/>
        <v>90.990990990990994</v>
      </c>
      <c r="F9" s="46">
        <f t="shared" si="11"/>
        <v>97.297297297297305</v>
      </c>
      <c r="G9" s="46" t="str">
        <f t="shared" si="12"/>
        <v>84 - 95</v>
      </c>
      <c r="H9" s="529">
        <f t="shared" si="13"/>
        <v>28.828828828828829</v>
      </c>
      <c r="I9" s="558">
        <f t="shared" si="14"/>
        <v>59.459459459459467</v>
      </c>
      <c r="J9" s="557">
        <f t="shared" si="15"/>
        <v>6.3063063063063112</v>
      </c>
      <c r="K9" s="557">
        <f t="shared" si="16"/>
        <v>97.297297297297305</v>
      </c>
      <c r="L9" s="557">
        <v>80</v>
      </c>
      <c r="M9" s="405">
        <v>3</v>
      </c>
      <c r="N9" s="405">
        <v>111</v>
      </c>
      <c r="O9" s="405">
        <v>32</v>
      </c>
      <c r="P9" s="405">
        <v>111</v>
      </c>
      <c r="Q9" s="405">
        <v>66</v>
      </c>
      <c r="R9" s="405">
        <v>111</v>
      </c>
      <c r="S9" s="405">
        <v>7</v>
      </c>
      <c r="T9" s="405">
        <v>111</v>
      </c>
      <c r="U9" s="405">
        <v>108</v>
      </c>
      <c r="V9" s="405">
        <v>111</v>
      </c>
    </row>
    <row r="10" spans="1:22">
      <c r="A10" s="45" t="s">
        <v>65</v>
      </c>
      <c r="B10" s="45" t="s">
        <v>66</v>
      </c>
      <c r="C10" s="46">
        <f t="shared" si="8"/>
        <v>3.4883720930232558</v>
      </c>
      <c r="D10" s="46">
        <f t="shared" si="9"/>
        <v>37.209302325581397</v>
      </c>
      <c r="E10" s="46">
        <f t="shared" si="10"/>
        <v>84.302325581395351</v>
      </c>
      <c r="F10" s="46">
        <f t="shared" si="11"/>
        <v>96.511627906976756</v>
      </c>
      <c r="G10" s="46" t="str">
        <f t="shared" si="12"/>
        <v>78 - 89</v>
      </c>
      <c r="H10" s="529">
        <f t="shared" si="13"/>
        <v>33.720930232558139</v>
      </c>
      <c r="I10" s="558">
        <f t="shared" si="14"/>
        <v>47.093023255813954</v>
      </c>
      <c r="J10" s="557">
        <f t="shared" si="15"/>
        <v>12.209302325581405</v>
      </c>
      <c r="K10" s="557">
        <f t="shared" si="16"/>
        <v>96.511627906976756</v>
      </c>
      <c r="L10" s="557">
        <v>80</v>
      </c>
      <c r="M10" s="405">
        <v>6</v>
      </c>
      <c r="N10" s="405">
        <v>172</v>
      </c>
      <c r="O10" s="405">
        <v>58</v>
      </c>
      <c r="P10" s="405">
        <v>172</v>
      </c>
      <c r="Q10" s="405">
        <v>81</v>
      </c>
      <c r="R10" s="405">
        <v>172</v>
      </c>
      <c r="S10" s="405">
        <v>21</v>
      </c>
      <c r="T10" s="405">
        <v>172</v>
      </c>
      <c r="U10" s="405">
        <v>166</v>
      </c>
      <c r="V10" s="405">
        <v>172</v>
      </c>
    </row>
    <row r="11" spans="1:22">
      <c r="A11" s="45" t="s">
        <v>60</v>
      </c>
      <c r="B11" s="45" t="s">
        <v>61</v>
      </c>
      <c r="C11" s="46">
        <f t="shared" si="8"/>
        <v>7.8703703703703702</v>
      </c>
      <c r="D11" s="46">
        <f t="shared" si="9"/>
        <v>51.851851851851848</v>
      </c>
      <c r="E11" s="46">
        <f t="shared" si="10"/>
        <v>89.81481481481481</v>
      </c>
      <c r="F11" s="46">
        <f t="shared" si="11"/>
        <v>96.296296296296291</v>
      </c>
      <c r="G11" s="46" t="str">
        <f t="shared" si="12"/>
        <v>85 - 93</v>
      </c>
      <c r="H11" s="529">
        <f t="shared" si="13"/>
        <v>43.981481481481481</v>
      </c>
      <c r="I11" s="558">
        <f t="shared" si="14"/>
        <v>37.962962962962962</v>
      </c>
      <c r="J11" s="557">
        <f t="shared" si="15"/>
        <v>6.481481481481481</v>
      </c>
      <c r="K11" s="557">
        <f t="shared" si="16"/>
        <v>96.296296296296291</v>
      </c>
      <c r="L11" s="557">
        <v>80</v>
      </c>
      <c r="M11" s="405">
        <v>17</v>
      </c>
      <c r="N11" s="405">
        <v>216</v>
      </c>
      <c r="O11" s="405">
        <v>95</v>
      </c>
      <c r="P11" s="405">
        <v>216</v>
      </c>
      <c r="Q11" s="405">
        <v>82</v>
      </c>
      <c r="R11" s="405">
        <v>216</v>
      </c>
      <c r="S11" s="405">
        <v>14</v>
      </c>
      <c r="T11" s="405">
        <v>216</v>
      </c>
      <c r="U11" s="405">
        <v>208</v>
      </c>
      <c r="V11" s="405">
        <v>216</v>
      </c>
    </row>
    <row r="12" spans="1:22">
      <c r="A12" s="45" t="s">
        <v>107</v>
      </c>
      <c r="B12" s="45" t="s">
        <v>106</v>
      </c>
      <c r="C12" s="46">
        <f t="shared" si="8"/>
        <v>1.1111111111111112</v>
      </c>
      <c r="D12" s="46">
        <f t="shared" si="9"/>
        <v>31.111111111111111</v>
      </c>
      <c r="E12" s="46">
        <f t="shared" si="10"/>
        <v>85.555555555555557</v>
      </c>
      <c r="F12" s="46">
        <f t="shared" si="11"/>
        <v>96.111111111111114</v>
      </c>
      <c r="G12" s="46" t="str">
        <f t="shared" si="12"/>
        <v>80 - 90</v>
      </c>
      <c r="H12" s="529">
        <f t="shared" si="13"/>
        <v>30</v>
      </c>
      <c r="I12" s="558">
        <f t="shared" si="14"/>
        <v>54.444444444444443</v>
      </c>
      <c r="J12" s="557">
        <f t="shared" si="15"/>
        <v>10.555555555555557</v>
      </c>
      <c r="K12" s="557">
        <f t="shared" si="16"/>
        <v>96.111111111111114</v>
      </c>
      <c r="L12" s="557">
        <v>80</v>
      </c>
      <c r="M12" s="405">
        <v>2</v>
      </c>
      <c r="N12" s="405">
        <v>180</v>
      </c>
      <c r="O12" s="405">
        <v>54</v>
      </c>
      <c r="P12" s="405">
        <v>180</v>
      </c>
      <c r="Q12" s="405">
        <v>98</v>
      </c>
      <c r="R12" s="405">
        <v>180</v>
      </c>
      <c r="S12" s="405">
        <v>19</v>
      </c>
      <c r="T12" s="405">
        <v>180</v>
      </c>
      <c r="U12" s="405">
        <v>173</v>
      </c>
      <c r="V12" s="405">
        <v>180</v>
      </c>
    </row>
    <row r="13" spans="1:22">
      <c r="A13" s="45" t="s">
        <v>174</v>
      </c>
      <c r="B13" s="45" t="s">
        <v>71</v>
      </c>
      <c r="C13" s="46">
        <f t="shared" si="8"/>
        <v>40.416666666666664</v>
      </c>
      <c r="D13" s="46">
        <f t="shared" si="9"/>
        <v>58.333333333333336</v>
      </c>
      <c r="E13" s="46">
        <f t="shared" si="10"/>
        <v>89.583333333333343</v>
      </c>
      <c r="F13" s="46">
        <f t="shared" si="11"/>
        <v>95</v>
      </c>
      <c r="G13" s="46" t="str">
        <f t="shared" si="12"/>
        <v>85 - 93</v>
      </c>
      <c r="H13" s="529">
        <f t="shared" si="13"/>
        <v>17.916666666666671</v>
      </c>
      <c r="I13" s="558">
        <f t="shared" si="14"/>
        <v>31.250000000000007</v>
      </c>
      <c r="J13" s="557">
        <f t="shared" si="15"/>
        <v>5.4166666666666572</v>
      </c>
      <c r="K13" s="557">
        <f t="shared" si="16"/>
        <v>95</v>
      </c>
      <c r="L13" s="557">
        <v>80</v>
      </c>
      <c r="M13" s="405">
        <v>97</v>
      </c>
      <c r="N13" s="405">
        <v>240</v>
      </c>
      <c r="O13" s="405">
        <v>43</v>
      </c>
      <c r="P13" s="405">
        <v>240</v>
      </c>
      <c r="Q13" s="405">
        <v>75</v>
      </c>
      <c r="R13" s="405">
        <v>240</v>
      </c>
      <c r="S13" s="405">
        <v>13</v>
      </c>
      <c r="T13" s="405">
        <v>240</v>
      </c>
      <c r="U13" s="405">
        <v>228</v>
      </c>
      <c r="V13" s="405">
        <v>240</v>
      </c>
    </row>
    <row r="14" spans="1:22">
      <c r="A14" s="45" t="s">
        <v>172</v>
      </c>
      <c r="B14" s="45" t="s">
        <v>173</v>
      </c>
      <c r="C14" s="46">
        <f t="shared" si="8"/>
        <v>2.2727272727272729</v>
      </c>
      <c r="D14" s="46">
        <f t="shared" si="9"/>
        <v>29.545454545454547</v>
      </c>
      <c r="E14" s="46">
        <f t="shared" si="10"/>
        <v>71.022727272727266</v>
      </c>
      <c r="F14" s="46">
        <f t="shared" si="11"/>
        <v>94.88636363636364</v>
      </c>
      <c r="G14" s="46" t="str">
        <f t="shared" si="12"/>
        <v>64 - 77</v>
      </c>
      <c r="H14" s="529">
        <f t="shared" si="13"/>
        <v>27.272727272727273</v>
      </c>
      <c r="I14" s="558">
        <f t="shared" si="14"/>
        <v>41.47727272727272</v>
      </c>
      <c r="J14" s="557">
        <f t="shared" si="15"/>
        <v>23.863636363636374</v>
      </c>
      <c r="K14" s="557">
        <f t="shared" si="16"/>
        <v>94.88636363636364</v>
      </c>
      <c r="L14" s="557">
        <v>80</v>
      </c>
      <c r="M14" s="405">
        <v>4</v>
      </c>
      <c r="N14" s="405">
        <v>176</v>
      </c>
      <c r="O14" s="405">
        <v>48</v>
      </c>
      <c r="P14" s="405">
        <v>176</v>
      </c>
      <c r="Q14" s="405">
        <v>73</v>
      </c>
      <c r="R14" s="405">
        <v>176</v>
      </c>
      <c r="S14" s="405">
        <v>42</v>
      </c>
      <c r="T14" s="405">
        <v>176</v>
      </c>
      <c r="U14" s="405">
        <v>167</v>
      </c>
      <c r="V14" s="405">
        <v>176</v>
      </c>
    </row>
    <row r="15" spans="1:22" s="773" customFormat="1">
      <c r="A15" s="45" t="s">
        <v>127</v>
      </c>
      <c r="B15" s="45" t="s">
        <v>128</v>
      </c>
      <c r="C15" s="46">
        <f t="shared" si="8"/>
        <v>2.1582733812949639</v>
      </c>
      <c r="D15" s="46">
        <f t="shared" si="9"/>
        <v>37.410071942446045</v>
      </c>
      <c r="E15" s="46">
        <f t="shared" si="10"/>
        <v>85.611510791366911</v>
      </c>
      <c r="F15" s="46">
        <f t="shared" si="11"/>
        <v>94.24460431654677</v>
      </c>
      <c r="G15" s="46" t="str">
        <f t="shared" si="12"/>
        <v>79 - 90</v>
      </c>
      <c r="H15" s="529">
        <f t="shared" si="13"/>
        <v>35.251798561151084</v>
      </c>
      <c r="I15" s="558">
        <f t="shared" si="14"/>
        <v>48.201438848920866</v>
      </c>
      <c r="J15" s="557">
        <f t="shared" si="15"/>
        <v>8.6330935251798593</v>
      </c>
      <c r="K15" s="557">
        <f t="shared" si="16"/>
        <v>94.24460431654677</v>
      </c>
      <c r="L15" s="557">
        <v>80</v>
      </c>
      <c r="M15" s="405">
        <v>3</v>
      </c>
      <c r="N15" s="405">
        <v>139</v>
      </c>
      <c r="O15" s="405">
        <v>49</v>
      </c>
      <c r="P15" s="405">
        <v>139</v>
      </c>
      <c r="Q15" s="405">
        <v>67</v>
      </c>
      <c r="R15" s="405">
        <v>139</v>
      </c>
      <c r="S15" s="405">
        <v>12</v>
      </c>
      <c r="T15" s="405">
        <v>139</v>
      </c>
      <c r="U15" s="405">
        <v>131</v>
      </c>
      <c r="V15" s="405">
        <v>139</v>
      </c>
    </row>
    <row r="16" spans="1:22">
      <c r="A16" s="45" t="s">
        <v>175</v>
      </c>
      <c r="B16" s="45" t="s">
        <v>75</v>
      </c>
      <c r="C16" s="46">
        <f t="shared" si="8"/>
        <v>20.490367775831874</v>
      </c>
      <c r="D16" s="46">
        <f t="shared" si="9"/>
        <v>39.579684763572679</v>
      </c>
      <c r="E16" s="46">
        <f t="shared" si="10"/>
        <v>72.504378283712782</v>
      </c>
      <c r="F16" s="46">
        <f t="shared" si="11"/>
        <v>92.644483362521896</v>
      </c>
      <c r="G16" s="46" t="str">
        <f t="shared" si="12"/>
        <v>69 - 76</v>
      </c>
      <c r="H16" s="529">
        <f t="shared" si="13"/>
        <v>19.089316987740805</v>
      </c>
      <c r="I16" s="558">
        <f t="shared" si="14"/>
        <v>32.924693520140103</v>
      </c>
      <c r="J16" s="557">
        <f t="shared" si="15"/>
        <v>20.140105078809114</v>
      </c>
      <c r="K16" s="557">
        <f t="shared" si="16"/>
        <v>92.644483362521896</v>
      </c>
      <c r="L16" s="557">
        <v>80</v>
      </c>
      <c r="M16" s="405">
        <v>117</v>
      </c>
      <c r="N16" s="405">
        <v>571</v>
      </c>
      <c r="O16" s="405">
        <v>109</v>
      </c>
      <c r="P16" s="405">
        <v>571</v>
      </c>
      <c r="Q16" s="405">
        <v>188</v>
      </c>
      <c r="R16" s="405">
        <v>571</v>
      </c>
      <c r="S16" s="405">
        <v>115</v>
      </c>
      <c r="T16" s="405">
        <v>571</v>
      </c>
      <c r="U16" s="405">
        <v>529</v>
      </c>
      <c r="V16" s="405">
        <v>571</v>
      </c>
    </row>
    <row r="17" spans="1:22">
      <c r="A17" s="45" t="s">
        <v>118</v>
      </c>
      <c r="B17" s="45" t="s">
        <v>119</v>
      </c>
      <c r="C17" s="46">
        <f t="shared" si="8"/>
        <v>3.7037037037037033</v>
      </c>
      <c r="D17" s="46">
        <f t="shared" si="9"/>
        <v>22.222222222222221</v>
      </c>
      <c r="E17" s="46">
        <f t="shared" si="10"/>
        <v>88.888888888888886</v>
      </c>
      <c r="F17" s="46">
        <f t="shared" si="11"/>
        <v>92.592592592592595</v>
      </c>
      <c r="G17" s="46" t="str">
        <f t="shared" si="12"/>
        <v>72 - 96</v>
      </c>
      <c r="H17" s="529">
        <f t="shared" si="13"/>
        <v>18.518518518518519</v>
      </c>
      <c r="I17" s="558">
        <f t="shared" si="14"/>
        <v>66.666666666666657</v>
      </c>
      <c r="J17" s="557">
        <f t="shared" si="15"/>
        <v>3.7037037037037095</v>
      </c>
      <c r="K17" s="557">
        <f t="shared" si="16"/>
        <v>92.592592592592595</v>
      </c>
      <c r="L17" s="557">
        <v>80</v>
      </c>
      <c r="M17" s="405">
        <v>1</v>
      </c>
      <c r="N17" s="405">
        <v>27</v>
      </c>
      <c r="O17" s="405">
        <v>5</v>
      </c>
      <c r="P17" s="405">
        <v>27</v>
      </c>
      <c r="Q17" s="405">
        <v>18</v>
      </c>
      <c r="R17" s="405">
        <v>27</v>
      </c>
      <c r="S17" s="405">
        <v>1</v>
      </c>
      <c r="T17" s="405">
        <v>27</v>
      </c>
      <c r="U17" s="405">
        <v>25</v>
      </c>
      <c r="V17" s="405">
        <v>27</v>
      </c>
    </row>
    <row r="18" spans="1:22" s="760" customFormat="1">
      <c r="A18" s="45" t="s">
        <v>95</v>
      </c>
      <c r="B18" s="45" t="s">
        <v>96</v>
      </c>
      <c r="C18" s="46">
        <f t="shared" si="8"/>
        <v>28.260869565217391</v>
      </c>
      <c r="D18" s="46">
        <f t="shared" si="9"/>
        <v>36.95652173913043</v>
      </c>
      <c r="E18" s="46">
        <f t="shared" si="10"/>
        <v>86.956521739130437</v>
      </c>
      <c r="F18" s="46">
        <f t="shared" si="11"/>
        <v>91.304347826086953</v>
      </c>
      <c r="G18" s="46" t="str">
        <f t="shared" si="12"/>
        <v>74 - 94</v>
      </c>
      <c r="H18" s="529">
        <f t="shared" si="13"/>
        <v>8.6956521739130395</v>
      </c>
      <c r="I18" s="558">
        <f t="shared" si="14"/>
        <v>50.000000000000007</v>
      </c>
      <c r="J18" s="557">
        <f t="shared" si="15"/>
        <v>4.3478260869565162</v>
      </c>
      <c r="K18" s="557">
        <f t="shared" si="16"/>
        <v>91.304347826086953</v>
      </c>
      <c r="L18" s="557">
        <v>80</v>
      </c>
      <c r="M18" s="405">
        <v>13</v>
      </c>
      <c r="N18" s="405">
        <v>46</v>
      </c>
      <c r="O18" s="405">
        <v>4</v>
      </c>
      <c r="P18" s="405">
        <v>46</v>
      </c>
      <c r="Q18" s="405">
        <v>23</v>
      </c>
      <c r="R18" s="405">
        <v>46</v>
      </c>
      <c r="S18" s="405">
        <v>2</v>
      </c>
      <c r="T18" s="405">
        <v>46</v>
      </c>
      <c r="U18" s="405">
        <v>42</v>
      </c>
      <c r="V18" s="405">
        <v>46</v>
      </c>
    </row>
    <row r="19" spans="1:22">
      <c r="A19" s="45" t="s">
        <v>112</v>
      </c>
      <c r="B19" s="45" t="s">
        <v>113</v>
      </c>
      <c r="C19" s="46">
        <f t="shared" si="8"/>
        <v>4.3478260869565215</v>
      </c>
      <c r="D19" s="46">
        <f t="shared" si="9"/>
        <v>36.95652173913043</v>
      </c>
      <c r="E19" s="46">
        <f t="shared" si="10"/>
        <v>78.260869565217391</v>
      </c>
      <c r="F19" s="46">
        <f t="shared" si="11"/>
        <v>91.304347826086953</v>
      </c>
      <c r="G19" s="46" t="str">
        <f t="shared" si="12"/>
        <v>69 - 85</v>
      </c>
      <c r="H19" s="529">
        <f t="shared" si="13"/>
        <v>32.608695652173907</v>
      </c>
      <c r="I19" s="558">
        <f t="shared" si="14"/>
        <v>41.304347826086961</v>
      </c>
      <c r="J19" s="557">
        <f t="shared" si="15"/>
        <v>13.043478260869563</v>
      </c>
      <c r="K19" s="557">
        <f t="shared" si="16"/>
        <v>91.304347826086953</v>
      </c>
      <c r="L19" s="557">
        <v>80</v>
      </c>
      <c r="M19" s="405">
        <v>4</v>
      </c>
      <c r="N19" s="405">
        <v>92</v>
      </c>
      <c r="O19" s="405">
        <v>30</v>
      </c>
      <c r="P19" s="405">
        <v>92</v>
      </c>
      <c r="Q19" s="405">
        <v>38</v>
      </c>
      <c r="R19" s="405">
        <v>92</v>
      </c>
      <c r="S19" s="405">
        <v>12</v>
      </c>
      <c r="T19" s="405">
        <v>92</v>
      </c>
      <c r="U19" s="405">
        <v>84</v>
      </c>
      <c r="V19" s="405">
        <v>92</v>
      </c>
    </row>
    <row r="20" spans="1:22">
      <c r="A20" s="45" t="s">
        <v>124</v>
      </c>
      <c r="B20" s="45" t="s">
        <v>125</v>
      </c>
      <c r="C20" s="46">
        <f t="shared" si="8"/>
        <v>2.6315789473684208</v>
      </c>
      <c r="D20" s="46">
        <f t="shared" si="9"/>
        <v>23.157894736842106</v>
      </c>
      <c r="E20" s="46">
        <f t="shared" si="10"/>
        <v>67.368421052631575</v>
      </c>
      <c r="F20" s="46">
        <f t="shared" si="11"/>
        <v>91.05263157894737</v>
      </c>
      <c r="G20" s="46" t="str">
        <f t="shared" si="12"/>
        <v>60 - 74</v>
      </c>
      <c r="H20" s="529">
        <f t="shared" si="13"/>
        <v>20.526315789473685</v>
      </c>
      <c r="I20" s="558">
        <f t="shared" si="14"/>
        <v>44.210526315789465</v>
      </c>
      <c r="J20" s="557">
        <f t="shared" si="15"/>
        <v>23.684210526315795</v>
      </c>
      <c r="K20" s="557">
        <f t="shared" si="16"/>
        <v>91.05263157894737</v>
      </c>
      <c r="L20" s="557">
        <v>80</v>
      </c>
      <c r="M20" s="405">
        <v>5</v>
      </c>
      <c r="N20" s="405">
        <v>190</v>
      </c>
      <c r="O20" s="405">
        <v>39</v>
      </c>
      <c r="P20" s="405">
        <v>190</v>
      </c>
      <c r="Q20" s="405">
        <v>84</v>
      </c>
      <c r="R20" s="405">
        <v>190</v>
      </c>
      <c r="S20" s="405">
        <v>45</v>
      </c>
      <c r="T20" s="405">
        <v>190</v>
      </c>
      <c r="U20" s="405">
        <v>173</v>
      </c>
      <c r="V20" s="405">
        <v>190</v>
      </c>
    </row>
    <row r="21" spans="1:22">
      <c r="A21" s="45" t="s">
        <v>98</v>
      </c>
      <c r="B21" s="45" t="s">
        <v>99</v>
      </c>
      <c r="C21" s="46">
        <f t="shared" si="8"/>
        <v>3.9145907473309607</v>
      </c>
      <c r="D21" s="46">
        <f t="shared" si="9"/>
        <v>19.217081850533805</v>
      </c>
      <c r="E21" s="46">
        <f t="shared" si="10"/>
        <v>75.80071174377224</v>
      </c>
      <c r="F21" s="46">
        <f t="shared" si="11"/>
        <v>90.747330960854086</v>
      </c>
      <c r="G21" s="46" t="str">
        <f t="shared" si="12"/>
        <v>70 - 80</v>
      </c>
      <c r="H21" s="529">
        <f t="shared" si="13"/>
        <v>15.302491103202845</v>
      </c>
      <c r="I21" s="558">
        <f t="shared" si="14"/>
        <v>56.583629893238438</v>
      </c>
      <c r="J21" s="557">
        <f t="shared" si="15"/>
        <v>14.946619217081846</v>
      </c>
      <c r="K21" s="557">
        <f t="shared" si="16"/>
        <v>90.747330960854086</v>
      </c>
      <c r="L21" s="557">
        <v>80</v>
      </c>
      <c r="M21" s="405">
        <v>11</v>
      </c>
      <c r="N21" s="405">
        <v>281</v>
      </c>
      <c r="O21" s="405">
        <v>43</v>
      </c>
      <c r="P21" s="405">
        <v>281</v>
      </c>
      <c r="Q21" s="405">
        <v>159</v>
      </c>
      <c r="R21" s="405">
        <v>281</v>
      </c>
      <c r="S21" s="405">
        <v>42</v>
      </c>
      <c r="T21" s="405">
        <v>281</v>
      </c>
      <c r="U21" s="405">
        <v>255</v>
      </c>
      <c r="V21" s="405">
        <v>281</v>
      </c>
    </row>
    <row r="22" spans="1:22">
      <c r="A22" s="45" t="s">
        <v>183</v>
      </c>
      <c r="B22" s="45" t="s">
        <v>73</v>
      </c>
      <c r="C22" s="46">
        <f t="shared" si="8"/>
        <v>14.634146341463413</v>
      </c>
      <c r="D22" s="46">
        <f t="shared" si="9"/>
        <v>38.211382113821138</v>
      </c>
      <c r="E22" s="46">
        <f t="shared" si="10"/>
        <v>67.073170731707322</v>
      </c>
      <c r="F22" s="46">
        <f t="shared" si="11"/>
        <v>87.398373983739845</v>
      </c>
      <c r="G22" s="46" t="str">
        <f t="shared" si="12"/>
        <v>61 - 73</v>
      </c>
      <c r="H22" s="529">
        <f t="shared" si="13"/>
        <v>23.577235772357724</v>
      </c>
      <c r="I22" s="558">
        <f t="shared" si="14"/>
        <v>28.861788617886184</v>
      </c>
      <c r="J22" s="557">
        <f t="shared" si="15"/>
        <v>20.325203252032523</v>
      </c>
      <c r="K22" s="557">
        <f t="shared" si="16"/>
        <v>87.398373983739845</v>
      </c>
      <c r="L22" s="557">
        <v>80</v>
      </c>
      <c r="M22" s="405">
        <v>36</v>
      </c>
      <c r="N22" s="405">
        <v>246</v>
      </c>
      <c r="O22" s="405">
        <v>58</v>
      </c>
      <c r="P22" s="405">
        <v>246</v>
      </c>
      <c r="Q22" s="405">
        <v>71</v>
      </c>
      <c r="R22" s="405">
        <v>246</v>
      </c>
      <c r="S22" s="405">
        <v>50</v>
      </c>
      <c r="T22" s="405">
        <v>246</v>
      </c>
      <c r="U22" s="405">
        <v>215</v>
      </c>
      <c r="V22" s="405">
        <v>246</v>
      </c>
    </row>
    <row r="23" spans="1:22">
      <c r="A23" s="45" t="s">
        <v>37</v>
      </c>
      <c r="B23" s="45" t="s">
        <v>133</v>
      </c>
      <c r="C23" s="46">
        <f t="shared" si="8"/>
        <v>0</v>
      </c>
      <c r="D23" s="46">
        <f t="shared" si="9"/>
        <v>0</v>
      </c>
      <c r="E23" s="46">
        <f t="shared" si="10"/>
        <v>57.142857142857139</v>
      </c>
      <c r="F23" s="46">
        <f t="shared" si="11"/>
        <v>85.714285714285708</v>
      </c>
      <c r="G23" s="46" t="str">
        <f t="shared" si="12"/>
        <v>25 - 84</v>
      </c>
      <c r="H23" s="529">
        <f t="shared" si="13"/>
        <v>0</v>
      </c>
      <c r="I23" s="558">
        <f t="shared" si="14"/>
        <v>57.142857142857139</v>
      </c>
      <c r="J23" s="557">
        <f t="shared" si="15"/>
        <v>28.571428571428569</v>
      </c>
      <c r="K23" s="557">
        <f t="shared" si="16"/>
        <v>85.714285714285708</v>
      </c>
      <c r="L23" s="557">
        <v>80</v>
      </c>
      <c r="M23" s="405">
        <v>0</v>
      </c>
      <c r="N23" s="405">
        <v>7</v>
      </c>
      <c r="O23" s="405">
        <v>0</v>
      </c>
      <c r="P23" s="405">
        <v>7</v>
      </c>
      <c r="Q23" s="405">
        <v>4</v>
      </c>
      <c r="R23" s="405">
        <v>7</v>
      </c>
      <c r="S23" s="405">
        <v>2</v>
      </c>
      <c r="T23" s="405">
        <v>7</v>
      </c>
      <c r="U23" s="405">
        <v>6</v>
      </c>
      <c r="V23" s="405">
        <v>7</v>
      </c>
    </row>
    <row r="24" spans="1:22">
      <c r="A24" s="45" t="s">
        <v>77</v>
      </c>
      <c r="B24" s="45" t="s">
        <v>78</v>
      </c>
      <c r="C24" s="46">
        <f t="shared" si="8"/>
        <v>47.058823529411761</v>
      </c>
      <c r="D24" s="46">
        <f t="shared" si="9"/>
        <v>56.862745098039213</v>
      </c>
      <c r="E24" s="46">
        <f t="shared" si="10"/>
        <v>76.470588235294116</v>
      </c>
      <c r="F24" s="46">
        <f t="shared" si="11"/>
        <v>84.313725490196077</v>
      </c>
      <c r="G24" s="46" t="str">
        <f t="shared" si="12"/>
        <v>63 - 86</v>
      </c>
      <c r="H24" s="526">
        <f t="shared" si="13"/>
        <v>9.8039215686274517</v>
      </c>
      <c r="I24" s="556">
        <f t="shared" si="14"/>
        <v>19.607843137254903</v>
      </c>
      <c r="J24" s="555">
        <f t="shared" si="15"/>
        <v>7.8431372549019613</v>
      </c>
      <c r="K24" s="555">
        <f t="shared" si="16"/>
        <v>84.313725490196077</v>
      </c>
      <c r="L24" s="554">
        <v>80</v>
      </c>
      <c r="M24" s="405">
        <v>24</v>
      </c>
      <c r="N24" s="405">
        <v>51</v>
      </c>
      <c r="O24" s="405">
        <v>5</v>
      </c>
      <c r="P24" s="405">
        <v>51</v>
      </c>
      <c r="Q24" s="405">
        <v>10</v>
      </c>
      <c r="R24" s="405">
        <v>51</v>
      </c>
      <c r="S24" s="405">
        <v>4</v>
      </c>
      <c r="T24" s="405">
        <v>51</v>
      </c>
      <c r="U24" s="405">
        <v>43</v>
      </c>
      <c r="V24" s="405">
        <v>51</v>
      </c>
    </row>
    <row r="25" spans="1:22">
      <c r="A25" s="51"/>
      <c r="C25" s="34"/>
      <c r="D25" s="34"/>
      <c r="E25" s="34"/>
      <c r="F25" s="34"/>
      <c r="G25" s="34"/>
      <c r="H25" s="34"/>
    </row>
    <row r="26" spans="1:22">
      <c r="A26" s="51"/>
      <c r="C26" s="34"/>
      <c r="D26" s="34"/>
      <c r="E26" s="34"/>
      <c r="F26" s="34"/>
      <c r="G26" s="34"/>
      <c r="H26" s="34"/>
    </row>
    <row r="27" spans="1:22" ht="38.25" customHeight="1">
      <c r="A27" s="1083" t="s">
        <v>135</v>
      </c>
      <c r="B27" s="1084"/>
      <c r="C27" s="983" t="str">
        <f>E2</f>
        <v>Within 4 Days</v>
      </c>
      <c r="D27" s="983"/>
      <c r="E27" s="983"/>
      <c r="F27" s="983"/>
      <c r="G27" s="983"/>
      <c r="H27" s="983"/>
      <c r="I27" s="983"/>
      <c r="J27" s="983"/>
      <c r="K27" s="983"/>
      <c r="L27" s="1085"/>
      <c r="M27" s="1086"/>
      <c r="N27" s="1087"/>
    </row>
    <row r="28" spans="1:22" ht="30" customHeight="1">
      <c r="A28" s="89"/>
      <c r="B28" s="53" t="s">
        <v>137</v>
      </c>
      <c r="C28" s="90" t="s">
        <v>42</v>
      </c>
      <c r="D28" s="90" t="s">
        <v>179</v>
      </c>
      <c r="E28" s="1088" t="str">
        <f>U2</f>
        <v>Numerator</v>
      </c>
      <c r="F28" s="1088"/>
      <c r="G28" s="1089" t="str">
        <f>V2</f>
        <v>Denominator</v>
      </c>
      <c r="H28" s="1089"/>
      <c r="I28" s="1089"/>
      <c r="J28" s="1089"/>
      <c r="K28" s="1089"/>
      <c r="L28" s="1090"/>
      <c r="M28" s="670"/>
      <c r="N28" s="671"/>
      <c r="R28" s="1"/>
    </row>
    <row r="29" spans="1:22" ht="15" customHeight="1">
      <c r="A29" s="1048"/>
      <c r="B29" s="60" t="s">
        <v>33</v>
      </c>
      <c r="C29" s="46">
        <f t="shared" ref="C29:C42" si="17">IF(ISERROR(E29/G29*100),"-",E29/G29*100)</f>
        <v>90.214067278287459</v>
      </c>
      <c r="D29" s="91" t="str">
        <f t="shared" ref="D29:D42" si="18">IF(ISERROR(IF(AND(G29&gt;0,ROUND(SUM(100*((2*E29+1.96^2)-(1.96*(SQRT(1.96^2+4*E29*(1-(E29/G29))))))/(2*(G29+1.96^2))),0)&lt;0),CONCATENATE(SUM(1*0)," - ",ROUND(SUM(100*((2*E29+1.96^2)+(1.96*(SQRT(1.96^2+4*E29*(1-(E29/G29))))))/(2*(G29+1.96^2))),0)),IF(AND(G29&gt;0,ROUND(SUM(100*((2*E29+1.96^2)-(1.96*(SQRT(1.96^2+4*E29*(1-(E29/G29))))))/(2*(G29+1.96^2))),0)&gt;=0),CONCATENATE(ROUND(SUM(100*((2*E29+1.96^2)-(1.96*(SQRT(1.96^2+4*E29*(1-(E29/G29))))))/(2*(G29+1.96^2))),0)," - ",ROUND(SUM(100*((2*E29+1.96^2)+(1.96*(SQRT(1.96^2+4*E29*(1-(E29/G29))))))/(2*(G29+1.96^2))),0)),""))),"-",IF(AND(G29&gt;0,ROUND(SUM(100*((2*E29+1.96^2)-(1.96*(SQRT(1.96^2+4*E29*(1-(E29/G29))))))/(2*(G29+1.96^2))),0)&lt;0),CONCATENATE(SUM(1*0)," - ",ROUND(SUM(100*((2*E29+1.96^2)+(1.96*(SQRT(1.96^2+4*E29*(1-(E29/G29))))))/(2*(G29+1.96^2))),0)),IF(AND(G29&gt;0,ROUND(SUM(100*((2*E29+1.96^2)-(1.96*(SQRT(1.96^2+4*E29*(1-(E29/G29))))))/(2*(G29+1.96^2))),0)&gt;=0),CONCATENATE(ROUND(SUM(100*((2*E29+1.96^2)-(1.96*(SQRT(1.96^2+4*E29*(1-(E29/G29))))))/(2*(G29+1.96^2))),0)," - ",ROUND(SUM(100*((2*E29+1.96^2)+(1.96*(SQRT(1.96^2+4*E29*(1-(E29/G29))))))/(2*(G29+1.96^2))),0)),"")))</f>
        <v>87 - 93</v>
      </c>
      <c r="E29" s="1092">
        <v>295</v>
      </c>
      <c r="F29" s="1093"/>
      <c r="G29" s="1094">
        <v>327</v>
      </c>
      <c r="H29" s="1095"/>
      <c r="I29" s="1095"/>
      <c r="J29" s="1095"/>
      <c r="K29" s="1095"/>
      <c r="L29" s="1096"/>
      <c r="M29" s="366">
        <f t="shared" ref="M29:M38" si="19">SUM(1*MID(D29,1,FIND(" - ",D29)-1))</f>
        <v>87</v>
      </c>
      <c r="N29" s="365">
        <f t="shared" ref="N29:N38" si="20">SUM(1*MID(D29,FIND(" - ",D29)+2,LEN(D29)))</f>
        <v>93</v>
      </c>
      <c r="R29" s="1"/>
    </row>
    <row r="30" spans="1:22" ht="15" customHeight="1">
      <c r="A30" s="1049"/>
      <c r="B30" s="60" t="s">
        <v>28</v>
      </c>
      <c r="C30" s="46">
        <f t="shared" si="17"/>
        <v>83.766233766233768</v>
      </c>
      <c r="D30" s="91" t="str">
        <f t="shared" si="18"/>
        <v>77 - 89</v>
      </c>
      <c r="E30" s="1092">
        <v>129</v>
      </c>
      <c r="F30" s="1093"/>
      <c r="G30" s="1092">
        <v>154</v>
      </c>
      <c r="H30" s="1097"/>
      <c r="I30" s="1097"/>
      <c r="J30" s="1097"/>
      <c r="K30" s="1097"/>
      <c r="L30" s="1093"/>
      <c r="M30" s="361">
        <f t="shared" si="19"/>
        <v>77</v>
      </c>
      <c r="N30" s="360">
        <f t="shared" si="20"/>
        <v>89</v>
      </c>
      <c r="P30" s="364"/>
      <c r="Q30" s="364"/>
      <c r="R30" s="364"/>
    </row>
    <row r="31" spans="1:22" ht="15" customHeight="1">
      <c r="A31" s="1049"/>
      <c r="B31" s="60" t="s">
        <v>31</v>
      </c>
      <c r="C31" s="46">
        <f t="shared" si="17"/>
        <v>84.302325581395351</v>
      </c>
      <c r="D31" s="91" t="str">
        <f t="shared" si="18"/>
        <v>78 - 89</v>
      </c>
      <c r="E31" s="1092">
        <v>145</v>
      </c>
      <c r="F31" s="1093"/>
      <c r="G31" s="1092">
        <v>172</v>
      </c>
      <c r="H31" s="1097"/>
      <c r="I31" s="1097"/>
      <c r="J31" s="1097"/>
      <c r="K31" s="1097"/>
      <c r="L31" s="1093"/>
      <c r="M31" s="361">
        <f t="shared" si="19"/>
        <v>78</v>
      </c>
      <c r="N31" s="360">
        <f t="shared" si="20"/>
        <v>89</v>
      </c>
      <c r="R31" s="1"/>
    </row>
    <row r="32" spans="1:22" ht="15" customHeight="1">
      <c r="A32" s="1049"/>
      <c r="B32" s="60" t="s">
        <v>30</v>
      </c>
      <c r="C32" s="46">
        <f t="shared" si="17"/>
        <v>81.730769230769226</v>
      </c>
      <c r="D32" s="91" t="str">
        <f t="shared" si="18"/>
        <v>78 - 85</v>
      </c>
      <c r="E32" s="1092">
        <v>340</v>
      </c>
      <c r="F32" s="1093"/>
      <c r="G32" s="1092">
        <v>416</v>
      </c>
      <c r="H32" s="1097"/>
      <c r="I32" s="1097"/>
      <c r="J32" s="1097"/>
      <c r="K32" s="1097"/>
      <c r="L32" s="1093"/>
      <c r="M32" s="361">
        <f t="shared" si="19"/>
        <v>78</v>
      </c>
      <c r="N32" s="360">
        <f t="shared" si="20"/>
        <v>85</v>
      </c>
    </row>
    <row r="33" spans="1:14" ht="15" customHeight="1">
      <c r="A33" s="1049"/>
      <c r="B33" s="60" t="s">
        <v>35</v>
      </c>
      <c r="C33" s="46">
        <f t="shared" si="17"/>
        <v>67.073170731707322</v>
      </c>
      <c r="D33" s="91" t="str">
        <f t="shared" si="18"/>
        <v>61 - 73</v>
      </c>
      <c r="E33" s="1092">
        <v>165</v>
      </c>
      <c r="F33" s="1093"/>
      <c r="G33" s="1092">
        <v>246</v>
      </c>
      <c r="H33" s="1097"/>
      <c r="I33" s="1097"/>
      <c r="J33" s="1097"/>
      <c r="K33" s="1097"/>
      <c r="L33" s="1093"/>
      <c r="M33" s="361">
        <f t="shared" si="19"/>
        <v>61</v>
      </c>
      <c r="N33" s="360">
        <f t="shared" si="20"/>
        <v>73</v>
      </c>
    </row>
    <row r="34" spans="1:14" ht="15" customHeight="1">
      <c r="A34" s="1049"/>
      <c r="B34" s="60" t="s">
        <v>34</v>
      </c>
      <c r="C34" s="46">
        <f t="shared" si="17"/>
        <v>72.829581993569136</v>
      </c>
      <c r="D34" s="91" t="str">
        <f t="shared" si="18"/>
        <v>69 - 76</v>
      </c>
      <c r="E34" s="1092">
        <v>453</v>
      </c>
      <c r="F34" s="1093"/>
      <c r="G34" s="1092">
        <v>622</v>
      </c>
      <c r="H34" s="1097"/>
      <c r="I34" s="1097"/>
      <c r="J34" s="1097"/>
      <c r="K34" s="1097"/>
      <c r="L34" s="1093"/>
      <c r="M34" s="361">
        <f t="shared" si="19"/>
        <v>69</v>
      </c>
      <c r="N34" s="360">
        <f t="shared" si="20"/>
        <v>76</v>
      </c>
    </row>
    <row r="35" spans="1:14" ht="15" customHeight="1">
      <c r="A35" s="1049"/>
      <c r="B35" s="60" t="s">
        <v>40</v>
      </c>
      <c r="C35" s="46" t="str">
        <f t="shared" si="17"/>
        <v>-</v>
      </c>
      <c r="D35" s="91" t="str">
        <f t="shared" si="18"/>
        <v>-</v>
      </c>
      <c r="E35" s="1092" t="s">
        <v>262</v>
      </c>
      <c r="F35" s="1093"/>
      <c r="G35" s="1092" t="s">
        <v>262</v>
      </c>
      <c r="H35" s="1097"/>
      <c r="I35" s="1097"/>
      <c r="J35" s="1097"/>
      <c r="K35" s="1097"/>
      <c r="L35" s="1093"/>
      <c r="M35" s="361" t="e">
        <f t="shared" si="19"/>
        <v>#VALUE!</v>
      </c>
      <c r="N35" s="360" t="e">
        <f t="shared" si="20"/>
        <v>#VALUE!</v>
      </c>
    </row>
    <row r="36" spans="1:14" ht="15" customHeight="1">
      <c r="A36" s="1049"/>
      <c r="B36" s="60" t="s">
        <v>36</v>
      </c>
      <c r="C36" s="46">
        <f t="shared" si="17"/>
        <v>77.370030581039757</v>
      </c>
      <c r="D36" s="91" t="str">
        <f t="shared" si="18"/>
        <v>73 - 82</v>
      </c>
      <c r="E36" s="1092">
        <v>253</v>
      </c>
      <c r="F36" s="1093"/>
      <c r="G36" s="1092">
        <v>327</v>
      </c>
      <c r="H36" s="1097"/>
      <c r="I36" s="1097"/>
      <c r="J36" s="1097"/>
      <c r="K36" s="1097"/>
      <c r="L36" s="1093"/>
      <c r="M36" s="361">
        <f t="shared" si="19"/>
        <v>73</v>
      </c>
      <c r="N36" s="360">
        <f t="shared" si="20"/>
        <v>82</v>
      </c>
    </row>
    <row r="37" spans="1:14" ht="15" customHeight="1">
      <c r="A37" s="1049"/>
      <c r="B37" s="60" t="s">
        <v>29</v>
      </c>
      <c r="C37" s="46">
        <f t="shared" si="17"/>
        <v>87.147887323943664</v>
      </c>
      <c r="D37" s="91" t="str">
        <f t="shared" si="18"/>
        <v>84 - 90</v>
      </c>
      <c r="E37" s="1092">
        <v>495</v>
      </c>
      <c r="F37" s="1093"/>
      <c r="G37" s="1092">
        <v>568</v>
      </c>
      <c r="H37" s="1097"/>
      <c r="I37" s="1097"/>
      <c r="J37" s="1097"/>
      <c r="K37" s="1097"/>
      <c r="L37" s="1093"/>
      <c r="M37" s="361">
        <f t="shared" si="19"/>
        <v>84</v>
      </c>
      <c r="N37" s="360">
        <f t="shared" si="20"/>
        <v>90</v>
      </c>
    </row>
    <row r="38" spans="1:14" ht="15" customHeight="1">
      <c r="A38" s="1049"/>
      <c r="B38" s="60" t="s">
        <v>38</v>
      </c>
      <c r="C38" s="46">
        <f t="shared" si="17"/>
        <v>92.942942942942935</v>
      </c>
      <c r="D38" s="91" t="str">
        <f t="shared" si="18"/>
        <v>91 - 95</v>
      </c>
      <c r="E38" s="1092">
        <v>619</v>
      </c>
      <c r="F38" s="1093"/>
      <c r="G38" s="1092">
        <v>666</v>
      </c>
      <c r="H38" s="1097"/>
      <c r="I38" s="1097"/>
      <c r="J38" s="1097"/>
      <c r="K38" s="1097"/>
      <c r="L38" s="1093"/>
      <c r="M38" s="361">
        <f t="shared" si="19"/>
        <v>91</v>
      </c>
      <c r="N38" s="360">
        <f t="shared" si="20"/>
        <v>95</v>
      </c>
    </row>
    <row r="39" spans="1:14" ht="15" customHeight="1">
      <c r="A39" s="1049"/>
      <c r="B39" s="60" t="s">
        <v>41</v>
      </c>
      <c r="C39" s="46">
        <f t="shared" si="17"/>
        <v>88.888888888888886</v>
      </c>
      <c r="D39" s="91" t="str">
        <f t="shared" si="18"/>
        <v>72 - 96</v>
      </c>
      <c r="E39" s="1092">
        <v>24</v>
      </c>
      <c r="F39" s="1093"/>
      <c r="G39" s="1092">
        <v>27</v>
      </c>
      <c r="H39" s="1097"/>
      <c r="I39" s="1097"/>
      <c r="J39" s="1097"/>
      <c r="K39" s="1097"/>
      <c r="L39" s="1093"/>
      <c r="M39" s="363"/>
      <c r="N39" s="362"/>
    </row>
    <row r="40" spans="1:14" ht="15" customHeight="1">
      <c r="A40" s="1049"/>
      <c r="B40" s="60" t="s">
        <v>39</v>
      </c>
      <c r="C40" s="46" t="str">
        <f t="shared" si="17"/>
        <v>-</v>
      </c>
      <c r="D40" s="91" t="str">
        <f t="shared" si="18"/>
        <v>-</v>
      </c>
      <c r="E40" s="1092" t="s">
        <v>262</v>
      </c>
      <c r="F40" s="1093"/>
      <c r="G40" s="1092" t="s">
        <v>262</v>
      </c>
      <c r="H40" s="1097"/>
      <c r="I40" s="1097"/>
      <c r="J40" s="1097"/>
      <c r="K40" s="1097"/>
      <c r="L40" s="1093"/>
      <c r="M40" s="363"/>
      <c r="N40" s="362"/>
    </row>
    <row r="41" spans="1:14" ht="15" customHeight="1">
      <c r="A41" s="1049"/>
      <c r="B41" s="60" t="s">
        <v>32</v>
      </c>
      <c r="C41" s="46">
        <f t="shared" si="17"/>
        <v>75.075987841945292</v>
      </c>
      <c r="D41" s="91" t="str">
        <f t="shared" si="18"/>
        <v>70 - 79</v>
      </c>
      <c r="E41" s="1092">
        <v>247</v>
      </c>
      <c r="F41" s="1093"/>
      <c r="G41" s="1092">
        <v>329</v>
      </c>
      <c r="H41" s="1097"/>
      <c r="I41" s="1097"/>
      <c r="J41" s="1097"/>
      <c r="K41" s="1097"/>
      <c r="L41" s="1093"/>
      <c r="M41" s="361">
        <f>SUM(1*MID(D41,1,FIND(" - ",D41)-1))</f>
        <v>70</v>
      </c>
      <c r="N41" s="360">
        <f>SUM(1*MID(D41,FIND(" - ",D41)+2,LEN(D41)))</f>
        <v>79</v>
      </c>
    </row>
    <row r="42" spans="1:14" ht="15" customHeight="1">
      <c r="A42" s="1050"/>
      <c r="B42" s="60" t="s">
        <v>37</v>
      </c>
      <c r="C42" s="46">
        <f t="shared" si="17"/>
        <v>57.142857142857139</v>
      </c>
      <c r="D42" s="91" t="str">
        <f t="shared" si="18"/>
        <v>25 - 84</v>
      </c>
      <c r="E42" s="1092">
        <v>4</v>
      </c>
      <c r="F42" s="1093"/>
      <c r="G42" s="1092">
        <v>7</v>
      </c>
      <c r="H42" s="1097"/>
      <c r="I42" s="1097"/>
      <c r="J42" s="1097"/>
      <c r="K42" s="1097"/>
      <c r="L42" s="1093"/>
      <c r="M42" s="361">
        <f>SUM(1*MID(D42,1,FIND(" - ",D42)-1))</f>
        <v>25</v>
      </c>
      <c r="N42" s="360">
        <f>SUM(1*MID(D42,FIND(" - ",D42)+2,LEN(D42)))</f>
        <v>84</v>
      </c>
    </row>
    <row r="43" spans="1:14">
      <c r="A43" s="51"/>
      <c r="C43" s="34"/>
      <c r="D43" s="34"/>
      <c r="E43" s="34"/>
      <c r="F43" s="34"/>
      <c r="G43" s="34"/>
      <c r="H43" s="34"/>
    </row>
    <row r="44" spans="1:14">
      <c r="A44" s="51"/>
      <c r="C44" s="34"/>
      <c r="D44" s="34"/>
      <c r="E44" s="34"/>
      <c r="F44" s="34"/>
      <c r="G44" s="34"/>
      <c r="H44" s="34"/>
    </row>
    <row r="45" spans="1:14">
      <c r="A45" s="51"/>
      <c r="C45" s="34"/>
      <c r="D45" s="34"/>
      <c r="E45" s="34"/>
      <c r="F45" s="34"/>
      <c r="G45" s="34"/>
      <c r="H45" s="34"/>
    </row>
    <row r="46" spans="1:14">
      <c r="A46" s="51"/>
      <c r="C46" s="34"/>
      <c r="D46" s="34"/>
      <c r="E46" s="34"/>
      <c r="F46" s="34"/>
      <c r="G46" s="34"/>
      <c r="H46" s="34"/>
    </row>
    <row r="47" spans="1:14">
      <c r="A47" s="51"/>
      <c r="C47" s="34"/>
      <c r="D47" s="34"/>
      <c r="E47" s="34"/>
      <c r="F47" s="34"/>
      <c r="G47" s="34"/>
      <c r="H47" s="34"/>
    </row>
    <row r="48" spans="1:14">
      <c r="A48" s="51"/>
      <c r="C48" s="34"/>
      <c r="D48" s="34"/>
      <c r="E48" s="34"/>
      <c r="F48" s="34"/>
      <c r="G48" s="34"/>
      <c r="H48" s="34"/>
    </row>
    <row r="49" spans="1:8">
      <c r="A49" s="51"/>
      <c r="C49" s="34"/>
      <c r="D49" s="34"/>
      <c r="E49" s="34"/>
      <c r="F49" s="34"/>
      <c r="G49" s="34"/>
      <c r="H49" s="34"/>
    </row>
    <row r="50" spans="1:8">
      <c r="A50" s="51"/>
      <c r="C50" s="34"/>
      <c r="D50" s="34"/>
      <c r="E50" s="34"/>
      <c r="F50" s="34"/>
      <c r="G50" s="34"/>
      <c r="H50" s="34"/>
    </row>
  </sheetData>
  <sheetProtection password="B8D9" sheet="1" objects="1" scenarios="1"/>
  <sortState ref="A4:V24">
    <sortCondition descending="1" ref="F4:F24"/>
  </sortState>
  <mergeCells count="41">
    <mergeCell ref="E42:F42"/>
    <mergeCell ref="G42:L42"/>
    <mergeCell ref="E39:F39"/>
    <mergeCell ref="G39:L39"/>
    <mergeCell ref="E40:F40"/>
    <mergeCell ref="G40:L40"/>
    <mergeCell ref="E41:F41"/>
    <mergeCell ref="G41:L41"/>
    <mergeCell ref="G37:L37"/>
    <mergeCell ref="E38:F38"/>
    <mergeCell ref="G38:L38"/>
    <mergeCell ref="E36:F36"/>
    <mergeCell ref="G36:L36"/>
    <mergeCell ref="A29:A42"/>
    <mergeCell ref="E29:F29"/>
    <mergeCell ref="G29:L29"/>
    <mergeCell ref="E30:F30"/>
    <mergeCell ref="G30:L30"/>
    <mergeCell ref="E31:F31"/>
    <mergeCell ref="G31:L31"/>
    <mergeCell ref="E32:F32"/>
    <mergeCell ref="G32:L32"/>
    <mergeCell ref="E33:F33"/>
    <mergeCell ref="G33:L33"/>
    <mergeCell ref="E34:F34"/>
    <mergeCell ref="G34:L34"/>
    <mergeCell ref="E35:F35"/>
    <mergeCell ref="G35:L35"/>
    <mergeCell ref="E37:F37"/>
    <mergeCell ref="U1:V1"/>
    <mergeCell ref="A27:B27"/>
    <mergeCell ref="C27:L27"/>
    <mergeCell ref="M27:N27"/>
    <mergeCell ref="E28:F28"/>
    <mergeCell ref="G28:L28"/>
    <mergeCell ref="A1:B1"/>
    <mergeCell ref="C1:G1"/>
    <mergeCell ref="M1:N1"/>
    <mergeCell ref="O1:P1"/>
    <mergeCell ref="Q1:R1"/>
    <mergeCell ref="S1:T1"/>
  </mergeCells>
  <pageMargins left="0.70866141732283472" right="0.70866141732283472" top="0.74803149606299213" bottom="0.74803149606299213" header="0.31496062992125984" footer="0.31496062992125984"/>
  <pageSetup paperSize="9" scale="57"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45.xml><?xml version="1.0" encoding="utf-8"?>
<worksheet xmlns="http://schemas.openxmlformats.org/spreadsheetml/2006/main" xmlns:r="http://schemas.openxmlformats.org/officeDocument/2006/relationships">
  <sheetPr codeName="Sheet47">
    <pageSetUpPr fitToPage="1"/>
  </sheetPr>
  <dimension ref="A1:T45"/>
  <sheetViews>
    <sheetView workbookViewId="0"/>
  </sheetViews>
  <sheetFormatPr defaultRowHeight="12.75"/>
  <cols>
    <col min="1" max="1" width="2.7109375" style="676" customWidth="1"/>
    <col min="2" max="16384" width="9.140625" style="676"/>
  </cols>
  <sheetData>
    <row r="1" spans="1:20" s="669" customFormat="1" ht="24.95" customHeight="1">
      <c r="A1" s="669" t="s">
        <v>639</v>
      </c>
      <c r="B1" s="967" t="s">
        <v>533</v>
      </c>
      <c r="C1" s="967"/>
      <c r="D1" s="967"/>
      <c r="E1" s="967"/>
      <c r="F1" s="967"/>
      <c r="G1" s="967"/>
      <c r="H1" s="967"/>
      <c r="I1" s="967"/>
      <c r="J1" s="967"/>
      <c r="K1" s="967"/>
      <c r="L1" s="967"/>
      <c r="M1" s="967"/>
      <c r="N1" s="967"/>
      <c r="O1" s="26"/>
      <c r="P1" s="985" t="s">
        <v>45</v>
      </c>
      <c r="Q1" s="26"/>
      <c r="R1" s="26"/>
      <c r="S1" s="26"/>
      <c r="T1" s="26"/>
    </row>
    <row r="2" spans="1:20" s="669" customFormat="1" ht="12.75" customHeight="1">
      <c r="B2" s="1043" t="s">
        <v>396</v>
      </c>
      <c r="C2" s="1043"/>
      <c r="D2" s="1043"/>
      <c r="E2" s="1043"/>
      <c r="F2" s="1043"/>
      <c r="G2" s="1043"/>
      <c r="H2" s="1043"/>
      <c r="I2" s="1043"/>
      <c r="J2" s="1043"/>
      <c r="K2" s="1043"/>
      <c r="L2" s="1043"/>
      <c r="M2" s="1043"/>
      <c r="O2" s="27"/>
      <c r="P2" s="985"/>
      <c r="Q2" s="28"/>
      <c r="R2" s="987"/>
      <c r="S2" s="987"/>
      <c r="T2" s="987"/>
    </row>
    <row r="3" spans="1:20" s="669" customFormat="1" ht="12.75" customHeight="1">
      <c r="B3" s="1043"/>
      <c r="C3" s="1043"/>
      <c r="D3" s="1043"/>
      <c r="E3" s="1043"/>
      <c r="F3" s="1043"/>
      <c r="G3" s="1043"/>
      <c r="H3" s="1043"/>
      <c r="I3" s="1043"/>
      <c r="J3" s="1043"/>
      <c r="K3" s="1043"/>
      <c r="L3" s="1043"/>
      <c r="M3" s="1043"/>
      <c r="O3" s="519"/>
      <c r="P3" s="985"/>
      <c r="Q3" s="29"/>
      <c r="R3" s="667"/>
      <c r="S3" s="667"/>
      <c r="T3" s="667"/>
    </row>
    <row r="4" spans="1:20" s="669" customFormat="1" ht="12.75" customHeight="1">
      <c r="B4" s="1044" t="s">
        <v>324</v>
      </c>
      <c r="C4" s="1044"/>
      <c r="D4" s="1044"/>
      <c r="E4" s="1044"/>
      <c r="F4" s="1044"/>
      <c r="G4" s="1044"/>
      <c r="H4" s="1044"/>
      <c r="I4" s="1044"/>
      <c r="J4" s="1044"/>
      <c r="K4" s="1044"/>
      <c r="L4" s="1044"/>
      <c r="M4" s="1044"/>
      <c r="O4" s="30"/>
      <c r="P4" s="985"/>
      <c r="Q4" s="664"/>
      <c r="R4" s="29"/>
      <c r="S4" s="72"/>
    </row>
    <row r="5" spans="1:20" s="669" customFormat="1" ht="12.75" customHeight="1">
      <c r="B5" s="1044"/>
      <c r="C5" s="1044"/>
      <c r="D5" s="1044"/>
      <c r="E5" s="1044"/>
      <c r="F5" s="1044"/>
      <c r="G5" s="1044"/>
      <c r="H5" s="1044"/>
      <c r="I5" s="1044"/>
      <c r="J5" s="1044"/>
      <c r="K5" s="1044"/>
      <c r="L5" s="1044"/>
      <c r="M5" s="1044"/>
      <c r="N5" s="666"/>
      <c r="O5" s="30"/>
      <c r="P5" s="30"/>
      <c r="Q5" s="664"/>
      <c r="R5" s="29"/>
      <c r="S5" s="72"/>
    </row>
    <row r="6" spans="1:20" s="669" customFormat="1" ht="12.75" customHeight="1">
      <c r="B6" s="1044"/>
      <c r="C6" s="1044"/>
      <c r="D6" s="1044"/>
      <c r="E6" s="1044"/>
      <c r="F6" s="1044"/>
      <c r="G6" s="1044"/>
      <c r="H6" s="1044"/>
      <c r="I6" s="1044"/>
      <c r="J6" s="1044"/>
      <c r="K6" s="1044"/>
      <c r="L6" s="1044"/>
      <c r="M6" s="1044"/>
      <c r="N6" s="666"/>
      <c r="O6" s="30"/>
      <c r="P6" s="672" t="s">
        <v>567</v>
      </c>
      <c r="Q6" s="664"/>
      <c r="R6" s="29"/>
      <c r="S6" s="72"/>
    </row>
    <row r="7" spans="1:20" s="669" customFormat="1">
      <c r="B7" s="1044"/>
      <c r="C7" s="1044"/>
      <c r="D7" s="1044"/>
      <c r="E7" s="1044"/>
      <c r="F7" s="1044"/>
      <c r="G7" s="1044"/>
      <c r="H7" s="1044"/>
      <c r="I7" s="1044"/>
      <c r="J7" s="1044"/>
      <c r="K7" s="1044"/>
      <c r="L7" s="1044"/>
      <c r="M7" s="1044"/>
      <c r="N7" s="675"/>
      <c r="O7" s="30"/>
      <c r="P7" s="30"/>
      <c r="Q7" s="664"/>
      <c r="R7" s="29"/>
      <c r="S7" s="72"/>
    </row>
    <row r="41" spans="2:14">
      <c r="B41" s="565"/>
      <c r="C41" s="565"/>
      <c r="D41" s="565"/>
      <c r="E41" s="565"/>
      <c r="F41" s="565"/>
      <c r="G41" s="565"/>
      <c r="H41" s="565"/>
      <c r="I41" s="565"/>
      <c r="J41" s="565"/>
      <c r="K41" s="565"/>
      <c r="L41" s="565"/>
      <c r="M41" s="565"/>
    </row>
    <row r="42" spans="2:14" s="669" customFormat="1">
      <c r="B42" s="77" t="s">
        <v>838</v>
      </c>
      <c r="D42" s="34"/>
      <c r="E42" s="34"/>
      <c r="F42" s="34"/>
      <c r="G42" s="34"/>
      <c r="H42" s="34"/>
      <c r="I42" s="34"/>
      <c r="J42" s="663"/>
      <c r="K42" s="663"/>
      <c r="L42" s="663"/>
      <c r="M42" s="663"/>
      <c r="N42" s="663"/>
    </row>
    <row r="43" spans="2:14" s="674" customFormat="1" ht="24.95" customHeight="1">
      <c r="B43" s="972" t="s">
        <v>0</v>
      </c>
      <c r="C43" s="972"/>
      <c r="D43" s="972"/>
      <c r="E43" s="972"/>
      <c r="F43" s="972"/>
      <c r="G43" s="972"/>
      <c r="H43" s="972"/>
      <c r="I43" s="972"/>
      <c r="J43" s="972"/>
      <c r="K43" s="972"/>
      <c r="L43" s="972"/>
      <c r="M43" s="972"/>
      <c r="N43" s="252"/>
    </row>
    <row r="44" spans="2:14" s="669" customFormat="1" ht="31.5" customHeight="1">
      <c r="B44" s="1081" t="s">
        <v>532</v>
      </c>
      <c r="C44" s="1081"/>
      <c r="D44" s="1081"/>
      <c r="E44" s="1081"/>
      <c r="F44" s="1081"/>
      <c r="G44" s="1081"/>
      <c r="H44" s="1081"/>
      <c r="I44" s="1081"/>
      <c r="J44" s="1081"/>
      <c r="K44" s="1081"/>
      <c r="L44" s="1081"/>
      <c r="M44" s="1081"/>
      <c r="N44" s="1081"/>
    </row>
    <row r="45" spans="2:14" s="669" customFormat="1">
      <c r="B45" s="50"/>
      <c r="D45" s="34"/>
      <c r="E45" s="34"/>
      <c r="F45" s="34"/>
      <c r="G45" s="34"/>
      <c r="H45" s="34"/>
      <c r="I45" s="34"/>
      <c r="J45" s="663"/>
      <c r="K45" s="663"/>
      <c r="L45" s="663"/>
      <c r="M45" s="663"/>
      <c r="N45" s="663"/>
    </row>
  </sheetData>
  <sheetProtection password="B8D9" sheet="1" objects="1" scenarios="1"/>
  <mergeCells count="7">
    <mergeCell ref="B44:N44"/>
    <mergeCell ref="B1:N1"/>
    <mergeCell ref="P1:P4"/>
    <mergeCell ref="B2:M3"/>
    <mergeCell ref="R2:T2"/>
    <mergeCell ref="B4:M7"/>
    <mergeCell ref="B43:M43"/>
  </mergeCells>
  <hyperlinks>
    <hyperlink ref="N4" location="'List of Tables &amp; Charts'!A1" display="return to List of Tables &amp; Charts"/>
    <hyperlink ref="P1" location="'List of Tables &amp; Charts'!A1" display="return to List of Tables &amp; Charts"/>
    <hyperlink ref="P6" location="'Chart 7 (2015) DATA'!A1" display="view chart 7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46.xml><?xml version="1.0" encoding="utf-8"?>
<worksheet xmlns="http://schemas.openxmlformats.org/spreadsheetml/2006/main" xmlns:r="http://schemas.openxmlformats.org/officeDocument/2006/relationships">
  <sheetPr codeName="Sheet48">
    <pageSetUpPr fitToPage="1"/>
  </sheetPr>
  <dimension ref="A1:V48"/>
  <sheetViews>
    <sheetView showGridLines="0" workbookViewId="0">
      <selection sqref="A1:B1"/>
    </sheetView>
  </sheetViews>
  <sheetFormatPr defaultRowHeight="12.75"/>
  <cols>
    <col min="1" max="1" width="16.7109375" style="669" customWidth="1"/>
    <col min="2" max="2" width="40.7109375" style="669" customWidth="1"/>
    <col min="3" max="7" width="10.7109375" style="663" customWidth="1"/>
    <col min="8" max="12" width="2.7109375" style="663" customWidth="1"/>
    <col min="13" max="13" width="9.28515625" style="663" customWidth="1"/>
    <col min="14" max="14" width="11.28515625" style="669" customWidth="1"/>
    <col min="15" max="15" width="9.28515625" style="669" customWidth="1"/>
    <col min="16" max="16" width="11.28515625" style="669" customWidth="1"/>
    <col min="17" max="17" width="9.28515625" style="669" customWidth="1"/>
    <col min="18" max="18" width="11.28515625" style="669" customWidth="1"/>
    <col min="19" max="19" width="9.28515625" style="669" customWidth="1"/>
    <col min="20" max="20" width="11.28515625" style="669" customWidth="1"/>
    <col min="21" max="21" width="9.28515625" style="669" customWidth="1"/>
    <col min="22" max="22" width="11.28515625" style="669" customWidth="1"/>
    <col min="23" max="16384" width="9.140625" style="669"/>
  </cols>
  <sheetData>
    <row r="1" spans="1:22" ht="25.5" customHeight="1">
      <c r="A1" s="1091">
        <v>2015</v>
      </c>
      <c r="B1" s="1046"/>
      <c r="C1" s="1062" t="s">
        <v>42</v>
      </c>
      <c r="D1" s="1063"/>
      <c r="E1" s="1063"/>
      <c r="F1" s="1063"/>
      <c r="G1" s="1064"/>
      <c r="H1" s="79"/>
      <c r="I1" s="79"/>
      <c r="J1" s="79"/>
      <c r="K1" s="79"/>
      <c r="L1" s="79"/>
      <c r="M1" s="1015" t="s">
        <v>48</v>
      </c>
      <c r="N1" s="1017"/>
      <c r="O1" s="1015" t="s">
        <v>49</v>
      </c>
      <c r="P1" s="1017"/>
      <c r="Q1" s="1015" t="s">
        <v>163</v>
      </c>
      <c r="R1" s="1017"/>
      <c r="S1" s="1015" t="s">
        <v>164</v>
      </c>
      <c r="T1" s="1017"/>
      <c r="U1" s="1016" t="s">
        <v>165</v>
      </c>
      <c r="V1" s="1082"/>
    </row>
    <row r="2" spans="1:22" ht="45" customHeight="1">
      <c r="A2" s="80" t="s">
        <v>24</v>
      </c>
      <c r="B2" s="53" t="s">
        <v>25</v>
      </c>
      <c r="C2" s="40" t="s">
        <v>51</v>
      </c>
      <c r="D2" s="40" t="s">
        <v>53</v>
      </c>
      <c r="E2" s="40" t="s">
        <v>166</v>
      </c>
      <c r="F2" s="81" t="s">
        <v>167</v>
      </c>
      <c r="G2" s="40" t="s">
        <v>18</v>
      </c>
      <c r="H2" s="82" t="s">
        <v>55</v>
      </c>
      <c r="I2" s="82" t="s">
        <v>168</v>
      </c>
      <c r="J2" s="82" t="s">
        <v>169</v>
      </c>
      <c r="K2" s="82" t="s">
        <v>170</v>
      </c>
      <c r="L2" s="82" t="s">
        <v>274</v>
      </c>
      <c r="M2" s="43" t="s">
        <v>26</v>
      </c>
      <c r="N2" s="43" t="s">
        <v>27</v>
      </c>
      <c r="O2" s="43" t="s">
        <v>26</v>
      </c>
      <c r="P2" s="43" t="s">
        <v>27</v>
      </c>
      <c r="Q2" s="43" t="s">
        <v>26</v>
      </c>
      <c r="R2" s="43" t="s">
        <v>27</v>
      </c>
      <c r="S2" s="43" t="s">
        <v>26</v>
      </c>
      <c r="T2" s="43" t="s">
        <v>27</v>
      </c>
      <c r="U2" s="83" t="s">
        <v>26</v>
      </c>
      <c r="V2" s="65" t="s">
        <v>27</v>
      </c>
    </row>
    <row r="3" spans="1:22">
      <c r="A3" s="45" t="s">
        <v>134</v>
      </c>
      <c r="B3" s="45" t="s">
        <v>178</v>
      </c>
      <c r="C3" s="46">
        <f t="shared" ref="C3" si="0">M3/N3*100</f>
        <v>14.615977395324942</v>
      </c>
      <c r="D3" s="46">
        <f t="shared" ref="D3" si="1">(M3+O3)/P3*100</f>
        <v>39.224248651425633</v>
      </c>
      <c r="E3" s="46">
        <f t="shared" ref="E3" si="2">(M3+O3+Q3)/R3*100</f>
        <v>83.149242229642951</v>
      </c>
      <c r="F3" s="46">
        <f t="shared" ref="F3" si="3">U3/V3*100</f>
        <v>95.581813511430767</v>
      </c>
      <c r="G3" s="46" t="str">
        <f t="shared" ref="G3" si="4">IF(AND(AND(V3&gt;0,(M3+O3+Q3)&gt;0),ROUND(SUM(100*((2*(M3+O3+Q3)+1.96^2)-(1.96*(SQRT(1.96^2+4*(M3+O3+Q3)*(1-((M3+O3+Q3)/V3))))))/(2*(V3+1.96^2))),0)&lt;0),CONCATENATE(SUM(1*0)," - ",ROUND(SUM(100*((2*(M3+O3+Q3)+1.96^2)+(1.96*(SQRT(1.96^2+4*(M3+O3+Q3)*(1-((M3+O3+Q3)/V3))))))/(2*(V3+1.96^2))),0)),IF(AND(AND(V3&gt;0,(M3+O3+Q3)&gt;0),ROUND(SUM(100*((2*(M3+O3+Q3)+1.96^2)-(1.96*(SQRT(1.96^2+4*(M3+O3+Q3)*(1-((M3+O3+Q3)/V3))))))/(2*(V3+1.96^2))),0)&gt;=0),CONCATENATE(ROUND(SUM(100*((2*(M3+O3+Q3)+1.96^2)-(1.96*(SQRT(1.96^2+4*(M3+O3+Q3)*(1-((M3+O3+Q3)/V3))))))/(2*(V3+1.96^2))),0)," - ",ROUND(SUM(100*((2*(M3+O3+Q3)+1.96^2)+(1.96*(SQRT(1.96^2+4*(M3+O3+Q3)*(1-((M3+O3+Q3)/V3))))))/(2*(V3+1.96^2))),0)),""))</f>
        <v>82 - 84</v>
      </c>
      <c r="H3" s="536">
        <f t="shared" ref="H3:J3" si="5">D3-C3</f>
        <v>24.608271256100693</v>
      </c>
      <c r="I3" s="563">
        <f t="shared" si="5"/>
        <v>43.924993578217318</v>
      </c>
      <c r="J3" s="562">
        <f t="shared" si="5"/>
        <v>12.432571281787816</v>
      </c>
      <c r="K3" s="562">
        <f t="shared" ref="K3" si="6">F3</f>
        <v>95.581813511430767</v>
      </c>
      <c r="L3" s="561">
        <v>80</v>
      </c>
      <c r="M3" s="405">
        <f t="shared" ref="M3:V3" si="7">SUM(M4:M22)</f>
        <v>569</v>
      </c>
      <c r="N3" s="405">
        <f t="shared" si="7"/>
        <v>3893</v>
      </c>
      <c r="O3" s="405">
        <f t="shared" si="7"/>
        <v>958</v>
      </c>
      <c r="P3" s="405">
        <f t="shared" si="7"/>
        <v>3893</v>
      </c>
      <c r="Q3" s="405">
        <f t="shared" si="7"/>
        <v>1710</v>
      </c>
      <c r="R3" s="405">
        <f t="shared" si="7"/>
        <v>3893</v>
      </c>
      <c r="S3" s="405">
        <f t="shared" si="7"/>
        <v>484</v>
      </c>
      <c r="T3" s="405">
        <f t="shared" si="7"/>
        <v>3893</v>
      </c>
      <c r="U3" s="405">
        <f t="shared" si="7"/>
        <v>3721</v>
      </c>
      <c r="V3" s="405">
        <f t="shared" si="7"/>
        <v>3893</v>
      </c>
    </row>
    <row r="4" spans="1:22">
      <c r="A4" s="45" t="s">
        <v>58</v>
      </c>
      <c r="B4" s="45" t="s">
        <v>57</v>
      </c>
      <c r="C4" s="46">
        <f t="shared" ref="C4:C22" si="8">M4/N4*100</f>
        <v>9.3220338983050848</v>
      </c>
      <c r="D4" s="46">
        <f t="shared" ref="D4:D22" si="9">(M4+O4)/P4*100</f>
        <v>61.864406779661017</v>
      </c>
      <c r="E4" s="46">
        <f t="shared" ref="E4:E22" si="10">(M4+O4+Q4)/R4*100</f>
        <v>96.610169491525426</v>
      </c>
      <c r="F4" s="46">
        <f t="shared" ref="F4:F22" si="11">U4/V4*100</f>
        <v>100</v>
      </c>
      <c r="G4" s="46" t="str">
        <f t="shared" ref="G4:G22" si="12">IF(AND(AND(V4&gt;0,(M4+O4+Q4)&gt;0),ROUND(SUM(100*((2*(M4+O4+Q4)+1.96^2)-(1.96*(SQRT(1.96^2+4*(M4+O4+Q4)*(1-((M4+O4+Q4)/V4))))))/(2*(V4+1.96^2))),0)&lt;0),CONCATENATE(SUM(1*0)," - ",ROUND(SUM(100*((2*(M4+O4+Q4)+1.96^2)+(1.96*(SQRT(1.96^2+4*(M4+O4+Q4)*(1-((M4+O4+Q4)/V4))))))/(2*(V4+1.96^2))),0)),IF(AND(AND(V4&gt;0,(M4+O4+Q4)&gt;0),ROUND(SUM(100*((2*(M4+O4+Q4)+1.96^2)-(1.96*(SQRT(1.96^2+4*(M4+O4+Q4)*(1-((M4+O4+Q4)/V4))))))/(2*(V4+1.96^2))),0)&gt;=0),CONCATENATE(ROUND(SUM(100*((2*(M4+O4+Q4)+1.96^2)-(1.96*(SQRT(1.96^2+4*(M4+O4+Q4)*(1-((M4+O4+Q4)/V4))))))/(2*(V4+1.96^2))),0)," - ",ROUND(SUM(100*((2*(M4+O4+Q4)+1.96^2)+(1.96*(SQRT(1.96^2+4*(M4+O4+Q4)*(1-((M4+O4+Q4)/V4))))))/(2*(V4+1.96^2))),0)),""))</f>
        <v>92 - 99</v>
      </c>
      <c r="H4" s="523">
        <f t="shared" ref="H4:H22" si="13">D4-C4</f>
        <v>52.542372881355931</v>
      </c>
      <c r="I4" s="560">
        <f t="shared" ref="I4:I22" si="14">E4-D4</f>
        <v>34.745762711864408</v>
      </c>
      <c r="J4" s="559">
        <f t="shared" ref="J4:J22" si="15">F4-E4</f>
        <v>3.3898305084745743</v>
      </c>
      <c r="K4" s="559">
        <f t="shared" ref="K4:K22" si="16">F4</f>
        <v>100</v>
      </c>
      <c r="L4" s="559">
        <v>80</v>
      </c>
      <c r="M4" s="405">
        <v>11</v>
      </c>
      <c r="N4" s="405">
        <v>118</v>
      </c>
      <c r="O4" s="405">
        <v>62</v>
      </c>
      <c r="P4" s="405">
        <v>118</v>
      </c>
      <c r="Q4" s="405">
        <v>41</v>
      </c>
      <c r="R4" s="405">
        <v>118</v>
      </c>
      <c r="S4" s="405">
        <v>4</v>
      </c>
      <c r="T4" s="405">
        <v>118</v>
      </c>
      <c r="U4" s="405">
        <v>118</v>
      </c>
      <c r="V4" s="405">
        <v>118</v>
      </c>
    </row>
    <row r="5" spans="1:22">
      <c r="A5" s="45" t="s">
        <v>104</v>
      </c>
      <c r="B5" s="45" t="s">
        <v>513</v>
      </c>
      <c r="C5" s="46">
        <f t="shared" si="8"/>
        <v>10.48951048951049</v>
      </c>
      <c r="D5" s="46">
        <f t="shared" si="9"/>
        <v>47.552447552447553</v>
      </c>
      <c r="E5" s="46">
        <f t="shared" si="10"/>
        <v>84.615384615384613</v>
      </c>
      <c r="F5" s="46">
        <f t="shared" si="11"/>
        <v>100</v>
      </c>
      <c r="G5" s="46" t="str">
        <f t="shared" si="12"/>
        <v>78 - 90</v>
      </c>
      <c r="H5" s="523">
        <f t="shared" si="13"/>
        <v>37.062937062937067</v>
      </c>
      <c r="I5" s="560">
        <f t="shared" si="14"/>
        <v>37.06293706293706</v>
      </c>
      <c r="J5" s="559">
        <f t="shared" si="15"/>
        <v>15.384615384615387</v>
      </c>
      <c r="K5" s="559">
        <f t="shared" si="16"/>
        <v>100</v>
      </c>
      <c r="L5" s="557">
        <v>80</v>
      </c>
      <c r="M5" s="405">
        <v>15</v>
      </c>
      <c r="N5" s="405">
        <v>143</v>
      </c>
      <c r="O5" s="405">
        <v>53</v>
      </c>
      <c r="P5" s="405">
        <v>143</v>
      </c>
      <c r="Q5" s="405">
        <v>53</v>
      </c>
      <c r="R5" s="405">
        <v>143</v>
      </c>
      <c r="S5" s="405">
        <v>22</v>
      </c>
      <c r="T5" s="405">
        <v>143</v>
      </c>
      <c r="U5" s="405">
        <v>143</v>
      </c>
      <c r="V5" s="405">
        <v>143</v>
      </c>
    </row>
    <row r="6" spans="1:22">
      <c r="A6" s="45" t="s">
        <v>115</v>
      </c>
      <c r="B6" s="45" t="s">
        <v>116</v>
      </c>
      <c r="C6" s="46">
        <f t="shared" si="8"/>
        <v>20.806451612903228</v>
      </c>
      <c r="D6" s="46">
        <f t="shared" si="9"/>
        <v>48.70967741935484</v>
      </c>
      <c r="E6" s="46">
        <f t="shared" si="10"/>
        <v>94.677419354838705</v>
      </c>
      <c r="F6" s="46">
        <f t="shared" si="11"/>
        <v>99.516129032258064</v>
      </c>
      <c r="G6" s="46" t="str">
        <f t="shared" si="12"/>
        <v>93 - 96</v>
      </c>
      <c r="H6" s="529">
        <f t="shared" si="13"/>
        <v>27.903225806451612</v>
      </c>
      <c r="I6" s="558">
        <f t="shared" si="14"/>
        <v>45.967741935483865</v>
      </c>
      <c r="J6" s="557">
        <f t="shared" si="15"/>
        <v>4.8387096774193594</v>
      </c>
      <c r="K6" s="557">
        <f t="shared" si="16"/>
        <v>99.516129032258064</v>
      </c>
      <c r="L6" s="557">
        <v>80</v>
      </c>
      <c r="M6" s="405">
        <v>129</v>
      </c>
      <c r="N6" s="405">
        <v>620</v>
      </c>
      <c r="O6" s="405">
        <v>173</v>
      </c>
      <c r="P6" s="405">
        <v>620</v>
      </c>
      <c r="Q6" s="405">
        <v>285</v>
      </c>
      <c r="R6" s="405">
        <v>620</v>
      </c>
      <c r="S6" s="405">
        <v>30</v>
      </c>
      <c r="T6" s="405">
        <v>620</v>
      </c>
      <c r="U6" s="405">
        <v>617</v>
      </c>
      <c r="V6" s="405">
        <v>620</v>
      </c>
    </row>
    <row r="7" spans="1:22">
      <c r="A7" s="45" t="s">
        <v>124</v>
      </c>
      <c r="B7" s="45" t="s">
        <v>125</v>
      </c>
      <c r="C7" s="46">
        <f t="shared" si="8"/>
        <v>3.9106145251396649</v>
      </c>
      <c r="D7" s="46">
        <f t="shared" si="9"/>
        <v>40.22346368715084</v>
      </c>
      <c r="E7" s="46">
        <f t="shared" si="10"/>
        <v>92.178770949720672</v>
      </c>
      <c r="F7" s="46">
        <f t="shared" si="11"/>
        <v>98.882681564245814</v>
      </c>
      <c r="G7" s="46" t="str">
        <f t="shared" si="12"/>
        <v>87 - 95</v>
      </c>
      <c r="H7" s="529">
        <f t="shared" si="13"/>
        <v>36.312849162011176</v>
      </c>
      <c r="I7" s="558">
        <f t="shared" si="14"/>
        <v>51.955307262569832</v>
      </c>
      <c r="J7" s="557">
        <f t="shared" si="15"/>
        <v>6.7039106145251424</v>
      </c>
      <c r="K7" s="557">
        <f t="shared" si="16"/>
        <v>98.882681564245814</v>
      </c>
      <c r="L7" s="557">
        <v>80</v>
      </c>
      <c r="M7" s="405">
        <v>7</v>
      </c>
      <c r="N7" s="405">
        <v>179</v>
      </c>
      <c r="O7" s="405">
        <v>65</v>
      </c>
      <c r="P7" s="405">
        <v>179</v>
      </c>
      <c r="Q7" s="405">
        <v>93</v>
      </c>
      <c r="R7" s="405">
        <v>179</v>
      </c>
      <c r="S7" s="405">
        <v>12</v>
      </c>
      <c r="T7" s="405">
        <v>179</v>
      </c>
      <c r="U7" s="405">
        <v>177</v>
      </c>
      <c r="V7" s="405">
        <v>179</v>
      </c>
    </row>
    <row r="8" spans="1:22">
      <c r="A8" s="45" t="s">
        <v>107</v>
      </c>
      <c r="B8" s="45" t="s">
        <v>106</v>
      </c>
      <c r="C8" s="46">
        <f t="shared" si="8"/>
        <v>2.9411764705882351</v>
      </c>
      <c r="D8" s="46">
        <f t="shared" si="9"/>
        <v>35.294117647058826</v>
      </c>
      <c r="E8" s="46">
        <f t="shared" si="10"/>
        <v>86.470588235294116</v>
      </c>
      <c r="F8" s="46">
        <f t="shared" si="11"/>
        <v>98.82352941176471</v>
      </c>
      <c r="G8" s="46" t="str">
        <f t="shared" si="12"/>
        <v>81 - 91</v>
      </c>
      <c r="H8" s="529">
        <f t="shared" si="13"/>
        <v>32.352941176470594</v>
      </c>
      <c r="I8" s="558">
        <f t="shared" si="14"/>
        <v>51.17647058823529</v>
      </c>
      <c r="J8" s="557">
        <f t="shared" si="15"/>
        <v>12.352941176470594</v>
      </c>
      <c r="K8" s="557">
        <f t="shared" si="16"/>
        <v>98.82352941176471</v>
      </c>
      <c r="L8" s="557">
        <v>80</v>
      </c>
      <c r="M8" s="405">
        <v>5</v>
      </c>
      <c r="N8" s="405">
        <v>170</v>
      </c>
      <c r="O8" s="405">
        <v>55</v>
      </c>
      <c r="P8" s="405">
        <v>170</v>
      </c>
      <c r="Q8" s="405">
        <v>87</v>
      </c>
      <c r="R8" s="405">
        <v>170</v>
      </c>
      <c r="S8" s="405">
        <v>21</v>
      </c>
      <c r="T8" s="405">
        <v>170</v>
      </c>
      <c r="U8" s="405">
        <v>168</v>
      </c>
      <c r="V8" s="405">
        <v>170</v>
      </c>
    </row>
    <row r="9" spans="1:22">
      <c r="A9" s="45" t="s">
        <v>183</v>
      </c>
      <c r="B9" s="45" t="s">
        <v>73</v>
      </c>
      <c r="C9" s="46">
        <f t="shared" si="8"/>
        <v>39.261744966442954</v>
      </c>
      <c r="D9" s="46">
        <f t="shared" si="9"/>
        <v>69.463087248322154</v>
      </c>
      <c r="E9" s="46">
        <f t="shared" si="10"/>
        <v>93.288590604026851</v>
      </c>
      <c r="F9" s="46">
        <f t="shared" si="11"/>
        <v>98.322147651006702</v>
      </c>
      <c r="G9" s="46" t="str">
        <f t="shared" si="12"/>
        <v>90 - 96</v>
      </c>
      <c r="H9" s="529">
        <f t="shared" si="13"/>
        <v>30.201342281879199</v>
      </c>
      <c r="I9" s="558">
        <f t="shared" si="14"/>
        <v>23.825503355704697</v>
      </c>
      <c r="J9" s="557">
        <f t="shared" si="15"/>
        <v>5.0335570469798512</v>
      </c>
      <c r="K9" s="557">
        <f t="shared" si="16"/>
        <v>98.322147651006702</v>
      </c>
      <c r="L9" s="557">
        <v>80</v>
      </c>
      <c r="M9" s="405">
        <v>117</v>
      </c>
      <c r="N9" s="405">
        <v>298</v>
      </c>
      <c r="O9" s="405">
        <v>90</v>
      </c>
      <c r="P9" s="405">
        <v>298</v>
      </c>
      <c r="Q9" s="405">
        <v>71</v>
      </c>
      <c r="R9" s="405">
        <v>298</v>
      </c>
      <c r="S9" s="405">
        <v>15</v>
      </c>
      <c r="T9" s="405">
        <v>298</v>
      </c>
      <c r="U9" s="405">
        <v>293</v>
      </c>
      <c r="V9" s="405">
        <v>298</v>
      </c>
    </row>
    <row r="10" spans="1:22">
      <c r="A10" s="45" t="s">
        <v>65</v>
      </c>
      <c r="B10" s="45" t="s">
        <v>66</v>
      </c>
      <c r="C10" s="46">
        <f t="shared" si="8"/>
        <v>3.1088082901554404</v>
      </c>
      <c r="D10" s="46">
        <f t="shared" si="9"/>
        <v>38.860103626943001</v>
      </c>
      <c r="E10" s="46">
        <f t="shared" si="10"/>
        <v>84.974093264248708</v>
      </c>
      <c r="F10" s="46">
        <f t="shared" si="11"/>
        <v>97.409326424870471</v>
      </c>
      <c r="G10" s="46" t="str">
        <f t="shared" si="12"/>
        <v>79 - 89</v>
      </c>
      <c r="H10" s="529">
        <f t="shared" si="13"/>
        <v>35.751295336787564</v>
      </c>
      <c r="I10" s="558">
        <f t="shared" si="14"/>
        <v>46.113989637305707</v>
      </c>
      <c r="J10" s="557">
        <f t="shared" si="15"/>
        <v>12.435233160621763</v>
      </c>
      <c r="K10" s="557">
        <f t="shared" si="16"/>
        <v>97.409326424870471</v>
      </c>
      <c r="L10" s="557">
        <v>80</v>
      </c>
      <c r="M10" s="405">
        <v>6</v>
      </c>
      <c r="N10" s="405">
        <v>193</v>
      </c>
      <c r="O10" s="405">
        <v>69</v>
      </c>
      <c r="P10" s="405">
        <v>193</v>
      </c>
      <c r="Q10" s="405">
        <v>89</v>
      </c>
      <c r="R10" s="405">
        <v>193</v>
      </c>
      <c r="S10" s="405">
        <v>24</v>
      </c>
      <c r="T10" s="405">
        <v>193</v>
      </c>
      <c r="U10" s="405">
        <v>188</v>
      </c>
      <c r="V10" s="405">
        <v>193</v>
      </c>
    </row>
    <row r="11" spans="1:22">
      <c r="A11" s="45" t="s">
        <v>101</v>
      </c>
      <c r="B11" s="45" t="s">
        <v>102</v>
      </c>
      <c r="C11" s="46">
        <f t="shared" si="8"/>
        <v>0</v>
      </c>
      <c r="D11" s="46">
        <f t="shared" si="9"/>
        <v>20.81447963800905</v>
      </c>
      <c r="E11" s="46">
        <f t="shared" si="10"/>
        <v>85.520361990950221</v>
      </c>
      <c r="F11" s="46">
        <f t="shared" si="11"/>
        <v>96.380090497737555</v>
      </c>
      <c r="G11" s="46" t="str">
        <f t="shared" si="12"/>
        <v>80 - 90</v>
      </c>
      <c r="H11" s="529">
        <f t="shared" si="13"/>
        <v>20.81447963800905</v>
      </c>
      <c r="I11" s="558">
        <f t="shared" si="14"/>
        <v>64.705882352941174</v>
      </c>
      <c r="J11" s="557">
        <f t="shared" si="15"/>
        <v>10.859728506787334</v>
      </c>
      <c r="K11" s="557">
        <f t="shared" si="16"/>
        <v>96.380090497737555</v>
      </c>
      <c r="L11" s="557">
        <v>80</v>
      </c>
      <c r="M11" s="405">
        <v>0</v>
      </c>
      <c r="N11" s="405">
        <v>221</v>
      </c>
      <c r="O11" s="405">
        <v>46</v>
      </c>
      <c r="P11" s="405">
        <v>221</v>
      </c>
      <c r="Q11" s="405">
        <v>143</v>
      </c>
      <c r="R11" s="405">
        <v>221</v>
      </c>
      <c r="S11" s="405">
        <v>24</v>
      </c>
      <c r="T11" s="405">
        <v>221</v>
      </c>
      <c r="U11" s="405">
        <v>213</v>
      </c>
      <c r="V11" s="405">
        <v>221</v>
      </c>
    </row>
    <row r="12" spans="1:22">
      <c r="A12" s="45" t="s">
        <v>28</v>
      </c>
      <c r="B12" s="45" t="s">
        <v>63</v>
      </c>
      <c r="C12" s="46">
        <f t="shared" si="8"/>
        <v>4.3478260869565215</v>
      </c>
      <c r="D12" s="46">
        <f t="shared" si="9"/>
        <v>18.840579710144929</v>
      </c>
      <c r="E12" s="46">
        <f t="shared" si="10"/>
        <v>86.956521739130437</v>
      </c>
      <c r="F12" s="46">
        <f t="shared" si="11"/>
        <v>96.376811594202891</v>
      </c>
      <c r="G12" s="46" t="str">
        <f t="shared" si="12"/>
        <v>80 - 92</v>
      </c>
      <c r="H12" s="529">
        <f t="shared" si="13"/>
        <v>14.492753623188408</v>
      </c>
      <c r="I12" s="558">
        <f t="shared" si="14"/>
        <v>68.115942028985501</v>
      </c>
      <c r="J12" s="557">
        <f t="shared" si="15"/>
        <v>9.4202898550724541</v>
      </c>
      <c r="K12" s="557">
        <f t="shared" si="16"/>
        <v>96.376811594202891</v>
      </c>
      <c r="L12" s="557">
        <v>80</v>
      </c>
      <c r="M12" s="405">
        <v>6</v>
      </c>
      <c r="N12" s="405">
        <v>138</v>
      </c>
      <c r="O12" s="405">
        <v>20</v>
      </c>
      <c r="P12" s="405">
        <v>138</v>
      </c>
      <c r="Q12" s="405">
        <v>94</v>
      </c>
      <c r="R12" s="405">
        <v>138</v>
      </c>
      <c r="S12" s="405">
        <v>13</v>
      </c>
      <c r="T12" s="405">
        <v>138</v>
      </c>
      <c r="U12" s="405">
        <v>133</v>
      </c>
      <c r="V12" s="405">
        <v>138</v>
      </c>
    </row>
    <row r="13" spans="1:22">
      <c r="A13" s="45" t="s">
        <v>60</v>
      </c>
      <c r="B13" s="45" t="s">
        <v>61</v>
      </c>
      <c r="C13" s="46">
        <f t="shared" si="8"/>
        <v>9.1428571428571423</v>
      </c>
      <c r="D13" s="46">
        <f t="shared" si="9"/>
        <v>44.571428571428569</v>
      </c>
      <c r="E13" s="46">
        <f t="shared" si="10"/>
        <v>87.428571428571431</v>
      </c>
      <c r="F13" s="46">
        <f t="shared" si="11"/>
        <v>96</v>
      </c>
      <c r="G13" s="46" t="str">
        <f t="shared" si="12"/>
        <v>82 - 92</v>
      </c>
      <c r="H13" s="529">
        <f t="shared" si="13"/>
        <v>35.428571428571431</v>
      </c>
      <c r="I13" s="558">
        <f t="shared" si="14"/>
        <v>42.857142857142861</v>
      </c>
      <c r="J13" s="557">
        <f t="shared" si="15"/>
        <v>8.5714285714285694</v>
      </c>
      <c r="K13" s="557">
        <f t="shared" si="16"/>
        <v>96</v>
      </c>
      <c r="L13" s="557">
        <v>80</v>
      </c>
      <c r="M13" s="405">
        <v>16</v>
      </c>
      <c r="N13" s="405">
        <v>175</v>
      </c>
      <c r="O13" s="405">
        <v>62</v>
      </c>
      <c r="P13" s="405">
        <v>175</v>
      </c>
      <c r="Q13" s="405">
        <v>75</v>
      </c>
      <c r="R13" s="405">
        <v>175</v>
      </c>
      <c r="S13" s="405">
        <v>15</v>
      </c>
      <c r="T13" s="405">
        <v>175</v>
      </c>
      <c r="U13" s="405">
        <v>168</v>
      </c>
      <c r="V13" s="405">
        <v>175</v>
      </c>
    </row>
    <row r="14" spans="1:22">
      <c r="A14" s="45" t="s">
        <v>174</v>
      </c>
      <c r="B14" s="45" t="s">
        <v>71</v>
      </c>
      <c r="C14" s="46">
        <f t="shared" si="8"/>
        <v>36.071428571428569</v>
      </c>
      <c r="D14" s="46">
        <f t="shared" si="9"/>
        <v>54.642857142857139</v>
      </c>
      <c r="E14" s="46">
        <f t="shared" si="10"/>
        <v>85</v>
      </c>
      <c r="F14" s="46">
        <f t="shared" si="11"/>
        <v>95.357142857142861</v>
      </c>
      <c r="G14" s="46" t="str">
        <f t="shared" si="12"/>
        <v>80 - 89</v>
      </c>
      <c r="H14" s="529">
        <f t="shared" si="13"/>
        <v>18.571428571428569</v>
      </c>
      <c r="I14" s="558">
        <f t="shared" si="14"/>
        <v>30.357142857142861</v>
      </c>
      <c r="J14" s="557">
        <f t="shared" si="15"/>
        <v>10.357142857142861</v>
      </c>
      <c r="K14" s="557">
        <f t="shared" si="16"/>
        <v>95.357142857142861</v>
      </c>
      <c r="L14" s="557">
        <v>80</v>
      </c>
      <c r="M14" s="405">
        <v>101</v>
      </c>
      <c r="N14" s="405">
        <v>280</v>
      </c>
      <c r="O14" s="405">
        <v>52</v>
      </c>
      <c r="P14" s="405">
        <v>280</v>
      </c>
      <c r="Q14" s="405">
        <v>85</v>
      </c>
      <c r="R14" s="405">
        <v>280</v>
      </c>
      <c r="S14" s="405">
        <v>29</v>
      </c>
      <c r="T14" s="405">
        <v>280</v>
      </c>
      <c r="U14" s="405">
        <v>267</v>
      </c>
      <c r="V14" s="405">
        <v>280</v>
      </c>
    </row>
    <row r="15" spans="1:22" s="773" customFormat="1">
      <c r="A15" s="45" t="s">
        <v>172</v>
      </c>
      <c r="B15" s="45" t="s">
        <v>173</v>
      </c>
      <c r="C15" s="46">
        <f t="shared" si="8"/>
        <v>1.1111111111111112</v>
      </c>
      <c r="D15" s="46">
        <f t="shared" si="9"/>
        <v>20</v>
      </c>
      <c r="E15" s="46">
        <f t="shared" si="10"/>
        <v>56.111111111111114</v>
      </c>
      <c r="F15" s="46">
        <f t="shared" si="11"/>
        <v>95</v>
      </c>
      <c r="G15" s="46" t="str">
        <f t="shared" si="12"/>
        <v>49 - 63</v>
      </c>
      <c r="H15" s="529">
        <f t="shared" si="13"/>
        <v>18.888888888888889</v>
      </c>
      <c r="I15" s="558">
        <f t="shared" si="14"/>
        <v>36.111111111111114</v>
      </c>
      <c r="J15" s="557">
        <f t="shared" si="15"/>
        <v>38.888888888888886</v>
      </c>
      <c r="K15" s="557">
        <f t="shared" si="16"/>
        <v>95</v>
      </c>
      <c r="L15" s="557">
        <v>80</v>
      </c>
      <c r="M15" s="405">
        <v>2</v>
      </c>
      <c r="N15" s="405">
        <v>180</v>
      </c>
      <c r="O15" s="405">
        <v>34</v>
      </c>
      <c r="P15" s="405">
        <v>180</v>
      </c>
      <c r="Q15" s="405">
        <v>65</v>
      </c>
      <c r="R15" s="405">
        <v>180</v>
      </c>
      <c r="S15" s="405">
        <v>70</v>
      </c>
      <c r="T15" s="405">
        <v>180</v>
      </c>
      <c r="U15" s="405">
        <v>171</v>
      </c>
      <c r="V15" s="405">
        <v>180</v>
      </c>
    </row>
    <row r="16" spans="1:22">
      <c r="A16" s="45" t="s">
        <v>175</v>
      </c>
      <c r="B16" s="45" t="s">
        <v>75</v>
      </c>
      <c r="C16" s="46">
        <f t="shared" si="8"/>
        <v>18.025751072961373</v>
      </c>
      <c r="D16" s="46">
        <f t="shared" si="9"/>
        <v>35.836909871244636</v>
      </c>
      <c r="E16" s="46">
        <f t="shared" si="10"/>
        <v>69.742489270386272</v>
      </c>
      <c r="F16" s="46">
        <f t="shared" si="11"/>
        <v>93.776824034334766</v>
      </c>
      <c r="G16" s="46" t="str">
        <f t="shared" si="12"/>
        <v>65 - 74</v>
      </c>
      <c r="H16" s="529">
        <f t="shared" si="13"/>
        <v>17.811158798283262</v>
      </c>
      <c r="I16" s="558">
        <f t="shared" si="14"/>
        <v>33.905579399141637</v>
      </c>
      <c r="J16" s="557">
        <f t="shared" si="15"/>
        <v>24.034334763948493</v>
      </c>
      <c r="K16" s="557">
        <f t="shared" si="16"/>
        <v>93.776824034334766</v>
      </c>
      <c r="L16" s="557">
        <v>80</v>
      </c>
      <c r="M16" s="405">
        <v>84</v>
      </c>
      <c r="N16" s="405">
        <v>466</v>
      </c>
      <c r="O16" s="405">
        <v>83</v>
      </c>
      <c r="P16" s="405">
        <v>466</v>
      </c>
      <c r="Q16" s="405">
        <v>158</v>
      </c>
      <c r="R16" s="405">
        <v>466</v>
      </c>
      <c r="S16" s="405">
        <v>112</v>
      </c>
      <c r="T16" s="405">
        <v>466</v>
      </c>
      <c r="U16" s="405">
        <v>437</v>
      </c>
      <c r="V16" s="405">
        <v>466</v>
      </c>
    </row>
    <row r="17" spans="1:22">
      <c r="A17" s="45" t="s">
        <v>112</v>
      </c>
      <c r="B17" s="45" t="s">
        <v>113</v>
      </c>
      <c r="C17" s="46">
        <f t="shared" si="8"/>
        <v>6.9364161849710975</v>
      </c>
      <c r="D17" s="46">
        <f t="shared" si="9"/>
        <v>21.387283236994222</v>
      </c>
      <c r="E17" s="46">
        <f t="shared" si="10"/>
        <v>80.924855491329481</v>
      </c>
      <c r="F17" s="46">
        <f t="shared" si="11"/>
        <v>92.48554913294798</v>
      </c>
      <c r="G17" s="46" t="str">
        <f t="shared" si="12"/>
        <v>74 - 86</v>
      </c>
      <c r="H17" s="529">
        <f t="shared" si="13"/>
        <v>14.450867052023124</v>
      </c>
      <c r="I17" s="558">
        <f t="shared" si="14"/>
        <v>59.537572254335259</v>
      </c>
      <c r="J17" s="557">
        <f t="shared" si="15"/>
        <v>11.560693641618499</v>
      </c>
      <c r="K17" s="557">
        <f t="shared" si="16"/>
        <v>92.48554913294798</v>
      </c>
      <c r="L17" s="557">
        <v>80</v>
      </c>
      <c r="M17" s="405">
        <v>12</v>
      </c>
      <c r="N17" s="405">
        <v>173</v>
      </c>
      <c r="O17" s="405">
        <v>25</v>
      </c>
      <c r="P17" s="405">
        <v>173</v>
      </c>
      <c r="Q17" s="405">
        <v>103</v>
      </c>
      <c r="R17" s="405">
        <v>173</v>
      </c>
      <c r="S17" s="405">
        <v>20</v>
      </c>
      <c r="T17" s="405">
        <v>173</v>
      </c>
      <c r="U17" s="405">
        <v>160</v>
      </c>
      <c r="V17" s="405">
        <v>173</v>
      </c>
    </row>
    <row r="18" spans="1:22">
      <c r="A18" s="45" t="s">
        <v>95</v>
      </c>
      <c r="B18" s="45" t="s">
        <v>96</v>
      </c>
      <c r="C18" s="46">
        <f t="shared" si="8"/>
        <v>31.578947368421051</v>
      </c>
      <c r="D18" s="46">
        <f t="shared" si="9"/>
        <v>36.84210526315789</v>
      </c>
      <c r="E18" s="46">
        <f t="shared" si="10"/>
        <v>76.31578947368422</v>
      </c>
      <c r="F18" s="46">
        <f t="shared" si="11"/>
        <v>92.10526315789474</v>
      </c>
      <c r="G18" s="46" t="str">
        <f t="shared" si="12"/>
        <v>61 - 87</v>
      </c>
      <c r="H18" s="529">
        <f t="shared" si="13"/>
        <v>5.2631578947368389</v>
      </c>
      <c r="I18" s="558">
        <f t="shared" si="14"/>
        <v>39.473684210526329</v>
      </c>
      <c r="J18" s="557">
        <f t="shared" si="15"/>
        <v>15.78947368421052</v>
      </c>
      <c r="K18" s="557">
        <f t="shared" si="16"/>
        <v>92.10526315789474</v>
      </c>
      <c r="L18" s="557">
        <v>80</v>
      </c>
      <c r="M18" s="405">
        <v>12</v>
      </c>
      <c r="N18" s="405">
        <v>38</v>
      </c>
      <c r="O18" s="405">
        <v>2</v>
      </c>
      <c r="P18" s="405">
        <v>38</v>
      </c>
      <c r="Q18" s="405">
        <v>15</v>
      </c>
      <c r="R18" s="405">
        <v>38</v>
      </c>
      <c r="S18" s="405">
        <v>6</v>
      </c>
      <c r="T18" s="405">
        <v>38</v>
      </c>
      <c r="U18" s="405">
        <v>35</v>
      </c>
      <c r="V18" s="405">
        <v>38</v>
      </c>
    </row>
    <row r="19" spans="1:22">
      <c r="A19" s="45" t="s">
        <v>127</v>
      </c>
      <c r="B19" s="45" t="s">
        <v>128</v>
      </c>
      <c r="C19" s="46">
        <f t="shared" si="8"/>
        <v>1.834862385321101</v>
      </c>
      <c r="D19" s="46">
        <f t="shared" si="9"/>
        <v>18.348623853211009</v>
      </c>
      <c r="E19" s="46">
        <f t="shared" si="10"/>
        <v>68.807339449541288</v>
      </c>
      <c r="F19" s="46">
        <f t="shared" si="11"/>
        <v>88.9908256880734</v>
      </c>
      <c r="G19" s="46" t="str">
        <f t="shared" si="12"/>
        <v>60 - 77</v>
      </c>
      <c r="H19" s="529">
        <f t="shared" si="13"/>
        <v>16.513761467889907</v>
      </c>
      <c r="I19" s="558">
        <f t="shared" si="14"/>
        <v>50.458715596330279</v>
      </c>
      <c r="J19" s="557">
        <f t="shared" si="15"/>
        <v>20.183486238532112</v>
      </c>
      <c r="K19" s="557">
        <f t="shared" si="16"/>
        <v>88.9908256880734</v>
      </c>
      <c r="L19" s="557">
        <v>80</v>
      </c>
      <c r="M19" s="405">
        <v>2</v>
      </c>
      <c r="N19" s="405">
        <v>109</v>
      </c>
      <c r="O19" s="405">
        <v>18</v>
      </c>
      <c r="P19" s="405">
        <v>109</v>
      </c>
      <c r="Q19" s="405">
        <v>55</v>
      </c>
      <c r="R19" s="405">
        <v>109</v>
      </c>
      <c r="S19" s="405">
        <v>22</v>
      </c>
      <c r="T19" s="405">
        <v>109</v>
      </c>
      <c r="U19" s="405">
        <v>97</v>
      </c>
      <c r="V19" s="405">
        <v>109</v>
      </c>
    </row>
    <row r="20" spans="1:22">
      <c r="A20" s="45" t="s">
        <v>98</v>
      </c>
      <c r="B20" s="45" t="s">
        <v>99</v>
      </c>
      <c r="C20" s="46">
        <f t="shared" si="8"/>
        <v>7.098765432098765</v>
      </c>
      <c r="D20" s="46">
        <f t="shared" si="9"/>
        <v>19.753086419753085</v>
      </c>
      <c r="E20" s="46">
        <f t="shared" si="10"/>
        <v>75.925925925925924</v>
      </c>
      <c r="F20" s="46">
        <f t="shared" si="11"/>
        <v>87.037037037037038</v>
      </c>
      <c r="G20" s="46" t="str">
        <f t="shared" si="12"/>
        <v>71 - 80</v>
      </c>
      <c r="H20" s="529">
        <f t="shared" si="13"/>
        <v>12.654320987654319</v>
      </c>
      <c r="I20" s="558">
        <f t="shared" si="14"/>
        <v>56.172839506172835</v>
      </c>
      <c r="J20" s="557">
        <f t="shared" si="15"/>
        <v>11.111111111111114</v>
      </c>
      <c r="K20" s="557">
        <f t="shared" si="16"/>
        <v>87.037037037037038</v>
      </c>
      <c r="L20" s="557">
        <v>80</v>
      </c>
      <c r="M20" s="405">
        <v>23</v>
      </c>
      <c r="N20" s="405">
        <v>324</v>
      </c>
      <c r="O20" s="405">
        <v>41</v>
      </c>
      <c r="P20" s="405">
        <v>324</v>
      </c>
      <c r="Q20" s="405">
        <v>182</v>
      </c>
      <c r="R20" s="405">
        <v>324</v>
      </c>
      <c r="S20" s="405">
        <v>36</v>
      </c>
      <c r="T20" s="405">
        <v>324</v>
      </c>
      <c r="U20" s="405">
        <v>282</v>
      </c>
      <c r="V20" s="405">
        <v>324</v>
      </c>
    </row>
    <row r="21" spans="1:22">
      <c r="A21" s="45" t="s">
        <v>77</v>
      </c>
      <c r="B21" s="45" t="s">
        <v>78</v>
      </c>
      <c r="C21" s="46">
        <f t="shared" si="8"/>
        <v>39.622641509433961</v>
      </c>
      <c r="D21" s="46">
        <f t="shared" si="9"/>
        <v>50.943396226415096</v>
      </c>
      <c r="E21" s="46">
        <f t="shared" si="10"/>
        <v>66.037735849056602</v>
      </c>
      <c r="F21" s="46">
        <f t="shared" si="11"/>
        <v>81.132075471698116</v>
      </c>
      <c r="G21" s="46" t="str">
        <f t="shared" si="12"/>
        <v>53 - 77</v>
      </c>
      <c r="H21" s="529">
        <f t="shared" si="13"/>
        <v>11.320754716981135</v>
      </c>
      <c r="I21" s="558">
        <f t="shared" si="14"/>
        <v>15.094339622641506</v>
      </c>
      <c r="J21" s="557">
        <f t="shared" si="15"/>
        <v>15.094339622641513</v>
      </c>
      <c r="K21" s="557">
        <f t="shared" si="16"/>
        <v>81.132075471698116</v>
      </c>
      <c r="L21" s="557">
        <v>80</v>
      </c>
      <c r="M21" s="405">
        <v>21</v>
      </c>
      <c r="N21" s="405">
        <v>53</v>
      </c>
      <c r="O21" s="405">
        <v>6</v>
      </c>
      <c r="P21" s="405">
        <v>53</v>
      </c>
      <c r="Q21" s="405">
        <v>8</v>
      </c>
      <c r="R21" s="405">
        <v>53</v>
      </c>
      <c r="S21" s="405">
        <v>8</v>
      </c>
      <c r="T21" s="405">
        <v>53</v>
      </c>
      <c r="U21" s="405">
        <v>43</v>
      </c>
      <c r="V21" s="405">
        <v>53</v>
      </c>
    </row>
    <row r="22" spans="1:22">
      <c r="A22" s="45" t="s">
        <v>37</v>
      </c>
      <c r="B22" s="45" t="s">
        <v>133</v>
      </c>
      <c r="C22" s="46">
        <f t="shared" si="8"/>
        <v>0</v>
      </c>
      <c r="D22" s="46">
        <f t="shared" si="9"/>
        <v>13.333333333333334</v>
      </c>
      <c r="E22" s="46">
        <f t="shared" si="10"/>
        <v>66.666666666666657</v>
      </c>
      <c r="F22" s="46">
        <f t="shared" si="11"/>
        <v>73.333333333333329</v>
      </c>
      <c r="G22" s="46" t="str">
        <f t="shared" si="12"/>
        <v>42 - 85</v>
      </c>
      <c r="H22" s="526">
        <f t="shared" si="13"/>
        <v>13.333333333333334</v>
      </c>
      <c r="I22" s="556">
        <f t="shared" si="14"/>
        <v>53.333333333333321</v>
      </c>
      <c r="J22" s="555">
        <f t="shared" si="15"/>
        <v>6.6666666666666714</v>
      </c>
      <c r="K22" s="555">
        <f t="shared" si="16"/>
        <v>73.333333333333329</v>
      </c>
      <c r="L22" s="554">
        <v>80</v>
      </c>
      <c r="M22" s="405">
        <v>0</v>
      </c>
      <c r="N22" s="405">
        <v>15</v>
      </c>
      <c r="O22" s="405">
        <v>2</v>
      </c>
      <c r="P22" s="405">
        <v>15</v>
      </c>
      <c r="Q22" s="405">
        <v>8</v>
      </c>
      <c r="R22" s="405">
        <v>15</v>
      </c>
      <c r="S22" s="405">
        <v>1</v>
      </c>
      <c r="T22" s="405">
        <v>15</v>
      </c>
      <c r="U22" s="405">
        <v>11</v>
      </c>
      <c r="V22" s="405">
        <v>15</v>
      </c>
    </row>
    <row r="23" spans="1:22">
      <c r="A23" s="51"/>
      <c r="C23" s="34"/>
      <c r="D23" s="34"/>
      <c r="E23" s="34"/>
      <c r="F23" s="34"/>
      <c r="G23" s="34"/>
      <c r="H23" s="34"/>
    </row>
    <row r="24" spans="1:22">
      <c r="A24" s="51"/>
      <c r="C24" s="34"/>
      <c r="D24" s="34"/>
      <c r="E24" s="34"/>
      <c r="F24" s="34"/>
      <c r="G24" s="34"/>
      <c r="H24" s="34"/>
    </row>
    <row r="25" spans="1:22" ht="38.25" customHeight="1">
      <c r="A25" s="1083" t="s">
        <v>135</v>
      </c>
      <c r="B25" s="1084"/>
      <c r="C25" s="983" t="str">
        <f>E2</f>
        <v>Within 4 Days</v>
      </c>
      <c r="D25" s="983"/>
      <c r="E25" s="983"/>
      <c r="F25" s="983"/>
      <c r="G25" s="983"/>
      <c r="H25" s="983"/>
      <c r="I25" s="983"/>
      <c r="J25" s="983"/>
      <c r="K25" s="983"/>
      <c r="L25" s="1085"/>
      <c r="M25" s="1086"/>
      <c r="N25" s="1087"/>
    </row>
    <row r="26" spans="1:22" ht="30" customHeight="1">
      <c r="A26" s="89"/>
      <c r="B26" s="53" t="s">
        <v>137</v>
      </c>
      <c r="C26" s="90" t="s">
        <v>42</v>
      </c>
      <c r="D26" s="90" t="s">
        <v>179</v>
      </c>
      <c r="E26" s="1088" t="str">
        <f>U2</f>
        <v>Numerator</v>
      </c>
      <c r="F26" s="1088"/>
      <c r="G26" s="1089" t="str">
        <f>V2</f>
        <v>Denominator</v>
      </c>
      <c r="H26" s="1089"/>
      <c r="I26" s="1089"/>
      <c r="J26" s="1089"/>
      <c r="K26" s="1089"/>
      <c r="L26" s="1090"/>
      <c r="M26" s="670"/>
      <c r="N26" s="671"/>
      <c r="R26" s="1"/>
    </row>
    <row r="27" spans="1:22" ht="15" customHeight="1">
      <c r="A27" s="1048"/>
      <c r="B27" s="60" t="s">
        <v>33</v>
      </c>
      <c r="C27" s="46">
        <f t="shared" ref="C27:C40" si="17">IF(ISERROR(E27/G27*100),"-",E27/G27*100)</f>
        <v>91.12627986348123</v>
      </c>
      <c r="D27" s="91" t="str">
        <f t="shared" ref="D27:D40" si="18">IF(ISERROR(IF(AND(G27&gt;0,ROUND(SUM(100*((2*E27+1.96^2)-(1.96*(SQRT(1.96^2+4*E27*(1-(E27/G27))))))/(2*(G27+1.96^2))),0)&lt;0),CONCATENATE(SUM(1*0)," - ",ROUND(SUM(100*((2*E27+1.96^2)+(1.96*(SQRT(1.96^2+4*E27*(1-(E27/G27))))))/(2*(G27+1.96^2))),0)),IF(AND(G27&gt;0,ROUND(SUM(100*((2*E27+1.96^2)-(1.96*(SQRT(1.96^2+4*E27*(1-(E27/G27))))))/(2*(G27+1.96^2))),0)&gt;=0),CONCATENATE(ROUND(SUM(100*((2*E27+1.96^2)-(1.96*(SQRT(1.96^2+4*E27*(1-(E27/G27))))))/(2*(G27+1.96^2))),0)," - ",ROUND(SUM(100*((2*E27+1.96^2)+(1.96*(SQRT(1.96^2+4*E27*(1-(E27/G27))))))/(2*(G27+1.96^2))),0)),""))),"-",IF(AND(G27&gt;0,ROUND(SUM(100*((2*E27+1.96^2)-(1.96*(SQRT(1.96^2+4*E27*(1-(E27/G27))))))/(2*(G27+1.96^2))),0)&lt;0),CONCATENATE(SUM(1*0)," - ",ROUND(SUM(100*((2*E27+1.96^2)+(1.96*(SQRT(1.96^2+4*E27*(1-(E27/G27))))))/(2*(G27+1.96^2))),0)),IF(AND(G27&gt;0,ROUND(SUM(100*((2*E27+1.96^2)-(1.96*(SQRT(1.96^2+4*E27*(1-(E27/G27))))))/(2*(G27+1.96^2))),0)&gt;=0),CONCATENATE(ROUND(SUM(100*((2*E27+1.96^2)-(1.96*(SQRT(1.96^2+4*E27*(1-(E27/G27))))))/(2*(G27+1.96^2))),0)," - ",ROUND(SUM(100*((2*E27+1.96^2)+(1.96*(SQRT(1.96^2+4*E27*(1-(E27/G27))))))/(2*(G27+1.96^2))),0)),"")))</f>
        <v>87 - 94</v>
      </c>
      <c r="E27" s="1092">
        <v>267</v>
      </c>
      <c r="F27" s="1093"/>
      <c r="G27" s="1094">
        <v>293</v>
      </c>
      <c r="H27" s="1095"/>
      <c r="I27" s="1095"/>
      <c r="J27" s="1095"/>
      <c r="K27" s="1095"/>
      <c r="L27" s="1096"/>
      <c r="M27" s="366">
        <f t="shared" ref="M27:M36" si="19">SUM(1*MID(D27,1,FIND(" - ",D27)-1))</f>
        <v>87</v>
      </c>
      <c r="N27" s="365">
        <f t="shared" ref="N27:N36" si="20">SUM(1*MID(D27,FIND(" - ",D27)+2,LEN(D27)))</f>
        <v>94</v>
      </c>
      <c r="R27" s="1"/>
    </row>
    <row r="28" spans="1:22" ht="15" customHeight="1">
      <c r="A28" s="1049"/>
      <c r="B28" s="60" t="s">
        <v>28</v>
      </c>
      <c r="C28" s="46">
        <f t="shared" si="17"/>
        <v>86.956521739130437</v>
      </c>
      <c r="D28" s="91" t="str">
        <f t="shared" si="18"/>
        <v>80 - 92</v>
      </c>
      <c r="E28" s="1092">
        <v>120</v>
      </c>
      <c r="F28" s="1093"/>
      <c r="G28" s="1092">
        <v>138</v>
      </c>
      <c r="H28" s="1097"/>
      <c r="I28" s="1097"/>
      <c r="J28" s="1097"/>
      <c r="K28" s="1097"/>
      <c r="L28" s="1093"/>
      <c r="M28" s="361">
        <f t="shared" si="19"/>
        <v>80</v>
      </c>
      <c r="N28" s="360">
        <f t="shared" si="20"/>
        <v>92</v>
      </c>
      <c r="P28" s="364"/>
      <c r="Q28" s="364"/>
      <c r="R28" s="364"/>
    </row>
    <row r="29" spans="1:22" ht="15" customHeight="1">
      <c r="A29" s="1049"/>
      <c r="B29" s="60" t="s">
        <v>31</v>
      </c>
      <c r="C29" s="46">
        <f t="shared" si="17"/>
        <v>84.974093264248708</v>
      </c>
      <c r="D29" s="91" t="str">
        <f t="shared" si="18"/>
        <v>79 - 89</v>
      </c>
      <c r="E29" s="1092">
        <v>164</v>
      </c>
      <c r="F29" s="1093"/>
      <c r="G29" s="1092">
        <v>193</v>
      </c>
      <c r="H29" s="1097"/>
      <c r="I29" s="1097"/>
      <c r="J29" s="1097"/>
      <c r="K29" s="1097"/>
      <c r="L29" s="1093"/>
      <c r="M29" s="361">
        <f t="shared" si="19"/>
        <v>79</v>
      </c>
      <c r="N29" s="360">
        <f t="shared" si="20"/>
        <v>89</v>
      </c>
      <c r="R29" s="1"/>
    </row>
    <row r="30" spans="1:22" ht="15" customHeight="1">
      <c r="A30" s="1049"/>
      <c r="B30" s="60" t="s">
        <v>30</v>
      </c>
      <c r="C30" s="46">
        <f t="shared" si="17"/>
        <v>73.695652173913047</v>
      </c>
      <c r="D30" s="91" t="str">
        <f t="shared" si="18"/>
        <v>69 - 78</v>
      </c>
      <c r="E30" s="1092">
        <v>339</v>
      </c>
      <c r="F30" s="1093"/>
      <c r="G30" s="1092">
        <v>460</v>
      </c>
      <c r="H30" s="1097"/>
      <c r="I30" s="1097"/>
      <c r="J30" s="1097"/>
      <c r="K30" s="1097"/>
      <c r="L30" s="1093"/>
      <c r="M30" s="361">
        <f t="shared" si="19"/>
        <v>69</v>
      </c>
      <c r="N30" s="360">
        <f t="shared" si="20"/>
        <v>78</v>
      </c>
    </row>
    <row r="31" spans="1:22" ht="15" customHeight="1">
      <c r="A31" s="1049"/>
      <c r="B31" s="60" t="s">
        <v>35</v>
      </c>
      <c r="C31" s="46">
        <f t="shared" si="17"/>
        <v>93.288590604026851</v>
      </c>
      <c r="D31" s="91" t="str">
        <f t="shared" si="18"/>
        <v>90 - 96</v>
      </c>
      <c r="E31" s="1092">
        <v>278</v>
      </c>
      <c r="F31" s="1093"/>
      <c r="G31" s="1092">
        <v>298</v>
      </c>
      <c r="H31" s="1097"/>
      <c r="I31" s="1097"/>
      <c r="J31" s="1097"/>
      <c r="K31" s="1097"/>
      <c r="L31" s="1093"/>
      <c r="M31" s="361">
        <f t="shared" si="19"/>
        <v>90</v>
      </c>
      <c r="N31" s="360">
        <f t="shared" si="20"/>
        <v>96</v>
      </c>
    </row>
    <row r="32" spans="1:22" ht="15" customHeight="1">
      <c r="A32" s="1049"/>
      <c r="B32" s="60" t="s">
        <v>34</v>
      </c>
      <c r="C32" s="46">
        <f t="shared" si="17"/>
        <v>69.364161849710982</v>
      </c>
      <c r="D32" s="91" t="str">
        <f t="shared" si="18"/>
        <v>65 - 73</v>
      </c>
      <c r="E32" s="1092">
        <v>360</v>
      </c>
      <c r="F32" s="1093"/>
      <c r="G32" s="1092">
        <v>519</v>
      </c>
      <c r="H32" s="1097"/>
      <c r="I32" s="1097"/>
      <c r="J32" s="1097"/>
      <c r="K32" s="1097"/>
      <c r="L32" s="1093"/>
      <c r="M32" s="361">
        <f t="shared" si="19"/>
        <v>65</v>
      </c>
      <c r="N32" s="360">
        <f t="shared" si="20"/>
        <v>73</v>
      </c>
    </row>
    <row r="33" spans="1:14" ht="15" customHeight="1">
      <c r="A33" s="1049"/>
      <c r="B33" s="60" t="s">
        <v>40</v>
      </c>
      <c r="C33" s="46" t="str">
        <f t="shared" si="17"/>
        <v>-</v>
      </c>
      <c r="D33" s="91" t="str">
        <f t="shared" si="18"/>
        <v>-</v>
      </c>
      <c r="E33" s="1092" t="s">
        <v>262</v>
      </c>
      <c r="F33" s="1093"/>
      <c r="G33" s="1092" t="s">
        <v>262</v>
      </c>
      <c r="H33" s="1097"/>
      <c r="I33" s="1097"/>
      <c r="J33" s="1097"/>
      <c r="K33" s="1097"/>
      <c r="L33" s="1093"/>
      <c r="M33" s="361" t="e">
        <f t="shared" si="19"/>
        <v>#VALUE!</v>
      </c>
      <c r="N33" s="360" t="e">
        <f t="shared" si="20"/>
        <v>#VALUE!</v>
      </c>
    </row>
    <row r="34" spans="1:14" ht="15" customHeight="1">
      <c r="A34" s="1049"/>
      <c r="B34" s="60" t="s">
        <v>36</v>
      </c>
      <c r="C34" s="46">
        <f t="shared" si="17"/>
        <v>75.966850828729278</v>
      </c>
      <c r="D34" s="91" t="str">
        <f t="shared" si="18"/>
        <v>71 - 80</v>
      </c>
      <c r="E34" s="1092">
        <v>275</v>
      </c>
      <c r="F34" s="1093"/>
      <c r="G34" s="1092">
        <v>362</v>
      </c>
      <c r="H34" s="1097"/>
      <c r="I34" s="1097"/>
      <c r="J34" s="1097"/>
      <c r="K34" s="1097"/>
      <c r="L34" s="1093"/>
      <c r="M34" s="361">
        <f t="shared" si="19"/>
        <v>71</v>
      </c>
      <c r="N34" s="360">
        <f t="shared" si="20"/>
        <v>80</v>
      </c>
    </row>
    <row r="35" spans="1:14" ht="15" customHeight="1">
      <c r="A35" s="1049"/>
      <c r="B35" s="60" t="s">
        <v>29</v>
      </c>
      <c r="C35" s="46">
        <f t="shared" si="17"/>
        <v>85.580524344569284</v>
      </c>
      <c r="D35" s="91" t="str">
        <f t="shared" si="18"/>
        <v>82 - 88</v>
      </c>
      <c r="E35" s="1092">
        <v>457</v>
      </c>
      <c r="F35" s="1093"/>
      <c r="G35" s="1092">
        <v>534</v>
      </c>
      <c r="H35" s="1097"/>
      <c r="I35" s="1097"/>
      <c r="J35" s="1097"/>
      <c r="K35" s="1097"/>
      <c r="L35" s="1093"/>
      <c r="M35" s="361">
        <f t="shared" si="19"/>
        <v>82</v>
      </c>
      <c r="N35" s="360">
        <f t="shared" si="20"/>
        <v>88</v>
      </c>
    </row>
    <row r="36" spans="1:14" ht="15" customHeight="1">
      <c r="A36" s="1049"/>
      <c r="B36" s="60" t="s">
        <v>38</v>
      </c>
      <c r="C36" s="46">
        <f t="shared" si="17"/>
        <v>91.677175283732666</v>
      </c>
      <c r="D36" s="91" t="str">
        <f t="shared" si="18"/>
        <v>90 - 93</v>
      </c>
      <c r="E36" s="1092">
        <v>727</v>
      </c>
      <c r="F36" s="1093"/>
      <c r="G36" s="1092">
        <v>793</v>
      </c>
      <c r="H36" s="1097"/>
      <c r="I36" s="1097"/>
      <c r="J36" s="1097"/>
      <c r="K36" s="1097"/>
      <c r="L36" s="1093"/>
      <c r="M36" s="361">
        <f t="shared" si="19"/>
        <v>90</v>
      </c>
      <c r="N36" s="360">
        <f t="shared" si="20"/>
        <v>93</v>
      </c>
    </row>
    <row r="37" spans="1:14" ht="15" customHeight="1">
      <c r="A37" s="1049"/>
      <c r="B37" s="60" t="s">
        <v>41</v>
      </c>
      <c r="C37" s="46">
        <f t="shared" si="17"/>
        <v>0</v>
      </c>
      <c r="D37" s="91" t="str">
        <f t="shared" si="18"/>
        <v>0 - 79</v>
      </c>
      <c r="E37" s="1092">
        <v>0</v>
      </c>
      <c r="F37" s="1093"/>
      <c r="G37" s="1092">
        <v>1</v>
      </c>
      <c r="H37" s="1097"/>
      <c r="I37" s="1097"/>
      <c r="J37" s="1097"/>
      <c r="K37" s="1097"/>
      <c r="L37" s="1093"/>
      <c r="M37" s="363"/>
      <c r="N37" s="362"/>
    </row>
    <row r="38" spans="1:14" ht="15" customHeight="1">
      <c r="A38" s="1049"/>
      <c r="B38" s="60" t="s">
        <v>39</v>
      </c>
      <c r="C38" s="46" t="str">
        <f t="shared" si="17"/>
        <v>-</v>
      </c>
      <c r="D38" s="91" t="str">
        <f t="shared" si="18"/>
        <v>-</v>
      </c>
      <c r="E38" s="1092" t="s">
        <v>262</v>
      </c>
      <c r="F38" s="1093"/>
      <c r="G38" s="1092" t="s">
        <v>262</v>
      </c>
      <c r="H38" s="1097"/>
      <c r="I38" s="1097"/>
      <c r="J38" s="1097"/>
      <c r="K38" s="1097"/>
      <c r="L38" s="1093"/>
      <c r="M38" s="363"/>
      <c r="N38" s="362"/>
    </row>
    <row r="39" spans="1:14" ht="15" customHeight="1">
      <c r="A39" s="1049"/>
      <c r="B39" s="60" t="s">
        <v>32</v>
      </c>
      <c r="C39" s="46">
        <f t="shared" si="17"/>
        <v>83.333333333333343</v>
      </c>
      <c r="D39" s="91" t="str">
        <f t="shared" si="18"/>
        <v>79 - 87</v>
      </c>
      <c r="E39" s="1092">
        <v>240</v>
      </c>
      <c r="F39" s="1093"/>
      <c r="G39" s="1092">
        <v>288</v>
      </c>
      <c r="H39" s="1097"/>
      <c r="I39" s="1097"/>
      <c r="J39" s="1097"/>
      <c r="K39" s="1097"/>
      <c r="L39" s="1093"/>
      <c r="M39" s="361">
        <f>SUM(1*MID(D39,1,FIND(" - ",D39)-1))</f>
        <v>79</v>
      </c>
      <c r="N39" s="360">
        <f>SUM(1*MID(D39,FIND(" - ",D39)+2,LEN(D39)))</f>
        <v>87</v>
      </c>
    </row>
    <row r="40" spans="1:14" ht="15" customHeight="1">
      <c r="A40" s="1050"/>
      <c r="B40" s="60" t="s">
        <v>37</v>
      </c>
      <c r="C40" s="46">
        <f t="shared" si="17"/>
        <v>66.666666666666657</v>
      </c>
      <c r="D40" s="91" t="str">
        <f t="shared" si="18"/>
        <v>42 - 85</v>
      </c>
      <c r="E40" s="1092">
        <v>10</v>
      </c>
      <c r="F40" s="1093"/>
      <c r="G40" s="1092">
        <v>15</v>
      </c>
      <c r="H40" s="1097"/>
      <c r="I40" s="1097"/>
      <c r="J40" s="1097"/>
      <c r="K40" s="1097"/>
      <c r="L40" s="1093"/>
      <c r="M40" s="361">
        <f>SUM(1*MID(D40,1,FIND(" - ",D40)-1))</f>
        <v>42</v>
      </c>
      <c r="N40" s="360">
        <f>SUM(1*MID(D40,FIND(" - ",D40)+2,LEN(D40)))</f>
        <v>85</v>
      </c>
    </row>
    <row r="41" spans="1:14">
      <c r="A41" s="51"/>
      <c r="C41" s="34"/>
      <c r="D41" s="34"/>
      <c r="E41" s="34"/>
      <c r="F41" s="34"/>
      <c r="G41" s="34"/>
      <c r="H41" s="34"/>
    </row>
    <row r="42" spans="1:14">
      <c r="A42" s="51"/>
      <c r="C42" s="34"/>
      <c r="D42" s="34"/>
      <c r="E42" s="34"/>
      <c r="F42" s="34"/>
      <c r="G42" s="34"/>
      <c r="H42" s="34"/>
    </row>
    <row r="43" spans="1:14">
      <c r="A43" s="51"/>
      <c r="C43" s="34"/>
      <c r="D43" s="34"/>
      <c r="E43" s="34"/>
      <c r="F43" s="34"/>
      <c r="G43" s="34"/>
      <c r="H43" s="34"/>
    </row>
    <row r="44" spans="1:14">
      <c r="A44" s="51"/>
      <c r="C44" s="34"/>
      <c r="D44" s="34"/>
      <c r="E44" s="34"/>
      <c r="F44" s="34"/>
      <c r="G44" s="34"/>
      <c r="H44" s="34"/>
    </row>
    <row r="45" spans="1:14">
      <c r="A45" s="51"/>
      <c r="C45" s="34"/>
      <c r="D45" s="34"/>
      <c r="E45" s="34"/>
      <c r="F45" s="34"/>
      <c r="G45" s="34"/>
      <c r="H45" s="34"/>
    </row>
    <row r="46" spans="1:14">
      <c r="A46" s="51"/>
      <c r="C46" s="34"/>
      <c r="D46" s="34"/>
      <c r="E46" s="34"/>
      <c r="F46" s="34"/>
      <c r="G46" s="34"/>
      <c r="H46" s="34"/>
    </row>
    <row r="47" spans="1:14">
      <c r="A47" s="51"/>
      <c r="C47" s="34"/>
      <c r="D47" s="34"/>
      <c r="E47" s="34"/>
      <c r="F47" s="34"/>
      <c r="G47" s="34"/>
      <c r="H47" s="34"/>
    </row>
    <row r="48" spans="1:14">
      <c r="A48" s="51"/>
      <c r="C48" s="34"/>
      <c r="D48" s="34"/>
      <c r="E48" s="34"/>
      <c r="F48" s="34"/>
      <c r="G48" s="34"/>
      <c r="H48" s="34"/>
    </row>
  </sheetData>
  <sheetProtection password="B8D9" sheet="1" objects="1" scenarios="1"/>
  <sortState ref="A4:V22">
    <sortCondition descending="1" ref="F4:F22"/>
  </sortState>
  <mergeCells count="41">
    <mergeCell ref="E40:F40"/>
    <mergeCell ref="G40:L40"/>
    <mergeCell ref="E37:F37"/>
    <mergeCell ref="G37:L37"/>
    <mergeCell ref="E38:F38"/>
    <mergeCell ref="G38:L38"/>
    <mergeCell ref="E39:F39"/>
    <mergeCell ref="G39:L39"/>
    <mergeCell ref="G35:L35"/>
    <mergeCell ref="E36:F36"/>
    <mergeCell ref="G36:L36"/>
    <mergeCell ref="E34:F34"/>
    <mergeCell ref="G34:L34"/>
    <mergeCell ref="A27:A40"/>
    <mergeCell ref="E27:F27"/>
    <mergeCell ref="G27:L27"/>
    <mergeCell ref="E28:F28"/>
    <mergeCell ref="G28:L28"/>
    <mergeCell ref="E29:F29"/>
    <mergeCell ref="G29:L29"/>
    <mergeCell ref="E30:F30"/>
    <mergeCell ref="G30:L30"/>
    <mergeCell ref="E31:F31"/>
    <mergeCell ref="G31:L31"/>
    <mergeCell ref="E32:F32"/>
    <mergeCell ref="G32:L32"/>
    <mergeCell ref="E33:F33"/>
    <mergeCell ref="G33:L33"/>
    <mergeCell ref="E35:F35"/>
    <mergeCell ref="U1:V1"/>
    <mergeCell ref="A25:B25"/>
    <mergeCell ref="C25:L25"/>
    <mergeCell ref="M25:N25"/>
    <mergeCell ref="E26:F26"/>
    <mergeCell ref="G26:L26"/>
    <mergeCell ref="A1:B1"/>
    <mergeCell ref="C1:G1"/>
    <mergeCell ref="M1:N1"/>
    <mergeCell ref="O1:P1"/>
    <mergeCell ref="Q1:R1"/>
    <mergeCell ref="S1:T1"/>
  </mergeCells>
  <pageMargins left="0.70866141732283472" right="0.70866141732283472" top="0.74803149606299213" bottom="0.74803149606299213" header="0.31496062992125984" footer="0.31496062992125984"/>
  <pageSetup paperSize="9" scale="57"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47.xml><?xml version="1.0" encoding="utf-8"?>
<worksheet xmlns="http://schemas.openxmlformats.org/spreadsheetml/2006/main" xmlns:r="http://schemas.openxmlformats.org/officeDocument/2006/relationships">
  <sheetPr codeName="Sheet49">
    <pageSetUpPr fitToPage="1"/>
  </sheetPr>
  <dimension ref="B1:O55"/>
  <sheetViews>
    <sheetView zoomScale="80" zoomScaleNormal="80" workbookViewId="0"/>
  </sheetViews>
  <sheetFormatPr defaultRowHeight="15"/>
  <cols>
    <col min="1" max="1" width="2.140625" customWidth="1"/>
  </cols>
  <sheetData>
    <row r="1" spans="2:15">
      <c r="B1" s="833" t="s">
        <v>628</v>
      </c>
      <c r="O1" s="985" t="s">
        <v>45</v>
      </c>
    </row>
    <row r="2" spans="2:15" ht="15" customHeight="1">
      <c r="B2" s="1098" t="s">
        <v>379</v>
      </c>
      <c r="C2" s="1098"/>
      <c r="D2" s="1098"/>
      <c r="E2" s="1098"/>
      <c r="F2" s="1098"/>
      <c r="G2" s="1098"/>
      <c r="H2" s="1098"/>
      <c r="I2" s="1098"/>
      <c r="J2" s="1098"/>
      <c r="K2" s="1098"/>
      <c r="L2" s="1098"/>
      <c r="M2" s="1098"/>
      <c r="O2" s="985"/>
    </row>
    <row r="3" spans="2:15" ht="19.5" customHeight="1">
      <c r="B3" s="1098"/>
      <c r="C3" s="1098"/>
      <c r="D3" s="1098"/>
      <c r="E3" s="1098"/>
      <c r="F3" s="1098"/>
      <c r="G3" s="1098"/>
      <c r="H3" s="1098"/>
      <c r="I3" s="1098"/>
      <c r="J3" s="1098"/>
      <c r="K3" s="1098"/>
      <c r="L3" s="1098"/>
      <c r="M3" s="1098"/>
      <c r="O3" s="985"/>
    </row>
    <row r="4" spans="2:15">
      <c r="O4" s="985"/>
    </row>
    <row r="49" spans="2:14">
      <c r="B49" s="77" t="s">
        <v>407</v>
      </c>
      <c r="C49" s="380"/>
      <c r="D49" s="34"/>
      <c r="E49" s="34"/>
      <c r="F49" s="34"/>
      <c r="G49" s="34"/>
      <c r="H49" s="34"/>
      <c r="I49" s="34"/>
      <c r="J49" s="378"/>
      <c r="K49" s="378"/>
      <c r="L49" s="378"/>
      <c r="M49" s="378"/>
      <c r="N49" s="378"/>
    </row>
    <row r="50" spans="2:14" ht="26.25" customHeight="1">
      <c r="B50" s="972" t="s">
        <v>514</v>
      </c>
      <c r="C50" s="972"/>
      <c r="D50" s="972"/>
      <c r="E50" s="972"/>
      <c r="F50" s="972"/>
      <c r="G50" s="972"/>
      <c r="H50" s="972"/>
      <c r="I50" s="972"/>
      <c r="J50" s="972"/>
      <c r="K50" s="972"/>
      <c r="L50" s="972"/>
      <c r="M50" s="972"/>
      <c r="N50" s="252"/>
    </row>
    <row r="51" spans="2:14" ht="37.5" customHeight="1">
      <c r="B51" s="1081" t="s">
        <v>630</v>
      </c>
      <c r="C51" s="1081"/>
      <c r="D51" s="1081"/>
      <c r="E51" s="1081"/>
      <c r="F51" s="1081"/>
      <c r="G51" s="1081"/>
      <c r="H51" s="1081"/>
      <c r="I51" s="1081"/>
      <c r="J51" s="1081"/>
      <c r="K51" s="1081"/>
      <c r="L51" s="1081"/>
      <c r="M51" s="1081"/>
      <c r="N51" s="1081"/>
    </row>
    <row r="52" spans="2:14">
      <c r="B52" s="50" t="s">
        <v>515</v>
      </c>
      <c r="C52" s="380"/>
      <c r="D52" s="34"/>
      <c r="E52" s="34"/>
      <c r="F52" s="34"/>
      <c r="G52" s="34"/>
      <c r="H52" s="34"/>
      <c r="I52" s="34"/>
      <c r="J52" s="378"/>
      <c r="K52" s="378"/>
      <c r="L52" s="378"/>
      <c r="M52" s="378"/>
      <c r="N52" s="378"/>
    </row>
    <row r="53" spans="2:14">
      <c r="B53" s="383" t="s">
        <v>629</v>
      </c>
    </row>
    <row r="54" spans="2:14">
      <c r="B54" s="382" t="s">
        <v>631</v>
      </c>
    </row>
    <row r="55" spans="2:14">
      <c r="B55" s="382" t="s">
        <v>775</v>
      </c>
    </row>
  </sheetData>
  <sheetProtection password="B8D9" sheet="1" objects="1" scenarios="1"/>
  <mergeCells count="4">
    <mergeCell ref="B2:M3"/>
    <mergeCell ref="B50:M50"/>
    <mergeCell ref="B51:N51"/>
    <mergeCell ref="O1:O4"/>
  </mergeCells>
  <hyperlinks>
    <hyperlink ref="O1:O4" location="'List of Tables &amp; Charts'!A1" display="return to List of Tables &amp; Charts"/>
  </hyperlinks>
  <pageMargins left="0.70866141732283472" right="0.70866141732283472" top="0.74803149606299213" bottom="0.74803149606299213" header="0.31496062992125984" footer="0.31496062992125984"/>
  <pageSetup paperSize="9" scale="58"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48.xml><?xml version="1.0" encoding="utf-8"?>
<worksheet xmlns="http://schemas.openxmlformats.org/spreadsheetml/2006/main" xmlns:r="http://schemas.openxmlformats.org/officeDocument/2006/relationships">
  <sheetPr codeName="Sheet50">
    <pageSetUpPr fitToPage="1"/>
  </sheetPr>
  <dimension ref="A1:P39"/>
  <sheetViews>
    <sheetView workbookViewId="0"/>
  </sheetViews>
  <sheetFormatPr defaultRowHeight="12.75"/>
  <cols>
    <col min="1" max="1" width="1.7109375" style="644" customWidth="1"/>
    <col min="2" max="256" width="9.140625" style="644"/>
    <col min="257" max="257" width="1.7109375" style="644" customWidth="1"/>
    <col min="258" max="512" width="9.140625" style="644"/>
    <col min="513" max="513" width="1.7109375" style="644" customWidth="1"/>
    <col min="514" max="768" width="9.140625" style="644"/>
    <col min="769" max="769" width="1.7109375" style="644" customWidth="1"/>
    <col min="770" max="1024" width="9.140625" style="644"/>
    <col min="1025" max="1025" width="1.7109375" style="644" customWidth="1"/>
    <col min="1026" max="1280" width="9.140625" style="644"/>
    <col min="1281" max="1281" width="1.7109375" style="644" customWidth="1"/>
    <col min="1282" max="1536" width="9.140625" style="644"/>
    <col min="1537" max="1537" width="1.7109375" style="644" customWidth="1"/>
    <col min="1538" max="1792" width="9.140625" style="644"/>
    <col min="1793" max="1793" width="1.7109375" style="644" customWidth="1"/>
    <col min="1794" max="2048" width="9.140625" style="644"/>
    <col min="2049" max="2049" width="1.7109375" style="644" customWidth="1"/>
    <col min="2050" max="2304" width="9.140625" style="644"/>
    <col min="2305" max="2305" width="1.7109375" style="644" customWidth="1"/>
    <col min="2306" max="2560" width="9.140625" style="644"/>
    <col min="2561" max="2561" width="1.7109375" style="644" customWidth="1"/>
    <col min="2562" max="2816" width="9.140625" style="644"/>
    <col min="2817" max="2817" width="1.7109375" style="644" customWidth="1"/>
    <col min="2818" max="3072" width="9.140625" style="644"/>
    <col min="3073" max="3073" width="1.7109375" style="644" customWidth="1"/>
    <col min="3074" max="3328" width="9.140625" style="644"/>
    <col min="3329" max="3329" width="1.7109375" style="644" customWidth="1"/>
    <col min="3330" max="3584" width="9.140625" style="644"/>
    <col min="3585" max="3585" width="1.7109375" style="644" customWidth="1"/>
    <col min="3586" max="3840" width="9.140625" style="644"/>
    <col min="3841" max="3841" width="1.7109375" style="644" customWidth="1"/>
    <col min="3842" max="4096" width="9.140625" style="644"/>
    <col min="4097" max="4097" width="1.7109375" style="644" customWidth="1"/>
    <col min="4098" max="4352" width="9.140625" style="644"/>
    <col min="4353" max="4353" width="1.7109375" style="644" customWidth="1"/>
    <col min="4354" max="4608" width="9.140625" style="644"/>
    <col min="4609" max="4609" width="1.7109375" style="644" customWidth="1"/>
    <col min="4610" max="4864" width="9.140625" style="644"/>
    <col min="4865" max="4865" width="1.7109375" style="644" customWidth="1"/>
    <col min="4866" max="5120" width="9.140625" style="644"/>
    <col min="5121" max="5121" width="1.7109375" style="644" customWidth="1"/>
    <col min="5122" max="5376" width="9.140625" style="644"/>
    <col min="5377" max="5377" width="1.7109375" style="644" customWidth="1"/>
    <col min="5378" max="5632" width="9.140625" style="644"/>
    <col min="5633" max="5633" width="1.7109375" style="644" customWidth="1"/>
    <col min="5634" max="5888" width="9.140625" style="644"/>
    <col min="5889" max="5889" width="1.7109375" style="644" customWidth="1"/>
    <col min="5890" max="6144" width="9.140625" style="644"/>
    <col min="6145" max="6145" width="1.7109375" style="644" customWidth="1"/>
    <col min="6146" max="6400" width="9.140625" style="644"/>
    <col min="6401" max="6401" width="1.7109375" style="644" customWidth="1"/>
    <col min="6402" max="6656" width="9.140625" style="644"/>
    <col min="6657" max="6657" width="1.7109375" style="644" customWidth="1"/>
    <col min="6658" max="6912" width="9.140625" style="644"/>
    <col min="6913" max="6913" width="1.7109375" style="644" customWidth="1"/>
    <col min="6914" max="7168" width="9.140625" style="644"/>
    <col min="7169" max="7169" width="1.7109375" style="644" customWidth="1"/>
    <col min="7170" max="7424" width="9.140625" style="644"/>
    <col min="7425" max="7425" width="1.7109375" style="644" customWidth="1"/>
    <col min="7426" max="7680" width="9.140625" style="644"/>
    <col min="7681" max="7681" width="1.7109375" style="644" customWidth="1"/>
    <col min="7682" max="7936" width="9.140625" style="644"/>
    <col min="7937" max="7937" width="1.7109375" style="644" customWidth="1"/>
    <col min="7938" max="8192" width="9.140625" style="644"/>
    <col min="8193" max="8193" width="1.7109375" style="644" customWidth="1"/>
    <col min="8194" max="8448" width="9.140625" style="644"/>
    <col min="8449" max="8449" width="1.7109375" style="644" customWidth="1"/>
    <col min="8450" max="8704" width="9.140625" style="644"/>
    <col min="8705" max="8705" width="1.7109375" style="644" customWidth="1"/>
    <col min="8706" max="8960" width="9.140625" style="644"/>
    <col min="8961" max="8961" width="1.7109375" style="644" customWidth="1"/>
    <col min="8962" max="9216" width="9.140625" style="644"/>
    <col min="9217" max="9217" width="1.7109375" style="644" customWidth="1"/>
    <col min="9218" max="9472" width="9.140625" style="644"/>
    <col min="9473" max="9473" width="1.7109375" style="644" customWidth="1"/>
    <col min="9474" max="9728" width="9.140625" style="644"/>
    <col min="9729" max="9729" width="1.7109375" style="644" customWidth="1"/>
    <col min="9730" max="9984" width="9.140625" style="644"/>
    <col min="9985" max="9985" width="1.7109375" style="644" customWidth="1"/>
    <col min="9986" max="10240" width="9.140625" style="644"/>
    <col min="10241" max="10241" width="1.7109375" style="644" customWidth="1"/>
    <col min="10242" max="10496" width="9.140625" style="644"/>
    <col min="10497" max="10497" width="1.7109375" style="644" customWidth="1"/>
    <col min="10498" max="10752" width="9.140625" style="644"/>
    <col min="10753" max="10753" width="1.7109375" style="644" customWidth="1"/>
    <col min="10754" max="11008" width="9.140625" style="644"/>
    <col min="11009" max="11009" width="1.7109375" style="644" customWidth="1"/>
    <col min="11010" max="11264" width="9.140625" style="644"/>
    <col min="11265" max="11265" width="1.7109375" style="644" customWidth="1"/>
    <col min="11266" max="11520" width="9.140625" style="644"/>
    <col min="11521" max="11521" width="1.7109375" style="644" customWidth="1"/>
    <col min="11522" max="11776" width="9.140625" style="644"/>
    <col min="11777" max="11777" width="1.7109375" style="644" customWidth="1"/>
    <col min="11778" max="12032" width="9.140625" style="644"/>
    <col min="12033" max="12033" width="1.7109375" style="644" customWidth="1"/>
    <col min="12034" max="12288" width="9.140625" style="644"/>
    <col min="12289" max="12289" width="1.7109375" style="644" customWidth="1"/>
    <col min="12290" max="12544" width="9.140625" style="644"/>
    <col min="12545" max="12545" width="1.7109375" style="644" customWidth="1"/>
    <col min="12546" max="12800" width="9.140625" style="644"/>
    <col min="12801" max="12801" width="1.7109375" style="644" customWidth="1"/>
    <col min="12802" max="13056" width="9.140625" style="644"/>
    <col min="13057" max="13057" width="1.7109375" style="644" customWidth="1"/>
    <col min="13058" max="13312" width="9.140625" style="644"/>
    <col min="13313" max="13313" width="1.7109375" style="644" customWidth="1"/>
    <col min="13314" max="13568" width="9.140625" style="644"/>
    <col min="13569" max="13569" width="1.7109375" style="644" customWidth="1"/>
    <col min="13570" max="13824" width="9.140625" style="644"/>
    <col min="13825" max="13825" width="1.7109375" style="644" customWidth="1"/>
    <col min="13826" max="14080" width="9.140625" style="644"/>
    <col min="14081" max="14081" width="1.7109375" style="644" customWidth="1"/>
    <col min="14082" max="14336" width="9.140625" style="644"/>
    <col min="14337" max="14337" width="1.7109375" style="644" customWidth="1"/>
    <col min="14338" max="14592" width="9.140625" style="644"/>
    <col min="14593" max="14593" width="1.7109375" style="644" customWidth="1"/>
    <col min="14594" max="14848" width="9.140625" style="644"/>
    <col min="14849" max="14849" width="1.7109375" style="644" customWidth="1"/>
    <col min="14850" max="15104" width="9.140625" style="644"/>
    <col min="15105" max="15105" width="1.7109375" style="644" customWidth="1"/>
    <col min="15106" max="15360" width="9.140625" style="644"/>
    <col min="15361" max="15361" width="1.7109375" style="644" customWidth="1"/>
    <col min="15362" max="15616" width="9.140625" style="644"/>
    <col min="15617" max="15617" width="1.7109375" style="644" customWidth="1"/>
    <col min="15618" max="15872" width="9.140625" style="644"/>
    <col min="15873" max="15873" width="1.7109375" style="644" customWidth="1"/>
    <col min="15874" max="16128" width="9.140625" style="644"/>
    <col min="16129" max="16129" width="1.7109375" style="644" customWidth="1"/>
    <col min="16130" max="16384" width="9.140625" style="644"/>
  </cols>
  <sheetData>
    <row r="1" spans="1:16" ht="12.75" customHeight="1">
      <c r="A1" s="1"/>
      <c r="B1" s="969" t="s">
        <v>647</v>
      </c>
      <c r="C1" s="969"/>
      <c r="D1" s="969"/>
      <c r="E1" s="969"/>
      <c r="F1" s="969"/>
      <c r="G1" s="969"/>
      <c r="H1" s="969"/>
      <c r="I1" s="969"/>
      <c r="J1" s="969"/>
      <c r="K1" s="969"/>
      <c r="L1" s="969"/>
      <c r="M1" s="969"/>
      <c r="N1" s="969"/>
      <c r="O1" s="985" t="s">
        <v>45</v>
      </c>
    </row>
    <row r="2" spans="1:16">
      <c r="B2" s="969"/>
      <c r="C2" s="969"/>
      <c r="D2" s="969"/>
      <c r="E2" s="969"/>
      <c r="F2" s="969"/>
      <c r="G2" s="969"/>
      <c r="H2" s="969"/>
      <c r="I2" s="969"/>
      <c r="J2" s="969"/>
      <c r="K2" s="969"/>
      <c r="L2" s="969"/>
      <c r="M2" s="969"/>
      <c r="N2" s="969"/>
      <c r="O2" s="985"/>
    </row>
    <row r="3" spans="1:16" ht="21.75" customHeight="1">
      <c r="B3" s="384" t="s">
        <v>180</v>
      </c>
      <c r="O3" s="985"/>
    </row>
    <row r="4" spans="1:16" ht="12.75" customHeight="1">
      <c r="B4" s="986" t="s">
        <v>623</v>
      </c>
      <c r="C4" s="986"/>
      <c r="D4" s="986"/>
      <c r="E4" s="986"/>
      <c r="F4" s="986"/>
      <c r="G4" s="986"/>
      <c r="H4" s="986"/>
      <c r="I4" s="986"/>
      <c r="J4" s="986"/>
      <c r="K4" s="986"/>
      <c r="L4" s="986"/>
      <c r="M4" s="986"/>
      <c r="P4" s="641"/>
    </row>
    <row r="5" spans="1:16" ht="15" customHeight="1">
      <c r="B5" s="986"/>
      <c r="C5" s="986"/>
      <c r="D5" s="986"/>
      <c r="E5" s="986"/>
      <c r="F5" s="986"/>
      <c r="G5" s="986"/>
      <c r="H5" s="986"/>
      <c r="I5" s="986"/>
      <c r="J5" s="986"/>
      <c r="K5" s="986"/>
      <c r="L5" s="986"/>
      <c r="M5" s="986"/>
      <c r="N5" s="1102" t="s">
        <v>553</v>
      </c>
      <c r="O5" s="1102"/>
    </row>
    <row r="6" spans="1:16">
      <c r="B6" s="642"/>
      <c r="C6" s="642"/>
      <c r="D6" s="642"/>
      <c r="E6" s="642"/>
      <c r="F6" s="642"/>
      <c r="G6" s="642"/>
      <c r="H6" s="642"/>
      <c r="I6" s="642"/>
      <c r="J6" s="642"/>
    </row>
    <row r="12" spans="1:16">
      <c r="P12" s="113"/>
    </row>
    <row r="32" spans="2:15">
      <c r="B32" s="77" t="s">
        <v>534</v>
      </c>
      <c r="C32" s="335"/>
      <c r="D32" s="335"/>
      <c r="E32" s="335"/>
      <c r="F32" s="335"/>
      <c r="G32" s="335"/>
      <c r="H32" s="335"/>
      <c r="I32" s="335"/>
      <c r="J32" s="335"/>
      <c r="K32" s="335"/>
      <c r="L32" s="335"/>
      <c r="M32" s="335"/>
      <c r="N32" s="335"/>
      <c r="O32" s="335"/>
    </row>
    <row r="33" spans="2:15" ht="24.75" customHeight="1">
      <c r="B33" s="1103" t="s">
        <v>256</v>
      </c>
      <c r="C33" s="1104"/>
      <c r="D33" s="1104"/>
      <c r="E33" s="1104"/>
      <c r="F33" s="1104"/>
      <c r="G33" s="1104"/>
      <c r="H33" s="1104"/>
      <c r="I33" s="1104"/>
      <c r="J33" s="1104"/>
      <c r="K33" s="1104"/>
      <c r="L33" s="1104"/>
      <c r="M33" s="1104"/>
      <c r="N33" s="1104"/>
      <c r="O33" s="1104"/>
    </row>
    <row r="34" spans="2:15" ht="15">
      <c r="B34" s="282" t="s">
        <v>257</v>
      </c>
      <c r="C34" s="283"/>
      <c r="D34" s="283"/>
      <c r="E34" s="283"/>
      <c r="F34" s="283"/>
      <c r="G34" s="283"/>
      <c r="H34" s="283"/>
      <c r="I34" s="283"/>
      <c r="J34" s="283"/>
      <c r="K34" s="284"/>
      <c r="L34" s="284"/>
      <c r="M34" s="284"/>
      <c r="N34" s="284"/>
      <c r="O34" s="284"/>
    </row>
    <row r="35" spans="2:15" ht="24.75" customHeight="1">
      <c r="B35" s="1105" t="s">
        <v>258</v>
      </c>
      <c r="C35" s="1104"/>
      <c r="D35" s="1104"/>
      <c r="E35" s="1104"/>
      <c r="F35" s="1104"/>
      <c r="G35" s="1104"/>
      <c r="H35" s="1104"/>
      <c r="I35" s="1104"/>
      <c r="J35" s="1104"/>
      <c r="K35" s="1104"/>
      <c r="L35" s="1104"/>
      <c r="M35" s="1104"/>
      <c r="N35" s="1104"/>
      <c r="O35" s="1104"/>
    </row>
    <row r="36" spans="2:15" ht="30" customHeight="1">
      <c r="B36" s="1099" t="s">
        <v>259</v>
      </c>
      <c r="C36" s="1100"/>
      <c r="D36" s="1100"/>
      <c r="E36" s="1100"/>
      <c r="F36" s="1100"/>
      <c r="G36" s="1100"/>
      <c r="H36" s="1100"/>
      <c r="I36" s="1100"/>
      <c r="J36" s="1100"/>
      <c r="K36" s="1100"/>
      <c r="L36" s="1100"/>
      <c r="M36" s="1100"/>
      <c r="N36" s="1100"/>
      <c r="O36" s="1100"/>
    </row>
    <row r="37" spans="2:15" ht="36.75" customHeight="1">
      <c r="B37" s="1101" t="s">
        <v>255</v>
      </c>
      <c r="C37" s="1101"/>
      <c r="D37" s="1101"/>
      <c r="E37" s="1101"/>
      <c r="F37" s="1101"/>
      <c r="G37" s="1101"/>
      <c r="H37" s="1101"/>
      <c r="I37" s="1101"/>
      <c r="J37" s="1101"/>
      <c r="K37" s="1101"/>
      <c r="L37" s="1101"/>
      <c r="M37" s="1101"/>
      <c r="N37" s="1101"/>
      <c r="O37" s="1101"/>
    </row>
    <row r="38" spans="2:15">
      <c r="B38" s="1101"/>
      <c r="C38" s="1101"/>
      <c r="D38" s="1101"/>
      <c r="E38" s="1101"/>
      <c r="F38" s="1101"/>
      <c r="G38" s="1101"/>
      <c r="H38" s="1101"/>
      <c r="I38" s="1101"/>
      <c r="J38" s="1101"/>
      <c r="K38" s="1101"/>
      <c r="L38" s="1101"/>
      <c r="M38" s="1101"/>
      <c r="N38" s="1101"/>
      <c r="O38" s="1101"/>
    </row>
    <row r="39" spans="2:15">
      <c r="B39" s="1101"/>
      <c r="C39" s="1101"/>
      <c r="D39" s="1101"/>
      <c r="E39" s="1101"/>
      <c r="F39" s="1101"/>
      <c r="G39" s="1101"/>
      <c r="H39" s="1101"/>
      <c r="I39" s="1101"/>
      <c r="J39" s="1101"/>
      <c r="K39" s="1101"/>
      <c r="L39" s="1101"/>
      <c r="M39" s="1101"/>
      <c r="N39" s="1101"/>
      <c r="O39" s="1101"/>
    </row>
  </sheetData>
  <sheetProtection password="B8D9" sheet="1" objects="1" scenarios="1"/>
  <mergeCells count="8">
    <mergeCell ref="B36:O36"/>
    <mergeCell ref="B37:O39"/>
    <mergeCell ref="B1:N2"/>
    <mergeCell ref="O1:O3"/>
    <mergeCell ref="B4:M5"/>
    <mergeCell ref="N5:O5"/>
    <mergeCell ref="B33:O33"/>
    <mergeCell ref="B35:O35"/>
  </mergeCells>
  <hyperlinks>
    <hyperlink ref="O1" location="'List of Tables &amp; Charts'!A1" display="return to List of Tables &amp; Charts"/>
    <hyperlink ref="O4:P4" location="'Chart 1a DATA'!A1" display="view Chart 1a data"/>
    <hyperlink ref="N5:O5" location="'Chart 9 DATA'!A1" display="view Chart 9 data"/>
  </hyperlinks>
  <pageMargins left="0.70866141732283472" right="0.70866141732283472" top="0.74803149606299213" bottom="0.74803149606299213" header="0.31496062992125984" footer="0.31496062992125984"/>
  <pageSetup paperSize="9" scale="87"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49.xml><?xml version="1.0" encoding="utf-8"?>
<worksheet xmlns="http://schemas.openxmlformats.org/spreadsheetml/2006/main" xmlns:r="http://schemas.openxmlformats.org/officeDocument/2006/relationships">
  <sheetPr codeName="Sheet51">
    <pageSetUpPr fitToPage="1"/>
  </sheetPr>
  <dimension ref="A1:X60"/>
  <sheetViews>
    <sheetView zoomScaleNormal="100" workbookViewId="0">
      <selection sqref="A1:A2"/>
    </sheetView>
  </sheetViews>
  <sheetFormatPr defaultRowHeight="11.25"/>
  <cols>
    <col min="1" max="1" width="15.7109375" style="207" customWidth="1"/>
    <col min="2" max="8" width="9.140625" style="207"/>
    <col min="9" max="11" width="9.7109375" style="207" customWidth="1"/>
    <col min="12" max="14" width="9.7109375" style="207" hidden="1" customWidth="1"/>
    <col min="15" max="15" width="10.42578125" style="207" bestFit="1" customWidth="1"/>
    <col min="16" max="16" width="45.7109375" style="207" customWidth="1"/>
    <col min="17" max="20" width="11.7109375" style="310" customWidth="1"/>
    <col min="21" max="256" width="9.140625" style="207"/>
    <col min="257" max="257" width="15.7109375" style="207" customWidth="1"/>
    <col min="258" max="264" width="9.140625" style="207"/>
    <col min="265" max="267" width="9.7109375" style="207" customWidth="1"/>
    <col min="268" max="270" width="0" style="207" hidden="1" customWidth="1"/>
    <col min="271" max="271" width="10.42578125" style="207" bestFit="1" customWidth="1"/>
    <col min="272" max="272" width="45.7109375" style="207" customWidth="1"/>
    <col min="273" max="276" width="11.7109375" style="207" customWidth="1"/>
    <col min="277" max="512" width="9.140625" style="207"/>
    <col min="513" max="513" width="15.7109375" style="207" customWidth="1"/>
    <col min="514" max="520" width="9.140625" style="207"/>
    <col min="521" max="523" width="9.7109375" style="207" customWidth="1"/>
    <col min="524" max="526" width="0" style="207" hidden="1" customWidth="1"/>
    <col min="527" max="527" width="10.42578125" style="207" bestFit="1" customWidth="1"/>
    <col min="528" max="528" width="45.7109375" style="207" customWidth="1"/>
    <col min="529" max="532" width="11.7109375" style="207" customWidth="1"/>
    <col min="533" max="768" width="9.140625" style="207"/>
    <col min="769" max="769" width="15.7109375" style="207" customWidth="1"/>
    <col min="770" max="776" width="9.140625" style="207"/>
    <col min="777" max="779" width="9.7109375" style="207" customWidth="1"/>
    <col min="780" max="782" width="0" style="207" hidden="1" customWidth="1"/>
    <col min="783" max="783" width="10.42578125" style="207" bestFit="1" customWidth="1"/>
    <col min="784" max="784" width="45.7109375" style="207" customWidth="1"/>
    <col min="785" max="788" width="11.7109375" style="207" customWidth="1"/>
    <col min="789" max="1024" width="9.140625" style="207"/>
    <col min="1025" max="1025" width="15.7109375" style="207" customWidth="1"/>
    <col min="1026" max="1032" width="9.140625" style="207"/>
    <col min="1033" max="1035" width="9.7109375" style="207" customWidth="1"/>
    <col min="1036" max="1038" width="0" style="207" hidden="1" customWidth="1"/>
    <col min="1039" max="1039" width="10.42578125" style="207" bestFit="1" customWidth="1"/>
    <col min="1040" max="1040" width="45.7109375" style="207" customWidth="1"/>
    <col min="1041" max="1044" width="11.7109375" style="207" customWidth="1"/>
    <col min="1045" max="1280" width="9.140625" style="207"/>
    <col min="1281" max="1281" width="15.7109375" style="207" customWidth="1"/>
    <col min="1282" max="1288" width="9.140625" style="207"/>
    <col min="1289" max="1291" width="9.7109375" style="207" customWidth="1"/>
    <col min="1292" max="1294" width="0" style="207" hidden="1" customWidth="1"/>
    <col min="1295" max="1295" width="10.42578125" style="207" bestFit="1" customWidth="1"/>
    <col min="1296" max="1296" width="45.7109375" style="207" customWidth="1"/>
    <col min="1297" max="1300" width="11.7109375" style="207" customWidth="1"/>
    <col min="1301" max="1536" width="9.140625" style="207"/>
    <col min="1537" max="1537" width="15.7109375" style="207" customWidth="1"/>
    <col min="1538" max="1544" width="9.140625" style="207"/>
    <col min="1545" max="1547" width="9.7109375" style="207" customWidth="1"/>
    <col min="1548" max="1550" width="0" style="207" hidden="1" customWidth="1"/>
    <col min="1551" max="1551" width="10.42578125" style="207" bestFit="1" customWidth="1"/>
    <col min="1552" max="1552" width="45.7109375" style="207" customWidth="1"/>
    <col min="1553" max="1556" width="11.7109375" style="207" customWidth="1"/>
    <col min="1557" max="1792" width="9.140625" style="207"/>
    <col min="1793" max="1793" width="15.7109375" style="207" customWidth="1"/>
    <col min="1794" max="1800" width="9.140625" style="207"/>
    <col min="1801" max="1803" width="9.7109375" style="207" customWidth="1"/>
    <col min="1804" max="1806" width="0" style="207" hidden="1" customWidth="1"/>
    <col min="1807" max="1807" width="10.42578125" style="207" bestFit="1" customWidth="1"/>
    <col min="1808" max="1808" width="45.7109375" style="207" customWidth="1"/>
    <col min="1809" max="1812" width="11.7109375" style="207" customWidth="1"/>
    <col min="1813" max="2048" width="9.140625" style="207"/>
    <col min="2049" max="2049" width="15.7109375" style="207" customWidth="1"/>
    <col min="2050" max="2056" width="9.140625" style="207"/>
    <col min="2057" max="2059" width="9.7109375" style="207" customWidth="1"/>
    <col min="2060" max="2062" width="0" style="207" hidden="1" customWidth="1"/>
    <col min="2063" max="2063" width="10.42578125" style="207" bestFit="1" customWidth="1"/>
    <col min="2064" max="2064" width="45.7109375" style="207" customWidth="1"/>
    <col min="2065" max="2068" width="11.7109375" style="207" customWidth="1"/>
    <col min="2069" max="2304" width="9.140625" style="207"/>
    <col min="2305" max="2305" width="15.7109375" style="207" customWidth="1"/>
    <col min="2306" max="2312" width="9.140625" style="207"/>
    <col min="2313" max="2315" width="9.7109375" style="207" customWidth="1"/>
    <col min="2316" max="2318" width="0" style="207" hidden="1" customWidth="1"/>
    <col min="2319" max="2319" width="10.42578125" style="207" bestFit="1" customWidth="1"/>
    <col min="2320" max="2320" width="45.7109375" style="207" customWidth="1"/>
    <col min="2321" max="2324" width="11.7109375" style="207" customWidth="1"/>
    <col min="2325" max="2560" width="9.140625" style="207"/>
    <col min="2561" max="2561" width="15.7109375" style="207" customWidth="1"/>
    <col min="2562" max="2568" width="9.140625" style="207"/>
    <col min="2569" max="2571" width="9.7109375" style="207" customWidth="1"/>
    <col min="2572" max="2574" width="0" style="207" hidden="1" customWidth="1"/>
    <col min="2575" max="2575" width="10.42578125" style="207" bestFit="1" customWidth="1"/>
    <col min="2576" max="2576" width="45.7109375" style="207" customWidth="1"/>
    <col min="2577" max="2580" width="11.7109375" style="207" customWidth="1"/>
    <col min="2581" max="2816" width="9.140625" style="207"/>
    <col min="2817" max="2817" width="15.7109375" style="207" customWidth="1"/>
    <col min="2818" max="2824" width="9.140625" style="207"/>
    <col min="2825" max="2827" width="9.7109375" style="207" customWidth="1"/>
    <col min="2828" max="2830" width="0" style="207" hidden="1" customWidth="1"/>
    <col min="2831" max="2831" width="10.42578125" style="207" bestFit="1" customWidth="1"/>
    <col min="2832" max="2832" width="45.7109375" style="207" customWidth="1"/>
    <col min="2833" max="2836" width="11.7109375" style="207" customWidth="1"/>
    <col min="2837" max="3072" width="9.140625" style="207"/>
    <col min="3073" max="3073" width="15.7109375" style="207" customWidth="1"/>
    <col min="3074" max="3080" width="9.140625" style="207"/>
    <col min="3081" max="3083" width="9.7109375" style="207" customWidth="1"/>
    <col min="3084" max="3086" width="0" style="207" hidden="1" customWidth="1"/>
    <col min="3087" max="3087" width="10.42578125" style="207" bestFit="1" customWidth="1"/>
    <col min="3088" max="3088" width="45.7109375" style="207" customWidth="1"/>
    <col min="3089" max="3092" width="11.7109375" style="207" customWidth="1"/>
    <col min="3093" max="3328" width="9.140625" style="207"/>
    <col min="3329" max="3329" width="15.7109375" style="207" customWidth="1"/>
    <col min="3330" max="3336" width="9.140625" style="207"/>
    <col min="3337" max="3339" width="9.7109375" style="207" customWidth="1"/>
    <col min="3340" max="3342" width="0" style="207" hidden="1" customWidth="1"/>
    <col min="3343" max="3343" width="10.42578125" style="207" bestFit="1" customWidth="1"/>
    <col min="3344" max="3344" width="45.7109375" style="207" customWidth="1"/>
    <col min="3345" max="3348" width="11.7109375" style="207" customWidth="1"/>
    <col min="3349" max="3584" width="9.140625" style="207"/>
    <col min="3585" max="3585" width="15.7109375" style="207" customWidth="1"/>
    <col min="3586" max="3592" width="9.140625" style="207"/>
    <col min="3593" max="3595" width="9.7109375" style="207" customWidth="1"/>
    <col min="3596" max="3598" width="0" style="207" hidden="1" customWidth="1"/>
    <col min="3599" max="3599" width="10.42578125" style="207" bestFit="1" customWidth="1"/>
    <col min="3600" max="3600" width="45.7109375" style="207" customWidth="1"/>
    <col min="3601" max="3604" width="11.7109375" style="207" customWidth="1"/>
    <col min="3605" max="3840" width="9.140625" style="207"/>
    <col min="3841" max="3841" width="15.7109375" style="207" customWidth="1"/>
    <col min="3842" max="3848" width="9.140625" style="207"/>
    <col min="3849" max="3851" width="9.7109375" style="207" customWidth="1"/>
    <col min="3852" max="3854" width="0" style="207" hidden="1" customWidth="1"/>
    <col min="3855" max="3855" width="10.42578125" style="207" bestFit="1" customWidth="1"/>
    <col min="3856" max="3856" width="45.7109375" style="207" customWidth="1"/>
    <col min="3857" max="3860" width="11.7109375" style="207" customWidth="1"/>
    <col min="3861" max="4096" width="9.140625" style="207"/>
    <col min="4097" max="4097" width="15.7109375" style="207" customWidth="1"/>
    <col min="4098" max="4104" width="9.140625" style="207"/>
    <col min="4105" max="4107" width="9.7109375" style="207" customWidth="1"/>
    <col min="4108" max="4110" width="0" style="207" hidden="1" customWidth="1"/>
    <col min="4111" max="4111" width="10.42578125" style="207" bestFit="1" customWidth="1"/>
    <col min="4112" max="4112" width="45.7109375" style="207" customWidth="1"/>
    <col min="4113" max="4116" width="11.7109375" style="207" customWidth="1"/>
    <col min="4117" max="4352" width="9.140625" style="207"/>
    <col min="4353" max="4353" width="15.7109375" style="207" customWidth="1"/>
    <col min="4354" max="4360" width="9.140625" style="207"/>
    <col min="4361" max="4363" width="9.7109375" style="207" customWidth="1"/>
    <col min="4364" max="4366" width="0" style="207" hidden="1" customWidth="1"/>
    <col min="4367" max="4367" width="10.42578125" style="207" bestFit="1" customWidth="1"/>
    <col min="4368" max="4368" width="45.7109375" style="207" customWidth="1"/>
    <col min="4369" max="4372" width="11.7109375" style="207" customWidth="1"/>
    <col min="4373" max="4608" width="9.140625" style="207"/>
    <col min="4609" max="4609" width="15.7109375" style="207" customWidth="1"/>
    <col min="4610" max="4616" width="9.140625" style="207"/>
    <col min="4617" max="4619" width="9.7109375" style="207" customWidth="1"/>
    <col min="4620" max="4622" width="0" style="207" hidden="1" customWidth="1"/>
    <col min="4623" max="4623" width="10.42578125" style="207" bestFit="1" customWidth="1"/>
    <col min="4624" max="4624" width="45.7109375" style="207" customWidth="1"/>
    <col min="4625" max="4628" width="11.7109375" style="207" customWidth="1"/>
    <col min="4629" max="4864" width="9.140625" style="207"/>
    <col min="4865" max="4865" width="15.7109375" style="207" customWidth="1"/>
    <col min="4866" max="4872" width="9.140625" style="207"/>
    <col min="4873" max="4875" width="9.7109375" style="207" customWidth="1"/>
    <col min="4876" max="4878" width="0" style="207" hidden="1" customWidth="1"/>
    <col min="4879" max="4879" width="10.42578125" style="207" bestFit="1" customWidth="1"/>
    <col min="4880" max="4880" width="45.7109375" style="207" customWidth="1"/>
    <col min="4881" max="4884" width="11.7109375" style="207" customWidth="1"/>
    <col min="4885" max="5120" width="9.140625" style="207"/>
    <col min="5121" max="5121" width="15.7109375" style="207" customWidth="1"/>
    <col min="5122" max="5128" width="9.140625" style="207"/>
    <col min="5129" max="5131" width="9.7109375" style="207" customWidth="1"/>
    <col min="5132" max="5134" width="0" style="207" hidden="1" customWidth="1"/>
    <col min="5135" max="5135" width="10.42578125" style="207" bestFit="1" customWidth="1"/>
    <col min="5136" max="5136" width="45.7109375" style="207" customWidth="1"/>
    <col min="5137" max="5140" width="11.7109375" style="207" customWidth="1"/>
    <col min="5141" max="5376" width="9.140625" style="207"/>
    <col min="5377" max="5377" width="15.7109375" style="207" customWidth="1"/>
    <col min="5378" max="5384" width="9.140625" style="207"/>
    <col min="5385" max="5387" width="9.7109375" style="207" customWidth="1"/>
    <col min="5388" max="5390" width="0" style="207" hidden="1" customWidth="1"/>
    <col min="5391" max="5391" width="10.42578125" style="207" bestFit="1" customWidth="1"/>
    <col min="5392" max="5392" width="45.7109375" style="207" customWidth="1"/>
    <col min="5393" max="5396" width="11.7109375" style="207" customWidth="1"/>
    <col min="5397" max="5632" width="9.140625" style="207"/>
    <col min="5633" max="5633" width="15.7109375" style="207" customWidth="1"/>
    <col min="5634" max="5640" width="9.140625" style="207"/>
    <col min="5641" max="5643" width="9.7109375" style="207" customWidth="1"/>
    <col min="5644" max="5646" width="0" style="207" hidden="1" customWidth="1"/>
    <col min="5647" max="5647" width="10.42578125" style="207" bestFit="1" customWidth="1"/>
    <col min="5648" max="5648" width="45.7109375" style="207" customWidth="1"/>
    <col min="5649" max="5652" width="11.7109375" style="207" customWidth="1"/>
    <col min="5653" max="5888" width="9.140625" style="207"/>
    <col min="5889" max="5889" width="15.7109375" style="207" customWidth="1"/>
    <col min="5890" max="5896" width="9.140625" style="207"/>
    <col min="5897" max="5899" width="9.7109375" style="207" customWidth="1"/>
    <col min="5900" max="5902" width="0" style="207" hidden="1" customWidth="1"/>
    <col min="5903" max="5903" width="10.42578125" style="207" bestFit="1" customWidth="1"/>
    <col min="5904" max="5904" width="45.7109375" style="207" customWidth="1"/>
    <col min="5905" max="5908" width="11.7109375" style="207" customWidth="1"/>
    <col min="5909" max="6144" width="9.140625" style="207"/>
    <col min="6145" max="6145" width="15.7109375" style="207" customWidth="1"/>
    <col min="6146" max="6152" width="9.140625" style="207"/>
    <col min="6153" max="6155" width="9.7109375" style="207" customWidth="1"/>
    <col min="6156" max="6158" width="0" style="207" hidden="1" customWidth="1"/>
    <col min="6159" max="6159" width="10.42578125" style="207" bestFit="1" customWidth="1"/>
    <col min="6160" max="6160" width="45.7109375" style="207" customWidth="1"/>
    <col min="6161" max="6164" width="11.7109375" style="207" customWidth="1"/>
    <col min="6165" max="6400" width="9.140625" style="207"/>
    <col min="6401" max="6401" width="15.7109375" style="207" customWidth="1"/>
    <col min="6402" max="6408" width="9.140625" style="207"/>
    <col min="6409" max="6411" width="9.7109375" style="207" customWidth="1"/>
    <col min="6412" max="6414" width="0" style="207" hidden="1" customWidth="1"/>
    <col min="6415" max="6415" width="10.42578125" style="207" bestFit="1" customWidth="1"/>
    <col min="6416" max="6416" width="45.7109375" style="207" customWidth="1"/>
    <col min="6417" max="6420" width="11.7109375" style="207" customWidth="1"/>
    <col min="6421" max="6656" width="9.140625" style="207"/>
    <col min="6657" max="6657" width="15.7109375" style="207" customWidth="1"/>
    <col min="6658" max="6664" width="9.140625" style="207"/>
    <col min="6665" max="6667" width="9.7109375" style="207" customWidth="1"/>
    <col min="6668" max="6670" width="0" style="207" hidden="1" customWidth="1"/>
    <col min="6671" max="6671" width="10.42578125" style="207" bestFit="1" customWidth="1"/>
    <col min="6672" max="6672" width="45.7109375" style="207" customWidth="1"/>
    <col min="6673" max="6676" width="11.7109375" style="207" customWidth="1"/>
    <col min="6677" max="6912" width="9.140625" style="207"/>
    <col min="6913" max="6913" width="15.7109375" style="207" customWidth="1"/>
    <col min="6914" max="6920" width="9.140625" style="207"/>
    <col min="6921" max="6923" width="9.7109375" style="207" customWidth="1"/>
    <col min="6924" max="6926" width="0" style="207" hidden="1" customWidth="1"/>
    <col min="6927" max="6927" width="10.42578125" style="207" bestFit="1" customWidth="1"/>
    <col min="6928" max="6928" width="45.7109375" style="207" customWidth="1"/>
    <col min="6929" max="6932" width="11.7109375" style="207" customWidth="1"/>
    <col min="6933" max="7168" width="9.140625" style="207"/>
    <col min="7169" max="7169" width="15.7109375" style="207" customWidth="1"/>
    <col min="7170" max="7176" width="9.140625" style="207"/>
    <col min="7177" max="7179" width="9.7109375" style="207" customWidth="1"/>
    <col min="7180" max="7182" width="0" style="207" hidden="1" customWidth="1"/>
    <col min="7183" max="7183" width="10.42578125" style="207" bestFit="1" customWidth="1"/>
    <col min="7184" max="7184" width="45.7109375" style="207" customWidth="1"/>
    <col min="7185" max="7188" width="11.7109375" style="207" customWidth="1"/>
    <col min="7189" max="7424" width="9.140625" style="207"/>
    <col min="7425" max="7425" width="15.7109375" style="207" customWidth="1"/>
    <col min="7426" max="7432" width="9.140625" style="207"/>
    <col min="7433" max="7435" width="9.7109375" style="207" customWidth="1"/>
    <col min="7436" max="7438" width="0" style="207" hidden="1" customWidth="1"/>
    <col min="7439" max="7439" width="10.42578125" style="207" bestFit="1" customWidth="1"/>
    <col min="7440" max="7440" width="45.7109375" style="207" customWidth="1"/>
    <col min="7441" max="7444" width="11.7109375" style="207" customWidth="1"/>
    <col min="7445" max="7680" width="9.140625" style="207"/>
    <col min="7681" max="7681" width="15.7109375" style="207" customWidth="1"/>
    <col min="7682" max="7688" width="9.140625" style="207"/>
    <col min="7689" max="7691" width="9.7109375" style="207" customWidth="1"/>
    <col min="7692" max="7694" width="0" style="207" hidden="1" customWidth="1"/>
    <col min="7695" max="7695" width="10.42578125" style="207" bestFit="1" customWidth="1"/>
    <col min="7696" max="7696" width="45.7109375" style="207" customWidth="1"/>
    <col min="7697" max="7700" width="11.7109375" style="207" customWidth="1"/>
    <col min="7701" max="7936" width="9.140625" style="207"/>
    <col min="7937" max="7937" width="15.7109375" style="207" customWidth="1"/>
    <col min="7938" max="7944" width="9.140625" style="207"/>
    <col min="7945" max="7947" width="9.7109375" style="207" customWidth="1"/>
    <col min="7948" max="7950" width="0" style="207" hidden="1" customWidth="1"/>
    <col min="7951" max="7951" width="10.42578125" style="207" bestFit="1" customWidth="1"/>
    <col min="7952" max="7952" width="45.7109375" style="207" customWidth="1"/>
    <col min="7953" max="7956" width="11.7109375" style="207" customWidth="1"/>
    <col min="7957" max="8192" width="9.140625" style="207"/>
    <col min="8193" max="8193" width="15.7109375" style="207" customWidth="1"/>
    <col min="8194" max="8200" width="9.140625" style="207"/>
    <col min="8201" max="8203" width="9.7109375" style="207" customWidth="1"/>
    <col min="8204" max="8206" width="0" style="207" hidden="1" customWidth="1"/>
    <col min="8207" max="8207" width="10.42578125" style="207" bestFit="1" customWidth="1"/>
    <col min="8208" max="8208" width="45.7109375" style="207" customWidth="1"/>
    <col min="8209" max="8212" width="11.7109375" style="207" customWidth="1"/>
    <col min="8213" max="8448" width="9.140625" style="207"/>
    <col min="8449" max="8449" width="15.7109375" style="207" customWidth="1"/>
    <col min="8450" max="8456" width="9.140625" style="207"/>
    <col min="8457" max="8459" width="9.7109375" style="207" customWidth="1"/>
    <col min="8460" max="8462" width="0" style="207" hidden="1" customWidth="1"/>
    <col min="8463" max="8463" width="10.42578125" style="207" bestFit="1" customWidth="1"/>
    <col min="8464" max="8464" width="45.7109375" style="207" customWidth="1"/>
    <col min="8465" max="8468" width="11.7109375" style="207" customWidth="1"/>
    <col min="8469" max="8704" width="9.140625" style="207"/>
    <col min="8705" max="8705" width="15.7109375" style="207" customWidth="1"/>
    <col min="8706" max="8712" width="9.140625" style="207"/>
    <col min="8713" max="8715" width="9.7109375" style="207" customWidth="1"/>
    <col min="8716" max="8718" width="0" style="207" hidden="1" customWidth="1"/>
    <col min="8719" max="8719" width="10.42578125" style="207" bestFit="1" customWidth="1"/>
    <col min="8720" max="8720" width="45.7109375" style="207" customWidth="1"/>
    <col min="8721" max="8724" width="11.7109375" style="207" customWidth="1"/>
    <col min="8725" max="8960" width="9.140625" style="207"/>
    <col min="8961" max="8961" width="15.7109375" style="207" customWidth="1"/>
    <col min="8962" max="8968" width="9.140625" style="207"/>
    <col min="8969" max="8971" width="9.7109375" style="207" customWidth="1"/>
    <col min="8972" max="8974" width="0" style="207" hidden="1" customWidth="1"/>
    <col min="8975" max="8975" width="10.42578125" style="207" bestFit="1" customWidth="1"/>
    <col min="8976" max="8976" width="45.7109375" style="207" customWidth="1"/>
    <col min="8977" max="8980" width="11.7109375" style="207" customWidth="1"/>
    <col min="8981" max="9216" width="9.140625" style="207"/>
    <col min="9217" max="9217" width="15.7109375" style="207" customWidth="1"/>
    <col min="9218" max="9224" width="9.140625" style="207"/>
    <col min="9225" max="9227" width="9.7109375" style="207" customWidth="1"/>
    <col min="9228" max="9230" width="0" style="207" hidden="1" customWidth="1"/>
    <col min="9231" max="9231" width="10.42578125" style="207" bestFit="1" customWidth="1"/>
    <col min="9232" max="9232" width="45.7109375" style="207" customWidth="1"/>
    <col min="9233" max="9236" width="11.7109375" style="207" customWidth="1"/>
    <col min="9237" max="9472" width="9.140625" style="207"/>
    <col min="9473" max="9473" width="15.7109375" style="207" customWidth="1"/>
    <col min="9474" max="9480" width="9.140625" style="207"/>
    <col min="9481" max="9483" width="9.7109375" style="207" customWidth="1"/>
    <col min="9484" max="9486" width="0" style="207" hidden="1" customWidth="1"/>
    <col min="9487" max="9487" width="10.42578125" style="207" bestFit="1" customWidth="1"/>
    <col min="9488" max="9488" width="45.7109375" style="207" customWidth="1"/>
    <col min="9489" max="9492" width="11.7109375" style="207" customWidth="1"/>
    <col min="9493" max="9728" width="9.140625" style="207"/>
    <col min="9729" max="9729" width="15.7109375" style="207" customWidth="1"/>
    <col min="9730" max="9736" width="9.140625" style="207"/>
    <col min="9737" max="9739" width="9.7109375" style="207" customWidth="1"/>
    <col min="9740" max="9742" width="0" style="207" hidden="1" customWidth="1"/>
    <col min="9743" max="9743" width="10.42578125" style="207" bestFit="1" customWidth="1"/>
    <col min="9744" max="9744" width="45.7109375" style="207" customWidth="1"/>
    <col min="9745" max="9748" width="11.7109375" style="207" customWidth="1"/>
    <col min="9749" max="9984" width="9.140625" style="207"/>
    <col min="9985" max="9985" width="15.7109375" style="207" customWidth="1"/>
    <col min="9986" max="9992" width="9.140625" style="207"/>
    <col min="9993" max="9995" width="9.7109375" style="207" customWidth="1"/>
    <col min="9996" max="9998" width="0" style="207" hidden="1" customWidth="1"/>
    <col min="9999" max="9999" width="10.42578125" style="207" bestFit="1" customWidth="1"/>
    <col min="10000" max="10000" width="45.7109375" style="207" customWidth="1"/>
    <col min="10001" max="10004" width="11.7109375" style="207" customWidth="1"/>
    <col min="10005" max="10240" width="9.140625" style="207"/>
    <col min="10241" max="10241" width="15.7109375" style="207" customWidth="1"/>
    <col min="10242" max="10248" width="9.140625" style="207"/>
    <col min="10249" max="10251" width="9.7109375" style="207" customWidth="1"/>
    <col min="10252" max="10254" width="0" style="207" hidden="1" customWidth="1"/>
    <col min="10255" max="10255" width="10.42578125" style="207" bestFit="1" customWidth="1"/>
    <col min="10256" max="10256" width="45.7109375" style="207" customWidth="1"/>
    <col min="10257" max="10260" width="11.7109375" style="207" customWidth="1"/>
    <col min="10261" max="10496" width="9.140625" style="207"/>
    <col min="10497" max="10497" width="15.7109375" style="207" customWidth="1"/>
    <col min="10498" max="10504" width="9.140625" style="207"/>
    <col min="10505" max="10507" width="9.7109375" style="207" customWidth="1"/>
    <col min="10508" max="10510" width="0" style="207" hidden="1" customWidth="1"/>
    <col min="10511" max="10511" width="10.42578125" style="207" bestFit="1" customWidth="1"/>
    <col min="10512" max="10512" width="45.7109375" style="207" customWidth="1"/>
    <col min="10513" max="10516" width="11.7109375" style="207" customWidth="1"/>
    <col min="10517" max="10752" width="9.140625" style="207"/>
    <col min="10753" max="10753" width="15.7109375" style="207" customWidth="1"/>
    <col min="10754" max="10760" width="9.140625" style="207"/>
    <col min="10761" max="10763" width="9.7109375" style="207" customWidth="1"/>
    <col min="10764" max="10766" width="0" style="207" hidden="1" customWidth="1"/>
    <col min="10767" max="10767" width="10.42578125" style="207" bestFit="1" customWidth="1"/>
    <col min="10768" max="10768" width="45.7109375" style="207" customWidth="1"/>
    <col min="10769" max="10772" width="11.7109375" style="207" customWidth="1"/>
    <col min="10773" max="11008" width="9.140625" style="207"/>
    <col min="11009" max="11009" width="15.7109375" style="207" customWidth="1"/>
    <col min="11010" max="11016" width="9.140625" style="207"/>
    <col min="11017" max="11019" width="9.7109375" style="207" customWidth="1"/>
    <col min="11020" max="11022" width="0" style="207" hidden="1" customWidth="1"/>
    <col min="11023" max="11023" width="10.42578125" style="207" bestFit="1" customWidth="1"/>
    <col min="11024" max="11024" width="45.7109375" style="207" customWidth="1"/>
    <col min="11025" max="11028" width="11.7109375" style="207" customWidth="1"/>
    <col min="11029" max="11264" width="9.140625" style="207"/>
    <col min="11265" max="11265" width="15.7109375" style="207" customWidth="1"/>
    <col min="11266" max="11272" width="9.140625" style="207"/>
    <col min="11273" max="11275" width="9.7109375" style="207" customWidth="1"/>
    <col min="11276" max="11278" width="0" style="207" hidden="1" customWidth="1"/>
    <col min="11279" max="11279" width="10.42578125" style="207" bestFit="1" customWidth="1"/>
    <col min="11280" max="11280" width="45.7109375" style="207" customWidth="1"/>
    <col min="11281" max="11284" width="11.7109375" style="207" customWidth="1"/>
    <col min="11285" max="11520" width="9.140625" style="207"/>
    <col min="11521" max="11521" width="15.7109375" style="207" customWidth="1"/>
    <col min="11522" max="11528" width="9.140625" style="207"/>
    <col min="11529" max="11531" width="9.7109375" style="207" customWidth="1"/>
    <col min="11532" max="11534" width="0" style="207" hidden="1" customWidth="1"/>
    <col min="11535" max="11535" width="10.42578125" style="207" bestFit="1" customWidth="1"/>
    <col min="11536" max="11536" width="45.7109375" style="207" customWidth="1"/>
    <col min="11537" max="11540" width="11.7109375" style="207" customWidth="1"/>
    <col min="11541" max="11776" width="9.140625" style="207"/>
    <col min="11777" max="11777" width="15.7109375" style="207" customWidth="1"/>
    <col min="11778" max="11784" width="9.140625" style="207"/>
    <col min="11785" max="11787" width="9.7109375" style="207" customWidth="1"/>
    <col min="11788" max="11790" width="0" style="207" hidden="1" customWidth="1"/>
    <col min="11791" max="11791" width="10.42578125" style="207" bestFit="1" customWidth="1"/>
    <col min="11792" max="11792" width="45.7109375" style="207" customWidth="1"/>
    <col min="11793" max="11796" width="11.7109375" style="207" customWidth="1"/>
    <col min="11797" max="12032" width="9.140625" style="207"/>
    <col min="12033" max="12033" width="15.7109375" style="207" customWidth="1"/>
    <col min="12034" max="12040" width="9.140625" style="207"/>
    <col min="12041" max="12043" width="9.7109375" style="207" customWidth="1"/>
    <col min="12044" max="12046" width="0" style="207" hidden="1" customWidth="1"/>
    <col min="12047" max="12047" width="10.42578125" style="207" bestFit="1" customWidth="1"/>
    <col min="12048" max="12048" width="45.7109375" style="207" customWidth="1"/>
    <col min="12049" max="12052" width="11.7109375" style="207" customWidth="1"/>
    <col min="12053" max="12288" width="9.140625" style="207"/>
    <col min="12289" max="12289" width="15.7109375" style="207" customWidth="1"/>
    <col min="12290" max="12296" width="9.140625" style="207"/>
    <col min="12297" max="12299" width="9.7109375" style="207" customWidth="1"/>
    <col min="12300" max="12302" width="0" style="207" hidden="1" customWidth="1"/>
    <col min="12303" max="12303" width="10.42578125" style="207" bestFit="1" customWidth="1"/>
    <col min="12304" max="12304" width="45.7109375" style="207" customWidth="1"/>
    <col min="12305" max="12308" width="11.7109375" style="207" customWidth="1"/>
    <col min="12309" max="12544" width="9.140625" style="207"/>
    <col min="12545" max="12545" width="15.7109375" style="207" customWidth="1"/>
    <col min="12546" max="12552" width="9.140625" style="207"/>
    <col min="12553" max="12555" width="9.7109375" style="207" customWidth="1"/>
    <col min="12556" max="12558" width="0" style="207" hidden="1" customWidth="1"/>
    <col min="12559" max="12559" width="10.42578125" style="207" bestFit="1" customWidth="1"/>
    <col min="12560" max="12560" width="45.7109375" style="207" customWidth="1"/>
    <col min="12561" max="12564" width="11.7109375" style="207" customWidth="1"/>
    <col min="12565" max="12800" width="9.140625" style="207"/>
    <col min="12801" max="12801" width="15.7109375" style="207" customWidth="1"/>
    <col min="12802" max="12808" width="9.140625" style="207"/>
    <col min="12809" max="12811" width="9.7109375" style="207" customWidth="1"/>
    <col min="12812" max="12814" width="0" style="207" hidden="1" customWidth="1"/>
    <col min="12815" max="12815" width="10.42578125" style="207" bestFit="1" customWidth="1"/>
    <col min="12816" max="12816" width="45.7109375" style="207" customWidth="1"/>
    <col min="12817" max="12820" width="11.7109375" style="207" customWidth="1"/>
    <col min="12821" max="13056" width="9.140625" style="207"/>
    <col min="13057" max="13057" width="15.7109375" style="207" customWidth="1"/>
    <col min="13058" max="13064" width="9.140625" style="207"/>
    <col min="13065" max="13067" width="9.7109375" style="207" customWidth="1"/>
    <col min="13068" max="13070" width="0" style="207" hidden="1" customWidth="1"/>
    <col min="13071" max="13071" width="10.42578125" style="207" bestFit="1" customWidth="1"/>
    <col min="13072" max="13072" width="45.7109375" style="207" customWidth="1"/>
    <col min="13073" max="13076" width="11.7109375" style="207" customWidth="1"/>
    <col min="13077" max="13312" width="9.140625" style="207"/>
    <col min="13313" max="13313" width="15.7109375" style="207" customWidth="1"/>
    <col min="13314" max="13320" width="9.140625" style="207"/>
    <col min="13321" max="13323" width="9.7109375" style="207" customWidth="1"/>
    <col min="13324" max="13326" width="0" style="207" hidden="1" customWidth="1"/>
    <col min="13327" max="13327" width="10.42578125" style="207" bestFit="1" customWidth="1"/>
    <col min="13328" max="13328" width="45.7109375" style="207" customWidth="1"/>
    <col min="13329" max="13332" width="11.7109375" style="207" customWidth="1"/>
    <col min="13333" max="13568" width="9.140625" style="207"/>
    <col min="13569" max="13569" width="15.7109375" style="207" customWidth="1"/>
    <col min="13570" max="13576" width="9.140625" style="207"/>
    <col min="13577" max="13579" width="9.7109375" style="207" customWidth="1"/>
    <col min="13580" max="13582" width="0" style="207" hidden="1" customWidth="1"/>
    <col min="13583" max="13583" width="10.42578125" style="207" bestFit="1" customWidth="1"/>
    <col min="13584" max="13584" width="45.7109375" style="207" customWidth="1"/>
    <col min="13585" max="13588" width="11.7109375" style="207" customWidth="1"/>
    <col min="13589" max="13824" width="9.140625" style="207"/>
    <col min="13825" max="13825" width="15.7109375" style="207" customWidth="1"/>
    <col min="13826" max="13832" width="9.140625" style="207"/>
    <col min="13833" max="13835" width="9.7109375" style="207" customWidth="1"/>
    <col min="13836" max="13838" width="0" style="207" hidden="1" customWidth="1"/>
    <col min="13839" max="13839" width="10.42578125" style="207" bestFit="1" customWidth="1"/>
    <col min="13840" max="13840" width="45.7109375" style="207" customWidth="1"/>
    <col min="13841" max="13844" width="11.7109375" style="207" customWidth="1"/>
    <col min="13845" max="14080" width="9.140625" style="207"/>
    <col min="14081" max="14081" width="15.7109375" style="207" customWidth="1"/>
    <col min="14082" max="14088" width="9.140625" style="207"/>
    <col min="14089" max="14091" width="9.7109375" style="207" customWidth="1"/>
    <col min="14092" max="14094" width="0" style="207" hidden="1" customWidth="1"/>
    <col min="14095" max="14095" width="10.42578125" style="207" bestFit="1" customWidth="1"/>
    <col min="14096" max="14096" width="45.7109375" style="207" customWidth="1"/>
    <col min="14097" max="14100" width="11.7109375" style="207" customWidth="1"/>
    <col min="14101" max="14336" width="9.140625" style="207"/>
    <col min="14337" max="14337" width="15.7109375" style="207" customWidth="1"/>
    <col min="14338" max="14344" width="9.140625" style="207"/>
    <col min="14345" max="14347" width="9.7109375" style="207" customWidth="1"/>
    <col min="14348" max="14350" width="0" style="207" hidden="1" customWidth="1"/>
    <col min="14351" max="14351" width="10.42578125" style="207" bestFit="1" customWidth="1"/>
    <col min="14352" max="14352" width="45.7109375" style="207" customWidth="1"/>
    <col min="14353" max="14356" width="11.7109375" style="207" customWidth="1"/>
    <col min="14357" max="14592" width="9.140625" style="207"/>
    <col min="14593" max="14593" width="15.7109375" style="207" customWidth="1"/>
    <col min="14594" max="14600" width="9.140625" style="207"/>
    <col min="14601" max="14603" width="9.7109375" style="207" customWidth="1"/>
    <col min="14604" max="14606" width="0" style="207" hidden="1" customWidth="1"/>
    <col min="14607" max="14607" width="10.42578125" style="207" bestFit="1" customWidth="1"/>
    <col min="14608" max="14608" width="45.7109375" style="207" customWidth="1"/>
    <col min="14609" max="14612" width="11.7109375" style="207" customWidth="1"/>
    <col min="14613" max="14848" width="9.140625" style="207"/>
    <col min="14849" max="14849" width="15.7109375" style="207" customWidth="1"/>
    <col min="14850" max="14856" width="9.140625" style="207"/>
    <col min="14857" max="14859" width="9.7109375" style="207" customWidth="1"/>
    <col min="14860" max="14862" width="0" style="207" hidden="1" customWidth="1"/>
    <col min="14863" max="14863" width="10.42578125" style="207" bestFit="1" customWidth="1"/>
    <col min="14864" max="14864" width="45.7109375" style="207" customWidth="1"/>
    <col min="14865" max="14868" width="11.7109375" style="207" customWidth="1"/>
    <col min="14869" max="15104" width="9.140625" style="207"/>
    <col min="15105" max="15105" width="15.7109375" style="207" customWidth="1"/>
    <col min="15106" max="15112" width="9.140625" style="207"/>
    <col min="15113" max="15115" width="9.7109375" style="207" customWidth="1"/>
    <col min="15116" max="15118" width="0" style="207" hidden="1" customWidth="1"/>
    <col min="15119" max="15119" width="10.42578125" style="207" bestFit="1" customWidth="1"/>
    <col min="15120" max="15120" width="45.7109375" style="207" customWidth="1"/>
    <col min="15121" max="15124" width="11.7109375" style="207" customWidth="1"/>
    <col min="15125" max="15360" width="9.140625" style="207"/>
    <col min="15361" max="15361" width="15.7109375" style="207" customWidth="1"/>
    <col min="15362" max="15368" width="9.140625" style="207"/>
    <col min="15369" max="15371" width="9.7109375" style="207" customWidth="1"/>
    <col min="15372" max="15374" width="0" style="207" hidden="1" customWidth="1"/>
    <col min="15375" max="15375" width="10.42578125" style="207" bestFit="1" customWidth="1"/>
    <col min="15376" max="15376" width="45.7109375" style="207" customWidth="1"/>
    <col min="15377" max="15380" width="11.7109375" style="207" customWidth="1"/>
    <col min="15381" max="15616" width="9.140625" style="207"/>
    <col min="15617" max="15617" width="15.7109375" style="207" customWidth="1"/>
    <col min="15618" max="15624" width="9.140625" style="207"/>
    <col min="15625" max="15627" width="9.7109375" style="207" customWidth="1"/>
    <col min="15628" max="15630" width="0" style="207" hidden="1" customWidth="1"/>
    <col min="15631" max="15631" width="10.42578125" style="207" bestFit="1" customWidth="1"/>
    <col min="15632" max="15632" width="45.7109375" style="207" customWidth="1"/>
    <col min="15633" max="15636" width="11.7109375" style="207" customWidth="1"/>
    <col min="15637" max="15872" width="9.140625" style="207"/>
    <col min="15873" max="15873" width="15.7109375" style="207" customWidth="1"/>
    <col min="15874" max="15880" width="9.140625" style="207"/>
    <col min="15881" max="15883" width="9.7109375" style="207" customWidth="1"/>
    <col min="15884" max="15886" width="0" style="207" hidden="1" customWidth="1"/>
    <col min="15887" max="15887" width="10.42578125" style="207" bestFit="1" customWidth="1"/>
    <col min="15888" max="15888" width="45.7109375" style="207" customWidth="1"/>
    <col min="15889" max="15892" width="11.7109375" style="207" customWidth="1"/>
    <col min="15893" max="16128" width="9.140625" style="207"/>
    <col min="16129" max="16129" width="15.7109375" style="207" customWidth="1"/>
    <col min="16130" max="16136" width="9.140625" style="207"/>
    <col min="16137" max="16139" width="9.7109375" style="207" customWidth="1"/>
    <col min="16140" max="16142" width="0" style="207" hidden="1" customWidth="1"/>
    <col min="16143" max="16143" width="10.42578125" style="207" bestFit="1" customWidth="1"/>
    <col min="16144" max="16144" width="45.7109375" style="207" customWidth="1"/>
    <col min="16145" max="16148" width="11.7109375" style="207" customWidth="1"/>
    <col min="16149" max="16384" width="9.140625" style="207"/>
  </cols>
  <sheetData>
    <row r="1" spans="1:24" ht="15" customHeight="1">
      <c r="A1" s="988" t="s">
        <v>25</v>
      </c>
      <c r="B1" s="1001" t="s">
        <v>42</v>
      </c>
      <c r="C1" s="991"/>
      <c r="D1" s="991"/>
      <c r="E1" s="991"/>
      <c r="F1" s="991"/>
      <c r="G1" s="991"/>
      <c r="H1" s="991"/>
      <c r="I1" s="290"/>
      <c r="J1" s="291"/>
      <c r="K1" s="291"/>
      <c r="L1" s="291"/>
      <c r="M1" s="291"/>
      <c r="N1" s="291"/>
      <c r="O1" s="992" t="s">
        <v>20</v>
      </c>
      <c r="P1" s="993"/>
      <c r="Q1" s="992">
        <v>2015</v>
      </c>
      <c r="R1" s="992"/>
      <c r="S1" s="992">
        <v>2016</v>
      </c>
      <c r="T1" s="992"/>
    </row>
    <row r="2" spans="1:24" ht="23.25" customHeight="1">
      <c r="A2" s="989"/>
      <c r="B2" s="292" t="s">
        <v>438</v>
      </c>
      <c r="C2" s="292" t="s">
        <v>586</v>
      </c>
      <c r="D2" s="643" t="s">
        <v>21</v>
      </c>
      <c r="E2" s="994" t="s">
        <v>449</v>
      </c>
      <c r="F2" s="994"/>
      <c r="G2" s="994" t="s">
        <v>587</v>
      </c>
      <c r="H2" s="995"/>
      <c r="I2" s="294" t="s">
        <v>446</v>
      </c>
      <c r="J2" s="295" t="s">
        <v>589</v>
      </c>
      <c r="K2" s="296" t="s">
        <v>22</v>
      </c>
      <c r="L2" s="297" t="s">
        <v>16</v>
      </c>
      <c r="M2" s="297" t="s">
        <v>15</v>
      </c>
      <c r="N2" s="298" t="s">
        <v>23</v>
      </c>
      <c r="O2" s="299" t="s">
        <v>24</v>
      </c>
      <c r="P2" s="300" t="s">
        <v>25</v>
      </c>
      <c r="Q2" s="300" t="s">
        <v>26</v>
      </c>
      <c r="R2" s="300" t="s">
        <v>27</v>
      </c>
      <c r="S2" s="300" t="s">
        <v>26</v>
      </c>
      <c r="T2" s="300" t="s">
        <v>27</v>
      </c>
    </row>
    <row r="3" spans="1:24" ht="12">
      <c r="A3" s="301" t="str">
        <f t="shared" ref="A3" si="0">O3&amp;" (n="&amp;VLOOKUP(O3,$O$3:$T$30,6,FALSE)&amp;")"</f>
        <v>Scotland (n=889)</v>
      </c>
      <c r="B3" s="302">
        <f t="shared" ref="B3" si="1">IF(ISERROR(Q3/R3*100),"-",Q3/R3*100)</f>
        <v>50.91103965702036</v>
      </c>
      <c r="C3" s="302">
        <f t="shared" ref="C3" si="2">IF(ISERROR(S3/T3*100),SUM(1*0.00000001),S3/T3*100)</f>
        <v>55.343082114735651</v>
      </c>
      <c r="D3" s="302">
        <f>80</f>
        <v>80</v>
      </c>
      <c r="E3" s="16">
        <f t="shared" ref="E3" si="3">IF(ISERROR(SUM(1*MID(I3,1,FIND(" - ",I3)-1))),"-",SUM(1*MID(I3,1,FIND(" - ",I3)-1)))</f>
        <v>48</v>
      </c>
      <c r="F3" s="303">
        <f t="shared" ref="F3" si="4">IF(ISERROR(SUM(1*MID(I3,FIND(" - ",I3)+2,LEN(I3)))),"-",SUM(1*MID(I3,FIND(" - ",I3)+2,LEN(I3))))</f>
        <v>54</v>
      </c>
      <c r="G3" s="303">
        <f t="shared" ref="G3" si="5">IF(ISERROR(SUM(1*MID(J3,1,FIND(" - ",J3)-1))),"-",SUM(1*MID(J3,1,FIND(" - ",J3)-1)))</f>
        <v>52</v>
      </c>
      <c r="H3" s="303">
        <f t="shared" ref="H3" si="6">IF(ISERROR(SUM(1*MID(J3,FIND(" - ",J3)+2,LEN(J3)))),"-",SUM(1*MID(J3,FIND(" - ",J3)+2,LEN(J3))))</f>
        <v>59</v>
      </c>
      <c r="I3" s="304"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48 - 54</v>
      </c>
      <c r="J3" s="305"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52 - 59</v>
      </c>
      <c r="K3" s="306">
        <f t="shared" ref="K3" si="9">C3-B3</f>
        <v>4.4320424577152906</v>
      </c>
      <c r="L3" s="314">
        <f t="shared" ref="L3" si="10">((S3/T3)-(Q3/R3))-(NORMSINV(1-(0.05/COUNTA($O$3:$O$32)))*(SQRT((((Q3/R3)*(1-(Q3/R3)))/R3)+(((S3/T3)*(1-(S3/T3)))/T3))))</f>
        <v>-2.3755311250555175E-2</v>
      </c>
      <c r="M3" s="314">
        <f t="shared" ref="M3" si="11">((S3/T3)-(Q3/R3))+(NORMSINV(1-(0.05/COUNTA($O$3:$O$32)))*(SQRT((((Q3/R3)*(1-(Q3/R3)))/R3)+(((S3/T3)*(1-(S3/T3)))/T3))))</f>
        <v>0.11239616040486099</v>
      </c>
      <c r="N3" s="308">
        <f t="shared" ref="N3" si="12">IF(ISERR(IF(AND(((S3/T3)-(Q3/R3))-(NORMSINV(1-(0.05/COUNTA($P$3:$P$30)))*(SQRT((((Q3/R3)*(1-(Q3/R3)))/R3)+(((S3/T3)*(1-(S3/T3)))/T3))))&gt;0,((S3/T3)-(Q3/R3))+(NORMSINV(1-(0.05/COUNTA($P$3:$P$30)))*(SQRT((((Q3/R3)*(1-(Q3/R3)))/R3)+(((S3/T3)*(1-(S3/T3)))/T3))))&gt;0),1,IF(AND(((S3/T3)-(Q3/R3))-(NORMSINV(1-(0.05/COUNTA($P$3:$P$30)))*(SQRT((((Q3/R3)*(1-(Q3/R3)))/R3)+(((S3/T3)*(1-(S3/T3)))/T3))))&lt;0,((S3/T3)-(Q3/R3))+(NORMSINV(1-(0.05/COUNTA($P$3:$P$30)))*(SQRT((((Q3/R3)*(1-(Q3/R3)))/R3)+(((S3/T3)*(1-(S3/T3)))/T3))))&lt;0),-1,0))),"",IF(AND(((S3/T3)-(Q3/R3))-(NORMSINV(1-(0.05/COUNTA($P$3:$P$30)))*(SQRT((((Q3/R3)*(1-(Q3/R3)))/R3)+(((S3/T3)*(1-(S3/T3)))/T3))))&gt;0,((S3/T3)-(Q3/R3))+(NORMSINV(1-(0.05/COUNTA($P$3:$P$30)))*(SQRT((((Q3/R3)*(1-(Q3/R3)))/R3)+(((S3/T3)*(1-(S3/T3)))/T3))))&gt;0),1,IF(AND(((S3/T3)-(Q3/R3))-(NORMSINV(1-(0.05/COUNTA($P$3:$P$30)))*(SQRT((((Q3/R3)*(1-(Q3/R3)))/R3)+(((S3/T3)*(1-(S3/T3)))/T3))))&lt;0,((S3/T3)-(Q3/R3))+(NORMSINV(1-(0.05/COUNTA($P$3:$P$30)))*(SQRT((((Q3/R3)*(1-(Q3/R3)))/R3)+(((S3/T3)*(1-(S3/T3)))/T3))))&lt;0),-1,0)))</f>
        <v>0</v>
      </c>
      <c r="O3" s="301" t="str">
        <f t="shared" ref="O3" si="13">VLOOKUP(P3,Hospitals,3,FALSE)</f>
        <v>Scotland</v>
      </c>
      <c r="P3" s="301" t="s">
        <v>280</v>
      </c>
      <c r="Q3" s="403">
        <f>SUM(Q4:Q30)</f>
        <v>475</v>
      </c>
      <c r="R3" s="403">
        <f t="shared" ref="R3:T3" si="14">SUM(R4:R30)</f>
        <v>933</v>
      </c>
      <c r="S3" s="403">
        <f t="shared" si="14"/>
        <v>492</v>
      </c>
      <c r="T3" s="403">
        <f t="shared" si="14"/>
        <v>889</v>
      </c>
      <c r="X3" s="651"/>
    </row>
    <row r="4" spans="1:24" ht="12">
      <c r="A4" s="301" t="str">
        <f t="shared" ref="A4:A19" si="15">O4&amp;" (n="&amp;VLOOKUP(O4,$O$3:$T$30,6,FALSE)&amp;")"</f>
        <v>Ninewells (n=42)</v>
      </c>
      <c r="B4" s="302">
        <f t="shared" ref="B4:B30" si="16">IF(ISERROR(Q4/R4*100),"-",Q4/R4*100)</f>
        <v>63.46153846153846</v>
      </c>
      <c r="C4" s="302">
        <f t="shared" ref="C4:C30" si="17">IF(ISERROR(S4/T4*100),SUM(1*0.00000001),S4/T4*100)</f>
        <v>78.571428571428569</v>
      </c>
      <c r="D4" s="303">
        <f>80</f>
        <v>80</v>
      </c>
      <c r="E4" s="16">
        <f t="shared" ref="E4:E30" si="18">IF(ISERROR(SUM(1*MID(I4,1,FIND(" - ",I4)-1))),"-",SUM(1*MID(I4,1,FIND(" - ",I4)-1)))</f>
        <v>50</v>
      </c>
      <c r="F4" s="303">
        <f t="shared" ref="F4:F30" si="19">IF(ISERROR(SUM(1*MID(I4,FIND(" - ",I4)+2,LEN(I4)))),"-",SUM(1*MID(I4,FIND(" - ",I4)+2,LEN(I4))))</f>
        <v>75</v>
      </c>
      <c r="G4" s="303">
        <f t="shared" ref="G4:G30" si="20">IF(ISERROR(SUM(1*MID(J4,1,FIND(" - ",J4)-1))),"-",SUM(1*MID(J4,1,FIND(" - ",J4)-1)))</f>
        <v>64</v>
      </c>
      <c r="H4" s="303">
        <f t="shared" ref="H4:H30" si="21">IF(ISERROR(SUM(1*MID(J4,FIND(" - ",J4)+2,LEN(J4)))),"-",SUM(1*MID(J4,FIND(" - ",J4)+2,LEN(J4))))</f>
        <v>88</v>
      </c>
      <c r="I4" s="309" t="str">
        <f t="shared" ref="I4:I30" si="22">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50 - 75</v>
      </c>
      <c r="J4" s="305" t="str">
        <f t="shared" ref="J4:J30" si="23">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64 - 88</v>
      </c>
      <c r="K4" s="306">
        <f t="shared" ref="K4:K30" si="24">C4-B4</f>
        <v>15.109890109890109</v>
      </c>
      <c r="L4" s="314">
        <f t="shared" ref="L4:L30" si="25">((S4/T4)-(Q4/R4))-(NORMSINV(1-(0.05/COUNTA($O$3:$O$32)))*(SQRT((((Q4/R4)*(1-(Q4/R4)))/R4)+(((S4/T4)*(1-(S4/T4)))/T4))))</f>
        <v>-0.11702649609556259</v>
      </c>
      <c r="M4" s="314">
        <f t="shared" ref="M4:M30" si="26">((S4/T4)-(Q4/R4))+(NORMSINV(1-(0.05/COUNTA($O$3:$O$32)))*(SQRT((((Q4/R4)*(1-(Q4/R4)))/R4)+(((S4/T4)*(1-(S4/T4)))/T4))))</f>
        <v>0.41922429829336483</v>
      </c>
      <c r="N4" s="308">
        <f t="shared" ref="N4:N30" si="27">IF(ISERR(IF(AND(((S4/T4)-(Q4/R4))-(NORMSINV(1-(0.05/COUNTA($P$3:$P$30)))*(SQRT((((Q4/R4)*(1-(Q4/R4)))/R4)+(((S4/T4)*(1-(S4/T4)))/T4))))&gt;0,((S4/T4)-(Q4/R4))+(NORMSINV(1-(0.05/COUNTA($P$3:$P$30)))*(SQRT((((Q4/R4)*(1-(Q4/R4)))/R4)+(((S4/T4)*(1-(S4/T4)))/T4))))&gt;0),1,IF(AND(((S4/T4)-(Q4/R4))-(NORMSINV(1-(0.05/COUNTA($P$3:$P$30)))*(SQRT((((Q4/R4)*(1-(Q4/R4)))/R4)+(((S4/T4)*(1-(S4/T4)))/T4))))&lt;0,((S4/T4)-(Q4/R4))+(NORMSINV(1-(0.05/COUNTA($P$3:$P$30)))*(SQRT((((Q4/R4)*(1-(Q4/R4)))/R4)+(((S4/T4)*(1-(S4/T4)))/T4))))&lt;0),-1,0))),"",IF(AND(((S4/T4)-(Q4/R4))-(NORMSINV(1-(0.05/COUNTA($P$3:$P$30)))*(SQRT((((Q4/R4)*(1-(Q4/R4)))/R4)+(((S4/T4)*(1-(S4/T4)))/T4))))&gt;0,((S4/T4)-(Q4/R4))+(NORMSINV(1-(0.05/COUNTA($P$3:$P$30)))*(SQRT((((Q4/R4)*(1-(Q4/R4)))/R4)+(((S4/T4)*(1-(S4/T4)))/T4))))&gt;0),1,IF(AND(((S4/T4)-(Q4/R4))-(NORMSINV(1-(0.05/COUNTA($P$3:$P$30)))*(SQRT((((Q4/R4)*(1-(Q4/R4)))/R4)+(((S4/T4)*(1-(S4/T4)))/T4))))&lt;0,((S4/T4)-(Q4/R4))+(NORMSINV(1-(0.05/COUNTA($P$3:$P$30)))*(SQRT((((Q4/R4)*(1-(Q4/R4)))/R4)+(((S4/T4)*(1-(S4/T4)))/T4))))&lt;0),-1,0)))</f>
        <v>0</v>
      </c>
      <c r="O4" s="301" t="str">
        <f t="shared" ref="O4:O30" si="28">VLOOKUP(P4,Hospitals,3,FALSE)</f>
        <v>Ninewells</v>
      </c>
      <c r="P4" s="301" t="s">
        <v>123</v>
      </c>
      <c r="Q4" s="403">
        <f>VLOOKUP(O4,'Chart 10 (2015)'!$B$49:$L$75,9,FALSE)+VLOOKUP(O4,'Chart 10 (2015)'!$B$49:$L$75,11,FALSE)</f>
        <v>33</v>
      </c>
      <c r="R4" s="403">
        <f>VLOOKUP(O4,'Chart 10 (2015)'!$B$49:$L$75,10,FALSE)</f>
        <v>52</v>
      </c>
      <c r="S4" s="403">
        <f>VLOOKUP(O4,'Chart 10'!$B$50:$L$76,9,FALSE)+VLOOKUP(O4,'Chart 10'!$B$50:$L$76,11,FALSE)</f>
        <v>33</v>
      </c>
      <c r="T4" s="403">
        <f>VLOOKUP(O4,'Chart 10'!$B$50:$L$76,10,FALSE)</f>
        <v>42</v>
      </c>
      <c r="X4" s="651"/>
    </row>
    <row r="5" spans="1:24" ht="12">
      <c r="A5" s="301" t="str">
        <f t="shared" si="15"/>
        <v>RIE (n=102)</v>
      </c>
      <c r="B5" s="302">
        <f t="shared" si="16"/>
        <v>71.764705882352942</v>
      </c>
      <c r="C5" s="302">
        <f t="shared" si="17"/>
        <v>75.490196078431367</v>
      </c>
      <c r="D5" s="303">
        <f>80</f>
        <v>80</v>
      </c>
      <c r="E5" s="16">
        <f t="shared" si="18"/>
        <v>61</v>
      </c>
      <c r="F5" s="303">
        <f t="shared" si="19"/>
        <v>80</v>
      </c>
      <c r="G5" s="303">
        <f t="shared" si="20"/>
        <v>66</v>
      </c>
      <c r="H5" s="303">
        <f t="shared" si="21"/>
        <v>83</v>
      </c>
      <c r="I5" s="309" t="str">
        <f t="shared" si="22"/>
        <v>61 - 80</v>
      </c>
      <c r="J5" s="305" t="str">
        <f t="shared" si="23"/>
        <v>66 - 83</v>
      </c>
      <c r="K5" s="306">
        <f t="shared" si="24"/>
        <v>3.7254901960784252</v>
      </c>
      <c r="L5" s="314">
        <f t="shared" si="25"/>
        <v>-0.15152780738933541</v>
      </c>
      <c r="M5" s="314">
        <f t="shared" si="26"/>
        <v>0.226037611310904</v>
      </c>
      <c r="N5" s="308">
        <f t="shared" si="27"/>
        <v>0</v>
      </c>
      <c r="O5" s="301" t="str">
        <f t="shared" si="28"/>
        <v>RIE</v>
      </c>
      <c r="P5" s="301" t="s">
        <v>108</v>
      </c>
      <c r="Q5" s="403">
        <f>VLOOKUP(O5,'Chart 10 (2015)'!$B$49:$L$75,9,FALSE)+VLOOKUP(O5,'Chart 10 (2015)'!$B$49:$L$75,11,FALSE)</f>
        <v>61</v>
      </c>
      <c r="R5" s="403">
        <f>VLOOKUP(O5,'Chart 10 (2015)'!$B$49:$L$75,10,FALSE)</f>
        <v>85</v>
      </c>
      <c r="S5" s="403">
        <f>VLOOKUP(O5,'Chart 10'!$B$50:$L$76,9,FALSE)+VLOOKUP(O5,'Chart 10'!$B$50:$L$76,11,FALSE)</f>
        <v>77</v>
      </c>
      <c r="T5" s="403">
        <f>VLOOKUP(O5,'Chart 10'!$B$50:$L$76,10,FALSE)</f>
        <v>102</v>
      </c>
      <c r="X5" s="651"/>
    </row>
    <row r="6" spans="1:24" ht="12">
      <c r="A6" s="301" t="str">
        <f t="shared" si="15"/>
        <v>Crosshouse (n=68)</v>
      </c>
      <c r="B6" s="302">
        <f t="shared" si="16"/>
        <v>70.967741935483872</v>
      </c>
      <c r="C6" s="302">
        <f t="shared" si="17"/>
        <v>70.588235294117652</v>
      </c>
      <c r="D6" s="303">
        <f>80</f>
        <v>80</v>
      </c>
      <c r="E6" s="16">
        <f t="shared" si="18"/>
        <v>53</v>
      </c>
      <c r="F6" s="303">
        <f t="shared" si="19"/>
        <v>84</v>
      </c>
      <c r="G6" s="303">
        <f t="shared" si="20"/>
        <v>59</v>
      </c>
      <c r="H6" s="303">
        <f t="shared" si="21"/>
        <v>80</v>
      </c>
      <c r="I6" s="309" t="str">
        <f t="shared" si="22"/>
        <v>53 - 84</v>
      </c>
      <c r="J6" s="305" t="str">
        <f t="shared" si="23"/>
        <v>59 - 80</v>
      </c>
      <c r="K6" s="306">
        <f t="shared" si="24"/>
        <v>-0.37950664136621981</v>
      </c>
      <c r="L6" s="314">
        <f t="shared" si="25"/>
        <v>-0.29075535127250274</v>
      </c>
      <c r="M6" s="314">
        <f t="shared" si="26"/>
        <v>0.28316521844517828</v>
      </c>
      <c r="N6" s="308">
        <f t="shared" si="27"/>
        <v>0</v>
      </c>
      <c r="O6" s="301" t="str">
        <f t="shared" si="28"/>
        <v>Crosshouse</v>
      </c>
      <c r="P6" s="301" t="s">
        <v>59</v>
      </c>
      <c r="Q6" s="403">
        <f>VLOOKUP(O6,'Chart 10 (2015)'!$B$49:$L$75,9,FALSE)+VLOOKUP(O6,'Chart 10 (2015)'!$B$49:$L$75,11,FALSE)</f>
        <v>22</v>
      </c>
      <c r="R6" s="403">
        <f>VLOOKUP(O6,'Chart 10 (2015)'!$B$49:$L$75,10,FALSE)</f>
        <v>31</v>
      </c>
      <c r="S6" s="403">
        <f>VLOOKUP(O6,'Chart 10'!$B$50:$L$76,9,FALSE)+VLOOKUP(O6,'Chart 10'!$B$50:$L$76,11,FALSE)</f>
        <v>48</v>
      </c>
      <c r="T6" s="403">
        <f>VLOOKUP(O6,'Chart 10'!$B$50:$L$76,10,FALSE)</f>
        <v>68</v>
      </c>
      <c r="X6" s="651"/>
    </row>
    <row r="7" spans="1:24" ht="12">
      <c r="A7" s="301" t="str">
        <f t="shared" si="15"/>
        <v>Monklands (n=22)</v>
      </c>
      <c r="B7" s="302">
        <f t="shared" si="16"/>
        <v>58.974358974358978</v>
      </c>
      <c r="C7" s="302">
        <f t="shared" si="17"/>
        <v>68.181818181818173</v>
      </c>
      <c r="D7" s="303">
        <f>80</f>
        <v>80</v>
      </c>
      <c r="E7" s="16">
        <f t="shared" si="18"/>
        <v>43</v>
      </c>
      <c r="F7" s="303">
        <f t="shared" si="19"/>
        <v>73</v>
      </c>
      <c r="G7" s="303">
        <f t="shared" si="20"/>
        <v>47</v>
      </c>
      <c r="H7" s="303">
        <f t="shared" si="21"/>
        <v>84</v>
      </c>
      <c r="I7" s="309" t="str">
        <f t="shared" si="22"/>
        <v>43 - 73</v>
      </c>
      <c r="J7" s="305" t="str">
        <f t="shared" si="23"/>
        <v>47 - 84</v>
      </c>
      <c r="K7" s="306">
        <f t="shared" si="24"/>
        <v>9.2074592074591948</v>
      </c>
      <c r="L7" s="314">
        <f t="shared" si="25"/>
        <v>-0.27723090979618514</v>
      </c>
      <c r="M7" s="314">
        <f t="shared" si="26"/>
        <v>0.46138009394536916</v>
      </c>
      <c r="N7" s="308">
        <f t="shared" si="27"/>
        <v>0</v>
      </c>
      <c r="O7" s="301" t="str">
        <f t="shared" si="28"/>
        <v>Monklands</v>
      </c>
      <c r="P7" s="301" t="s">
        <v>103</v>
      </c>
      <c r="Q7" s="403">
        <f>VLOOKUP(O7,'Chart 10 (2015)'!$B$49:$L$75,9,FALSE)+VLOOKUP(O7,'Chart 10 (2015)'!$B$49:$L$75,11,FALSE)</f>
        <v>23</v>
      </c>
      <c r="R7" s="403">
        <f>VLOOKUP(O7,'Chart 10 (2015)'!$B$49:$L$75,10,FALSE)</f>
        <v>39</v>
      </c>
      <c r="S7" s="403">
        <f>VLOOKUP(O7,'Chart 10'!$B$50:$L$76,9,FALSE)+VLOOKUP(O7,'Chart 10'!$B$50:$L$76,11,FALSE)</f>
        <v>15</v>
      </c>
      <c r="T7" s="403">
        <f>VLOOKUP(O7,'Chart 10'!$B$50:$L$76,10,FALSE)</f>
        <v>22</v>
      </c>
      <c r="X7" s="651"/>
    </row>
    <row r="8" spans="1:24" ht="12">
      <c r="A8" s="301" t="str">
        <f t="shared" si="15"/>
        <v>Wishaw (n=31)</v>
      </c>
      <c r="B8" s="302">
        <f t="shared" si="16"/>
        <v>65.957446808510639</v>
      </c>
      <c r="C8" s="302">
        <f t="shared" si="17"/>
        <v>67.741935483870961</v>
      </c>
      <c r="D8" s="303">
        <f>80</f>
        <v>80</v>
      </c>
      <c r="E8" s="16">
        <f t="shared" si="18"/>
        <v>52</v>
      </c>
      <c r="F8" s="303">
        <f t="shared" si="19"/>
        <v>78</v>
      </c>
      <c r="G8" s="303">
        <f t="shared" si="20"/>
        <v>50</v>
      </c>
      <c r="H8" s="303">
        <f t="shared" si="21"/>
        <v>81</v>
      </c>
      <c r="I8" s="309" t="str">
        <f t="shared" si="22"/>
        <v>52 - 78</v>
      </c>
      <c r="J8" s="305" t="str">
        <f t="shared" si="23"/>
        <v>50 - 81</v>
      </c>
      <c r="K8" s="306">
        <f t="shared" si="24"/>
        <v>1.784488675360322</v>
      </c>
      <c r="L8" s="314">
        <f t="shared" si="25"/>
        <v>-0.2990216147045725</v>
      </c>
      <c r="M8" s="314">
        <f t="shared" si="26"/>
        <v>0.33471138821177909</v>
      </c>
      <c r="N8" s="308">
        <f t="shared" si="27"/>
        <v>0</v>
      </c>
      <c r="O8" s="301" t="str">
        <f t="shared" si="28"/>
        <v>Wishaw</v>
      </c>
      <c r="P8" s="301" t="s">
        <v>106</v>
      </c>
      <c r="Q8" s="403">
        <f>VLOOKUP(O8,'Chart 10 (2015)'!$B$49:$L$75,9,FALSE)+VLOOKUP(O8,'Chart 10 (2015)'!$B$49:$L$75,11,FALSE)</f>
        <v>31</v>
      </c>
      <c r="R8" s="403">
        <f>VLOOKUP(O8,'Chart 10 (2015)'!$B$49:$L$75,10,FALSE)</f>
        <v>47</v>
      </c>
      <c r="S8" s="403">
        <f>VLOOKUP(O8,'Chart 10'!$B$50:$L$76,9,FALSE)+VLOOKUP(O8,'Chart 10'!$B$50:$L$76,11,FALSE)</f>
        <v>21</v>
      </c>
      <c r="T8" s="403">
        <f>VLOOKUP(O8,'Chart 10'!$B$50:$L$76,10,FALSE)</f>
        <v>31</v>
      </c>
      <c r="X8" s="651"/>
    </row>
    <row r="9" spans="1:24" ht="12">
      <c r="A9" s="301" t="str">
        <f t="shared" si="15"/>
        <v>Hairmyres (n=24)</v>
      </c>
      <c r="B9" s="302">
        <f t="shared" si="16"/>
        <v>73.076923076923066</v>
      </c>
      <c r="C9" s="302">
        <f t="shared" si="17"/>
        <v>66.666666666666657</v>
      </c>
      <c r="D9" s="303">
        <f>80</f>
        <v>80</v>
      </c>
      <c r="E9" s="16">
        <f t="shared" si="18"/>
        <v>54</v>
      </c>
      <c r="F9" s="303">
        <f t="shared" si="19"/>
        <v>86</v>
      </c>
      <c r="G9" s="303">
        <f t="shared" si="20"/>
        <v>47</v>
      </c>
      <c r="H9" s="303">
        <f t="shared" si="21"/>
        <v>82</v>
      </c>
      <c r="I9" s="309" t="str">
        <f t="shared" si="22"/>
        <v>54 - 86</v>
      </c>
      <c r="J9" s="305" t="str">
        <f t="shared" si="23"/>
        <v>47 - 82</v>
      </c>
      <c r="K9" s="306">
        <f t="shared" si="24"/>
        <v>-6.4102564102564088</v>
      </c>
      <c r="L9" s="314">
        <f t="shared" si="25"/>
        <v>-0.44206123487132187</v>
      </c>
      <c r="M9" s="314">
        <f t="shared" si="26"/>
        <v>0.31385610666619368</v>
      </c>
      <c r="N9" s="308">
        <f t="shared" si="27"/>
        <v>0</v>
      </c>
      <c r="O9" s="301" t="str">
        <f t="shared" si="28"/>
        <v>Hairmyres</v>
      </c>
      <c r="P9" s="301" t="s">
        <v>100</v>
      </c>
      <c r="Q9" s="403">
        <f>VLOOKUP(O9,'Chart 10 (2015)'!$B$49:$L$75,9,FALSE)+VLOOKUP(O9,'Chart 10 (2015)'!$B$49:$L$75,11,FALSE)</f>
        <v>19</v>
      </c>
      <c r="R9" s="403">
        <f>VLOOKUP(O9,'Chart 10 (2015)'!$B$49:$L$75,10,FALSE)</f>
        <v>26</v>
      </c>
      <c r="S9" s="403">
        <f>VLOOKUP(O9,'Chart 10'!$B$50:$L$76,9,FALSE)+VLOOKUP(O9,'Chart 10'!$B$50:$L$76,11,FALSE)</f>
        <v>16</v>
      </c>
      <c r="T9" s="403">
        <f>VLOOKUP(O9,'Chart 10'!$B$50:$L$76,10,FALSE)</f>
        <v>24</v>
      </c>
      <c r="X9" s="651"/>
    </row>
    <row r="10" spans="1:24" ht="12">
      <c r="A10" s="301" t="str">
        <f t="shared" si="15"/>
        <v>Western Isles (n=3)</v>
      </c>
      <c r="B10" s="302">
        <f t="shared" si="16"/>
        <v>50</v>
      </c>
      <c r="C10" s="302">
        <f t="shared" si="17"/>
        <v>66.666666666666657</v>
      </c>
      <c r="D10" s="303">
        <f>80</f>
        <v>80</v>
      </c>
      <c r="E10" s="16">
        <f t="shared" si="18"/>
        <v>22</v>
      </c>
      <c r="F10" s="303">
        <f t="shared" si="19"/>
        <v>78</v>
      </c>
      <c r="G10" s="303">
        <f t="shared" si="20"/>
        <v>21</v>
      </c>
      <c r="H10" s="303">
        <f t="shared" si="21"/>
        <v>94</v>
      </c>
      <c r="I10" s="309" t="str">
        <f t="shared" si="22"/>
        <v>22 - 78</v>
      </c>
      <c r="J10" s="305" t="str">
        <f t="shared" si="23"/>
        <v>21 - 94</v>
      </c>
      <c r="K10" s="306">
        <f t="shared" si="24"/>
        <v>16.666666666666657</v>
      </c>
      <c r="L10" s="314">
        <f t="shared" si="25"/>
        <v>-0.77894447726257743</v>
      </c>
      <c r="M10" s="314">
        <f t="shared" si="26"/>
        <v>1.1122778105959106</v>
      </c>
      <c r="N10" s="308">
        <f t="shared" si="27"/>
        <v>0</v>
      </c>
      <c r="O10" s="301" t="str">
        <f t="shared" si="28"/>
        <v>Western Isles</v>
      </c>
      <c r="P10" s="301" t="s">
        <v>132</v>
      </c>
      <c r="Q10" s="403">
        <f>VLOOKUP(O10,'Chart 10 (2015)'!$B$49:$L$75,9,FALSE)+VLOOKUP(O10,'Chart 10 (2015)'!$B$49:$L$75,11,FALSE)</f>
        <v>4</v>
      </c>
      <c r="R10" s="403">
        <f>VLOOKUP(O10,'Chart 10 (2015)'!$B$49:$L$75,10,FALSE)</f>
        <v>8</v>
      </c>
      <c r="S10" s="403">
        <f>VLOOKUP(O10,'Chart 10'!$B$50:$L$76,9,FALSE)+VLOOKUP(O10,'Chart 10'!$B$50:$L$76,11,FALSE)</f>
        <v>2</v>
      </c>
      <c r="T10" s="403">
        <f>VLOOKUP(O10,'Chart 10'!$B$50:$L$76,10,FALSE)</f>
        <v>3</v>
      </c>
      <c r="X10" s="651"/>
    </row>
    <row r="11" spans="1:24" ht="12">
      <c r="A11" s="301" t="str">
        <f t="shared" si="15"/>
        <v>ARI (n=114)</v>
      </c>
      <c r="B11" s="302">
        <f t="shared" si="16"/>
        <v>75.657894736842096</v>
      </c>
      <c r="C11" s="302">
        <f t="shared" si="17"/>
        <v>65.789473684210535</v>
      </c>
      <c r="D11" s="303">
        <f>80</f>
        <v>80</v>
      </c>
      <c r="E11" s="16">
        <f t="shared" si="18"/>
        <v>68</v>
      </c>
      <c r="F11" s="303">
        <f t="shared" si="19"/>
        <v>82</v>
      </c>
      <c r="G11" s="303">
        <f t="shared" si="20"/>
        <v>57</v>
      </c>
      <c r="H11" s="303">
        <f t="shared" si="21"/>
        <v>74</v>
      </c>
      <c r="I11" s="309" t="str">
        <f t="shared" si="22"/>
        <v>68 - 82</v>
      </c>
      <c r="J11" s="305" t="str">
        <f t="shared" si="23"/>
        <v>57 - 74</v>
      </c>
      <c r="K11" s="306">
        <f t="shared" si="24"/>
        <v>-9.868421052631561</v>
      </c>
      <c r="L11" s="314">
        <f t="shared" si="25"/>
        <v>-0.26314640210220913</v>
      </c>
      <c r="M11" s="314">
        <f t="shared" si="26"/>
        <v>6.5777981049577716E-2</v>
      </c>
      <c r="N11" s="308">
        <f t="shared" si="27"/>
        <v>0</v>
      </c>
      <c r="O11" s="301" t="str">
        <f t="shared" si="28"/>
        <v>ARI</v>
      </c>
      <c r="P11" s="301" t="s">
        <v>74</v>
      </c>
      <c r="Q11" s="403">
        <f>VLOOKUP(O11,'Chart 10 (2015)'!$B$49:$L$75,9,FALSE)+VLOOKUP(O11,'Chart 10 (2015)'!$B$49:$L$75,11,FALSE)</f>
        <v>115</v>
      </c>
      <c r="R11" s="403">
        <f>VLOOKUP(O11,'Chart 10 (2015)'!$B$49:$L$75,10,FALSE)</f>
        <v>152</v>
      </c>
      <c r="S11" s="403">
        <f>VLOOKUP(O11,'Chart 10'!$B$50:$L$76,9,FALSE)+VLOOKUP(O11,'Chart 10'!$B$50:$L$76,11,FALSE)</f>
        <v>75</v>
      </c>
      <c r="T11" s="403">
        <f>VLOOKUP(O11,'Chart 10'!$B$50:$L$76,10,FALSE)</f>
        <v>114</v>
      </c>
      <c r="X11" s="651"/>
    </row>
    <row r="12" spans="1:24" ht="12">
      <c r="A12" s="301" t="str">
        <f t="shared" si="15"/>
        <v>VHK (n=72)</v>
      </c>
      <c r="B12" s="302">
        <f t="shared" si="16"/>
        <v>49.122807017543856</v>
      </c>
      <c r="C12" s="302">
        <f t="shared" si="17"/>
        <v>59.722222222222221</v>
      </c>
      <c r="D12" s="303">
        <f>80</f>
        <v>80</v>
      </c>
      <c r="E12" s="16">
        <f t="shared" si="18"/>
        <v>37</v>
      </c>
      <c r="F12" s="303">
        <f t="shared" si="19"/>
        <v>62</v>
      </c>
      <c r="G12" s="303">
        <f t="shared" si="20"/>
        <v>48</v>
      </c>
      <c r="H12" s="303">
        <f t="shared" si="21"/>
        <v>70</v>
      </c>
      <c r="I12" s="309" t="str">
        <f t="shared" si="22"/>
        <v>37 - 62</v>
      </c>
      <c r="J12" s="305" t="str">
        <f t="shared" si="23"/>
        <v>48 - 70</v>
      </c>
      <c r="K12" s="306">
        <f t="shared" si="24"/>
        <v>10.599415204678365</v>
      </c>
      <c r="L12" s="314">
        <f t="shared" si="25"/>
        <v>-0.15010825629946223</v>
      </c>
      <c r="M12" s="314">
        <f t="shared" si="26"/>
        <v>0.36209656039302951</v>
      </c>
      <c r="N12" s="308">
        <f t="shared" si="27"/>
        <v>0</v>
      </c>
      <c r="O12" s="301" t="str">
        <f t="shared" si="28"/>
        <v>VHK</v>
      </c>
      <c r="P12" s="301" t="s">
        <v>281</v>
      </c>
      <c r="Q12" s="403">
        <f>VLOOKUP(O12,'Chart 10 (2015)'!$B$49:$L$75,9,FALSE)+VLOOKUP(O12,'Chart 10 (2015)'!$B$49:$L$75,11,FALSE)</f>
        <v>28</v>
      </c>
      <c r="R12" s="403">
        <f>VLOOKUP(O12,'Chart 10 (2015)'!$B$49:$L$75,10,FALSE)</f>
        <v>57</v>
      </c>
      <c r="S12" s="403">
        <f>VLOOKUP(O12,'Chart 10'!$B$50:$L$76,9,FALSE)+VLOOKUP(O12,'Chart 10'!$B$50:$L$76,11,FALSE)</f>
        <v>43</v>
      </c>
      <c r="T12" s="403">
        <f>VLOOKUP(O12,'Chart 10'!$B$50:$L$76,10,FALSE)</f>
        <v>72</v>
      </c>
      <c r="X12" s="651"/>
    </row>
    <row r="13" spans="1:24" ht="12">
      <c r="A13" s="301" t="str">
        <f t="shared" si="15"/>
        <v>SJH (n=25)</v>
      </c>
      <c r="B13" s="302">
        <f t="shared" si="16"/>
        <v>65.384615384615387</v>
      </c>
      <c r="C13" s="302">
        <f t="shared" si="17"/>
        <v>56.000000000000007</v>
      </c>
      <c r="D13" s="303">
        <f>80</f>
        <v>80</v>
      </c>
      <c r="E13" s="16">
        <f t="shared" si="18"/>
        <v>46</v>
      </c>
      <c r="F13" s="303">
        <f t="shared" si="19"/>
        <v>81</v>
      </c>
      <c r="G13" s="303">
        <f t="shared" si="20"/>
        <v>37</v>
      </c>
      <c r="H13" s="303">
        <f t="shared" si="21"/>
        <v>73</v>
      </c>
      <c r="I13" s="309" t="str">
        <f t="shared" si="22"/>
        <v>46 - 81</v>
      </c>
      <c r="J13" s="305" t="str">
        <f t="shared" si="23"/>
        <v>37 - 73</v>
      </c>
      <c r="K13" s="306">
        <f t="shared" si="24"/>
        <v>-9.3846153846153797</v>
      </c>
      <c r="L13" s="314">
        <f t="shared" si="25"/>
        <v>-0.4908091771007651</v>
      </c>
      <c r="M13" s="314">
        <f t="shared" si="26"/>
        <v>0.3031168694084575</v>
      </c>
      <c r="N13" s="308">
        <f t="shared" si="27"/>
        <v>0</v>
      </c>
      <c r="O13" s="301" t="str">
        <f t="shared" si="28"/>
        <v>SJH</v>
      </c>
      <c r="P13" s="301" t="s">
        <v>111</v>
      </c>
      <c r="Q13" s="403">
        <f>VLOOKUP(O13,'Chart 10 (2015)'!$B$49:$L$75,9,FALSE)+VLOOKUP(O13,'Chart 10 (2015)'!$B$49:$L$75,11,FALSE)</f>
        <v>17</v>
      </c>
      <c r="R13" s="403">
        <f>VLOOKUP(O13,'Chart 10 (2015)'!$B$49:$L$75,10,FALSE)</f>
        <v>26</v>
      </c>
      <c r="S13" s="403">
        <f>VLOOKUP(O13,'Chart 10'!$B$50:$L$76,9,FALSE)+VLOOKUP(O13,'Chart 10'!$B$50:$L$76,11,FALSE)</f>
        <v>14</v>
      </c>
      <c r="T13" s="403">
        <f>VLOOKUP(O13,'Chart 10'!$B$50:$L$76,10,FALSE)</f>
        <v>25</v>
      </c>
      <c r="X13" s="651"/>
    </row>
    <row r="14" spans="1:24" ht="12">
      <c r="A14" s="301" t="str">
        <f t="shared" si="15"/>
        <v>DGRI (n=25)</v>
      </c>
      <c r="B14" s="302">
        <f t="shared" si="16"/>
        <v>50</v>
      </c>
      <c r="C14" s="302">
        <f t="shared" si="17"/>
        <v>56.000000000000007</v>
      </c>
      <c r="D14" s="303">
        <f>80</f>
        <v>80</v>
      </c>
      <c r="E14" s="16">
        <f t="shared" si="18"/>
        <v>32</v>
      </c>
      <c r="F14" s="303">
        <f t="shared" si="19"/>
        <v>68</v>
      </c>
      <c r="G14" s="303">
        <f t="shared" si="20"/>
        <v>37</v>
      </c>
      <c r="H14" s="303">
        <f t="shared" si="21"/>
        <v>73</v>
      </c>
      <c r="I14" s="309" t="str">
        <f t="shared" si="22"/>
        <v>32 - 68</v>
      </c>
      <c r="J14" s="305" t="str">
        <f t="shared" si="23"/>
        <v>37 - 73</v>
      </c>
      <c r="K14" s="306">
        <f t="shared" si="24"/>
        <v>6.0000000000000071</v>
      </c>
      <c r="L14" s="314">
        <f t="shared" si="25"/>
        <v>-0.34658108872821114</v>
      </c>
      <c r="M14" s="314">
        <f t="shared" si="26"/>
        <v>0.46658108872821125</v>
      </c>
      <c r="N14" s="308">
        <f t="shared" si="27"/>
        <v>0</v>
      </c>
      <c r="O14" s="301" t="str">
        <f t="shared" si="28"/>
        <v>DGRI</v>
      </c>
      <c r="P14" s="301" t="s">
        <v>64</v>
      </c>
      <c r="Q14" s="403">
        <f>VLOOKUP(O14,'Chart 10 (2015)'!$B$49:$L$75,9,FALSE)+VLOOKUP(O14,'Chart 10 (2015)'!$B$49:$L$75,11,FALSE)</f>
        <v>13</v>
      </c>
      <c r="R14" s="403">
        <f>VLOOKUP(O14,'Chart 10 (2015)'!$B$49:$L$75,10,FALSE)</f>
        <v>26</v>
      </c>
      <c r="S14" s="403">
        <f>VLOOKUP(O14,'Chart 10'!$B$50:$L$76,9,FALSE)+VLOOKUP(O14,'Chart 10'!$B$50:$L$76,11,FALSE)</f>
        <v>14</v>
      </c>
      <c r="T14" s="403">
        <f>VLOOKUP(O14,'Chart 10'!$B$50:$L$76,10,FALSE)</f>
        <v>25</v>
      </c>
      <c r="X14" s="651"/>
    </row>
    <row r="15" spans="1:24" ht="12">
      <c r="A15" s="301" t="str">
        <f t="shared" si="15"/>
        <v>WGH (n=10)</v>
      </c>
      <c r="B15" s="302">
        <f t="shared" si="16"/>
        <v>27.27272727272727</v>
      </c>
      <c r="C15" s="302">
        <f t="shared" si="17"/>
        <v>50</v>
      </c>
      <c r="D15" s="303">
        <f>80</f>
        <v>80</v>
      </c>
      <c r="E15" s="16">
        <f t="shared" si="18"/>
        <v>10</v>
      </c>
      <c r="F15" s="303">
        <f t="shared" si="19"/>
        <v>57</v>
      </c>
      <c r="G15" s="303">
        <f t="shared" si="20"/>
        <v>24</v>
      </c>
      <c r="H15" s="303">
        <f t="shared" si="21"/>
        <v>76</v>
      </c>
      <c r="I15" s="309" t="str">
        <f t="shared" si="22"/>
        <v>10 - 57</v>
      </c>
      <c r="J15" s="305" t="str">
        <f t="shared" si="23"/>
        <v>24 - 76</v>
      </c>
      <c r="K15" s="306">
        <f t="shared" si="24"/>
        <v>22.72727272727273</v>
      </c>
      <c r="L15" s="314">
        <f t="shared" si="25"/>
        <v>-0.37715207620135016</v>
      </c>
      <c r="M15" s="314">
        <f t="shared" si="26"/>
        <v>0.83169753074680475</v>
      </c>
      <c r="N15" s="308">
        <f t="shared" si="27"/>
        <v>0</v>
      </c>
      <c r="O15" s="301" t="str">
        <f t="shared" si="28"/>
        <v>WGH</v>
      </c>
      <c r="P15" s="301" t="s">
        <v>114</v>
      </c>
      <c r="Q15" s="403">
        <f>VLOOKUP(O15,'Chart 10 (2015)'!$B$49:$L$75,9,FALSE)+VLOOKUP(O15,'Chart 10 (2015)'!$B$49:$L$75,11,FALSE)</f>
        <v>3</v>
      </c>
      <c r="R15" s="403">
        <f>VLOOKUP(O15,'Chart 10 (2015)'!$B$49:$L$75,10,FALSE)</f>
        <v>11</v>
      </c>
      <c r="S15" s="403">
        <f>VLOOKUP(O15,'Chart 10'!$B$50:$L$76,9,FALSE)+VLOOKUP(O15,'Chart 10'!$B$50:$L$76,11,FALSE)</f>
        <v>5</v>
      </c>
      <c r="T15" s="403">
        <f>VLOOKUP(O15,'Chart 10'!$B$50:$L$76,10,FALSE)</f>
        <v>10</v>
      </c>
      <c r="X15" s="651"/>
    </row>
    <row r="16" spans="1:24" ht="12">
      <c r="A16" s="301" t="str">
        <f t="shared" si="15"/>
        <v>Raigmore (n=18)</v>
      </c>
      <c r="B16" s="302">
        <f t="shared" si="16"/>
        <v>19.047619047619047</v>
      </c>
      <c r="C16" s="302">
        <f t="shared" si="17"/>
        <v>50</v>
      </c>
      <c r="D16" s="303">
        <f>80</f>
        <v>80</v>
      </c>
      <c r="E16" s="16">
        <f t="shared" si="18"/>
        <v>8</v>
      </c>
      <c r="F16" s="303">
        <f t="shared" si="19"/>
        <v>40</v>
      </c>
      <c r="G16" s="303">
        <f t="shared" si="20"/>
        <v>29</v>
      </c>
      <c r="H16" s="303">
        <f t="shared" si="21"/>
        <v>71</v>
      </c>
      <c r="I16" s="309" t="str">
        <f t="shared" si="22"/>
        <v>8 - 40</v>
      </c>
      <c r="J16" s="305" t="str">
        <f t="shared" si="23"/>
        <v>29 - 71</v>
      </c>
      <c r="K16" s="306">
        <f t="shared" si="24"/>
        <v>30.952380952380953</v>
      </c>
      <c r="L16" s="314">
        <f t="shared" si="25"/>
        <v>-0.11503629591381026</v>
      </c>
      <c r="M16" s="314">
        <f t="shared" si="26"/>
        <v>0.73408391496142933</v>
      </c>
      <c r="N16" s="308">
        <f t="shared" si="27"/>
        <v>0</v>
      </c>
      <c r="O16" s="301" t="str">
        <f t="shared" si="28"/>
        <v>Raigmore</v>
      </c>
      <c r="P16" s="301" t="s">
        <v>97</v>
      </c>
      <c r="Q16" s="403">
        <f>VLOOKUP(O16,'Chart 10 (2015)'!$B$49:$L$75,9,FALSE)+VLOOKUP(O16,'Chart 10 (2015)'!$B$49:$L$75,11,FALSE)</f>
        <v>4</v>
      </c>
      <c r="R16" s="403">
        <f>VLOOKUP(O16,'Chart 10 (2015)'!$B$49:$L$75,10,FALSE)</f>
        <v>21</v>
      </c>
      <c r="S16" s="403">
        <f>VLOOKUP(O16,'Chart 10'!$B$50:$L$76,9,FALSE)+VLOOKUP(O16,'Chart 10'!$B$50:$L$76,11,FALSE)</f>
        <v>9</v>
      </c>
      <c r="T16" s="403">
        <f>VLOOKUP(O16,'Chart 10'!$B$50:$L$76,10,FALSE)</f>
        <v>18</v>
      </c>
      <c r="X16" s="651"/>
    </row>
    <row r="17" spans="1:24" ht="12">
      <c r="A17" s="301" t="str">
        <f t="shared" si="15"/>
        <v>GRI (n=16)</v>
      </c>
      <c r="B17" s="302">
        <f t="shared" si="16"/>
        <v>0</v>
      </c>
      <c r="C17" s="302">
        <f t="shared" si="17"/>
        <v>50</v>
      </c>
      <c r="D17" s="303">
        <f>80</f>
        <v>80</v>
      </c>
      <c r="E17" s="16">
        <f t="shared" si="18"/>
        <v>0</v>
      </c>
      <c r="F17" s="303">
        <f t="shared" si="19"/>
        <v>79</v>
      </c>
      <c r="G17" s="303">
        <f t="shared" si="20"/>
        <v>28</v>
      </c>
      <c r="H17" s="303">
        <f t="shared" si="21"/>
        <v>72</v>
      </c>
      <c r="I17" s="309" t="str">
        <f t="shared" si="22"/>
        <v>0 - 79</v>
      </c>
      <c r="J17" s="305" t="str">
        <f t="shared" si="23"/>
        <v>28 - 72</v>
      </c>
      <c r="K17" s="306">
        <f t="shared" si="24"/>
        <v>50</v>
      </c>
      <c r="L17" s="314">
        <f t="shared" si="25"/>
        <v>0.13578421020820963</v>
      </c>
      <c r="M17" s="314">
        <f t="shared" si="26"/>
        <v>0.86421578979179037</v>
      </c>
      <c r="N17" s="308">
        <f t="shared" si="27"/>
        <v>1</v>
      </c>
      <c r="O17" s="301" t="str">
        <f t="shared" si="28"/>
        <v>GRI</v>
      </c>
      <c r="P17" s="301" t="s">
        <v>79</v>
      </c>
      <c r="Q17" s="403">
        <f>VLOOKUP(O17,'Chart 10 (2015)'!$B$49:$L$75,9,FALSE)+VLOOKUP(O17,'Chart 10 (2015)'!$B$49:$L$75,11,FALSE)</f>
        <v>0</v>
      </c>
      <c r="R17" s="403">
        <f>VLOOKUP(O17,'Chart 10 (2015)'!$B$49:$L$75,10,FALSE)</f>
        <v>1</v>
      </c>
      <c r="S17" s="403">
        <f>VLOOKUP(O17,'Chart 10'!$B$50:$L$76,9,FALSE)+VLOOKUP(O17,'Chart 10'!$B$50:$L$76,11,FALSE)</f>
        <v>8</v>
      </c>
      <c r="T17" s="403">
        <f>VLOOKUP(O17,'Chart 10'!$B$50:$L$76,10,FALSE)</f>
        <v>16</v>
      </c>
      <c r="X17" s="651"/>
    </row>
    <row r="18" spans="1:24" ht="12">
      <c r="A18" s="301" t="str">
        <f t="shared" si="15"/>
        <v>FVRH (n=51)</v>
      </c>
      <c r="B18" s="302">
        <f t="shared" si="16"/>
        <v>30.76923076923077</v>
      </c>
      <c r="C18" s="302">
        <f t="shared" si="17"/>
        <v>49.019607843137251</v>
      </c>
      <c r="D18" s="303">
        <f>80</f>
        <v>80</v>
      </c>
      <c r="E18" s="16">
        <f t="shared" si="18"/>
        <v>19</v>
      </c>
      <c r="F18" s="303">
        <f t="shared" si="19"/>
        <v>46</v>
      </c>
      <c r="G18" s="303">
        <f t="shared" si="20"/>
        <v>36</v>
      </c>
      <c r="H18" s="303">
        <f t="shared" si="21"/>
        <v>62</v>
      </c>
      <c r="I18" s="309" t="str">
        <f t="shared" si="22"/>
        <v>19 - 46</v>
      </c>
      <c r="J18" s="305" t="str">
        <f t="shared" si="23"/>
        <v>36 - 62</v>
      </c>
      <c r="K18" s="306">
        <f t="shared" si="24"/>
        <v>18.250377073906481</v>
      </c>
      <c r="L18" s="314">
        <f t="shared" si="25"/>
        <v>-0.11409682075604505</v>
      </c>
      <c r="M18" s="314">
        <f t="shared" si="26"/>
        <v>0.47910436223417469</v>
      </c>
      <c r="N18" s="308">
        <f t="shared" si="27"/>
        <v>0</v>
      </c>
      <c r="O18" s="301" t="str">
        <f t="shared" si="28"/>
        <v>FVRH</v>
      </c>
      <c r="P18" s="301" t="s">
        <v>72</v>
      </c>
      <c r="Q18" s="403">
        <f>VLOOKUP(O18,'Chart 10 (2015)'!$B$49:$L$75,9,FALSE)+VLOOKUP(O18,'Chart 10 (2015)'!$B$49:$L$75,11,FALSE)</f>
        <v>12</v>
      </c>
      <c r="R18" s="403">
        <f>VLOOKUP(O18,'Chart 10 (2015)'!$B$49:$L$75,10,FALSE)</f>
        <v>39</v>
      </c>
      <c r="S18" s="403">
        <f>VLOOKUP(O18,'Chart 10'!$B$50:$L$76,9,FALSE)+VLOOKUP(O18,'Chart 10'!$B$50:$L$76,11,FALSE)</f>
        <v>25</v>
      </c>
      <c r="T18" s="403">
        <f>VLOOKUP(O18,'Chart 10'!$B$50:$L$76,10,FALSE)</f>
        <v>51</v>
      </c>
      <c r="X18" s="651"/>
    </row>
    <row r="19" spans="1:24" ht="12">
      <c r="A19" s="301" t="str">
        <f t="shared" si="15"/>
        <v>PRI (n=23)</v>
      </c>
      <c r="B19" s="302">
        <f t="shared" si="16"/>
        <v>53.846153846153847</v>
      </c>
      <c r="C19" s="302">
        <f t="shared" si="17"/>
        <v>43.478260869565219</v>
      </c>
      <c r="D19" s="303">
        <f>80</f>
        <v>80</v>
      </c>
      <c r="E19" s="16">
        <f t="shared" si="18"/>
        <v>35</v>
      </c>
      <c r="F19" s="303">
        <f t="shared" si="19"/>
        <v>71</v>
      </c>
      <c r="G19" s="303">
        <f t="shared" si="20"/>
        <v>26</v>
      </c>
      <c r="H19" s="303">
        <f t="shared" si="21"/>
        <v>63</v>
      </c>
      <c r="I19" s="309" t="str">
        <f t="shared" si="22"/>
        <v>35 - 71</v>
      </c>
      <c r="J19" s="305" t="str">
        <f t="shared" si="23"/>
        <v>26 - 63</v>
      </c>
      <c r="K19" s="306">
        <f t="shared" si="24"/>
        <v>-10.367892976588628</v>
      </c>
      <c r="L19" s="314">
        <f t="shared" si="25"/>
        <v>-0.51823908985714406</v>
      </c>
      <c r="M19" s="314">
        <f t="shared" si="26"/>
        <v>0.31088123032537152</v>
      </c>
      <c r="N19" s="308">
        <f t="shared" si="27"/>
        <v>0</v>
      </c>
      <c r="O19" s="301" t="str">
        <f t="shared" si="28"/>
        <v>PRI</v>
      </c>
      <c r="P19" s="301" t="s">
        <v>126</v>
      </c>
      <c r="Q19" s="403">
        <f>VLOOKUP(O19,'Chart 10 (2015)'!$B$49:$L$75,9,FALSE)+VLOOKUP(O19,'Chart 10 (2015)'!$B$49:$L$75,11,FALSE)</f>
        <v>14</v>
      </c>
      <c r="R19" s="403">
        <f>VLOOKUP(O19,'Chart 10 (2015)'!$B$49:$L$75,10,FALSE)</f>
        <v>26</v>
      </c>
      <c r="S19" s="403">
        <f>VLOOKUP(O19,'Chart 10'!$B$50:$L$76,9,FALSE)+VLOOKUP(O19,'Chart 10'!$B$50:$L$76,11,FALSE)</f>
        <v>10</v>
      </c>
      <c r="T19" s="403">
        <f>VLOOKUP(O19,'Chart 10'!$B$50:$L$76,10,FALSE)</f>
        <v>23</v>
      </c>
      <c r="X19" s="651"/>
    </row>
    <row r="20" spans="1:24" ht="12">
      <c r="A20" s="301" t="str">
        <f>O20&amp;" 5 (n="&amp;VLOOKUP(O20,$O$3:$T$30,6,FALSE)&amp;")"</f>
        <v>QEUH 5 (n=186)</v>
      </c>
      <c r="B20" s="302">
        <f t="shared" si="16"/>
        <v>28.761061946902654</v>
      </c>
      <c r="C20" s="302">
        <f t="shared" si="17"/>
        <v>34.946236559139784</v>
      </c>
      <c r="D20" s="303">
        <f>80</f>
        <v>80</v>
      </c>
      <c r="E20" s="16">
        <f t="shared" si="18"/>
        <v>23</v>
      </c>
      <c r="F20" s="303">
        <f t="shared" si="19"/>
        <v>35</v>
      </c>
      <c r="G20" s="303">
        <f t="shared" si="20"/>
        <v>28</v>
      </c>
      <c r="H20" s="303">
        <f t="shared" si="21"/>
        <v>42</v>
      </c>
      <c r="I20" s="309" t="str">
        <f t="shared" si="22"/>
        <v>23 - 35</v>
      </c>
      <c r="J20" s="305" t="str">
        <f t="shared" si="23"/>
        <v>28 - 42</v>
      </c>
      <c r="K20" s="306">
        <f t="shared" si="24"/>
        <v>6.1851746122371303</v>
      </c>
      <c r="L20" s="314">
        <f t="shared" si="25"/>
        <v>-7.2585887998585591E-2</v>
      </c>
      <c r="M20" s="314">
        <f t="shared" si="26"/>
        <v>0.19628938024332823</v>
      </c>
      <c r="N20" s="308">
        <f t="shared" si="27"/>
        <v>0</v>
      </c>
      <c r="O20" s="301" t="str">
        <f t="shared" si="28"/>
        <v>QEUH</v>
      </c>
      <c r="P20" s="301" t="s">
        <v>447</v>
      </c>
      <c r="Q20" s="403">
        <f>VLOOKUP(O20,'Chart 10 (2015)'!$B$49:$L$75,9,FALSE)+VLOOKUP(O20,'Chart 10 (2015)'!$B$49:$L$75,11,FALSE)</f>
        <v>65</v>
      </c>
      <c r="R20" s="403">
        <f>VLOOKUP(O20,'Chart 10 (2015)'!$B$49:$L$75,10,FALSE)</f>
        <v>226</v>
      </c>
      <c r="S20" s="403">
        <f>VLOOKUP(O20,'Chart 10'!$B$50:$L$76,9,FALSE)+VLOOKUP(O20,'Chart 10'!$B$50:$L$76,11,FALSE)</f>
        <v>65</v>
      </c>
      <c r="T20" s="403">
        <f>VLOOKUP(O20,'Chart 10'!$B$50:$L$76,10,FALSE)</f>
        <v>186</v>
      </c>
      <c r="X20" s="651"/>
    </row>
    <row r="21" spans="1:24" ht="12">
      <c r="A21" s="301" t="str">
        <f>O21&amp;" 5 (n="&amp;VLOOKUP(O21,$O$3:$T$30,6,FALSE)&amp;")"</f>
        <v>L&amp;I 5 (n=9)</v>
      </c>
      <c r="B21" s="302">
        <f t="shared" si="16"/>
        <v>0</v>
      </c>
      <c r="C21" s="302">
        <f t="shared" si="17"/>
        <v>33.333333333333329</v>
      </c>
      <c r="D21" s="303">
        <f>80</f>
        <v>80</v>
      </c>
      <c r="E21" s="16">
        <f t="shared" si="18"/>
        <v>0</v>
      </c>
      <c r="F21" s="303">
        <f t="shared" si="19"/>
        <v>56</v>
      </c>
      <c r="G21" s="303">
        <f t="shared" si="20"/>
        <v>12</v>
      </c>
      <c r="H21" s="303">
        <f t="shared" si="21"/>
        <v>65</v>
      </c>
      <c r="I21" s="309" t="str">
        <f t="shared" si="22"/>
        <v>0 - 56</v>
      </c>
      <c r="J21" s="305" t="str">
        <f t="shared" si="23"/>
        <v>12 - 65</v>
      </c>
      <c r="K21" s="306">
        <f t="shared" si="24"/>
        <v>33.333333333333329</v>
      </c>
      <c r="L21" s="314">
        <f t="shared" si="25"/>
        <v>-0.1245145862702029</v>
      </c>
      <c r="M21" s="314">
        <f t="shared" si="26"/>
        <v>0.79118125293686958</v>
      </c>
      <c r="N21" s="308">
        <f t="shared" si="27"/>
        <v>0</v>
      </c>
      <c r="O21" s="301" t="str">
        <f t="shared" si="28"/>
        <v>L&amp;I</v>
      </c>
      <c r="P21" s="301" t="s">
        <v>94</v>
      </c>
      <c r="Q21" s="403">
        <f>VLOOKUP(O21,'Chart 10 (2015)'!$B$49:$L$75,9,FALSE)+VLOOKUP(O21,'Chart 10 (2015)'!$B$49:$L$75,11,FALSE)</f>
        <v>0</v>
      </c>
      <c r="R21" s="403">
        <f>VLOOKUP(O21,'Chart 10 (2015)'!$B$49:$L$75,10,FALSE)</f>
        <v>3</v>
      </c>
      <c r="S21" s="403">
        <f>VLOOKUP(O21,'Chart 10'!$B$50:$L$76,9,FALSE)+VLOOKUP(O21,'Chart 10'!$B$50:$L$76,11,FALSE)</f>
        <v>3</v>
      </c>
      <c r="T21" s="403">
        <f>VLOOKUP(O21,'Chart 10'!$B$50:$L$76,10,FALSE)</f>
        <v>9</v>
      </c>
      <c r="X21" s="651"/>
    </row>
    <row r="22" spans="1:24" ht="12">
      <c r="A22" s="315" t="str">
        <f>O22&amp;" (n="&amp;VLOOKUP(O22,$O$3:$T$30,6,FALSE)&amp;")"</f>
        <v>Dr Grays (n=20)</v>
      </c>
      <c r="B22" s="302">
        <f t="shared" si="16"/>
        <v>25</v>
      </c>
      <c r="C22" s="302">
        <f t="shared" si="17"/>
        <v>30</v>
      </c>
      <c r="D22" s="303">
        <f>80</f>
        <v>80</v>
      </c>
      <c r="E22" s="16">
        <f t="shared" si="18"/>
        <v>7</v>
      </c>
      <c r="F22" s="303">
        <f t="shared" si="19"/>
        <v>59</v>
      </c>
      <c r="G22" s="303">
        <f t="shared" si="20"/>
        <v>15</v>
      </c>
      <c r="H22" s="303">
        <f t="shared" si="21"/>
        <v>52</v>
      </c>
      <c r="I22" s="309" t="str">
        <f t="shared" si="22"/>
        <v>7 - 59</v>
      </c>
      <c r="J22" s="305" t="str">
        <f t="shared" si="23"/>
        <v>15 - 52</v>
      </c>
      <c r="K22" s="306">
        <f t="shared" si="24"/>
        <v>5</v>
      </c>
      <c r="L22" s="314">
        <f t="shared" si="25"/>
        <v>-0.48677055005943121</v>
      </c>
      <c r="M22" s="314">
        <f t="shared" si="26"/>
        <v>0.58677055005943113</v>
      </c>
      <c r="N22" s="308">
        <f t="shared" si="27"/>
        <v>0</v>
      </c>
      <c r="O22" s="301" t="str">
        <f t="shared" si="28"/>
        <v>Dr Grays</v>
      </c>
      <c r="P22" s="301" t="s">
        <v>76</v>
      </c>
      <c r="Q22" s="403">
        <f>VLOOKUP(O22,'Chart 10 (2015)'!$B$49:$L$75,9,FALSE)+VLOOKUP(O22,'Chart 10 (2015)'!$B$49:$L$75,11,FALSE)</f>
        <v>2</v>
      </c>
      <c r="R22" s="403">
        <f>VLOOKUP(O22,'Chart 10 (2015)'!$B$49:$L$75,10,FALSE)</f>
        <v>8</v>
      </c>
      <c r="S22" s="403">
        <f>VLOOKUP(O22,'Chart 10'!$B$50:$L$76,9,FALSE)+VLOOKUP(O22,'Chart 10'!$B$50:$L$76,11,FALSE)</f>
        <v>6</v>
      </c>
      <c r="T22" s="403">
        <f>VLOOKUP(O22,'Chart 10'!$B$50:$L$76,10,FALSE)</f>
        <v>20</v>
      </c>
      <c r="X22" s="651"/>
    </row>
    <row r="23" spans="1:24" ht="12">
      <c r="A23" s="301" t="str">
        <f>O23&amp;" (n="&amp;VLOOKUP(O23,$O$3:$T$30,6,FALSE)&amp;")"</f>
        <v>Caithness (n=4)</v>
      </c>
      <c r="B23" s="302">
        <f t="shared" si="16"/>
        <v>27.27272727272727</v>
      </c>
      <c r="C23" s="302">
        <f t="shared" si="17"/>
        <v>25</v>
      </c>
      <c r="D23" s="303">
        <f>80</f>
        <v>80</v>
      </c>
      <c r="E23" s="16">
        <f t="shared" si="18"/>
        <v>10</v>
      </c>
      <c r="F23" s="303">
        <f t="shared" si="19"/>
        <v>57</v>
      </c>
      <c r="G23" s="303">
        <f t="shared" si="20"/>
        <v>5</v>
      </c>
      <c r="H23" s="303">
        <f t="shared" si="21"/>
        <v>70</v>
      </c>
      <c r="I23" s="309" t="str">
        <f t="shared" si="22"/>
        <v>10 - 57</v>
      </c>
      <c r="J23" s="305" t="str">
        <f t="shared" si="23"/>
        <v>5 - 70</v>
      </c>
      <c r="K23" s="306">
        <f t="shared" si="24"/>
        <v>-2.2727272727272698</v>
      </c>
      <c r="L23" s="314">
        <f t="shared" si="25"/>
        <v>-0.76505047807774396</v>
      </c>
      <c r="M23" s="314">
        <f t="shared" si="26"/>
        <v>0.71959593262319854</v>
      </c>
      <c r="N23" s="308">
        <f t="shared" si="27"/>
        <v>0</v>
      </c>
      <c r="O23" s="301" t="str">
        <f t="shared" si="28"/>
        <v>Caithness</v>
      </c>
      <c r="P23" s="301" t="s">
        <v>91</v>
      </c>
      <c r="Q23" s="403">
        <f>VLOOKUP(O23,'Chart 10 (2015)'!$B$49:$L$75,9,FALSE)+VLOOKUP(O23,'Chart 10 (2015)'!$B$49:$L$75,11,FALSE)</f>
        <v>3</v>
      </c>
      <c r="R23" s="403">
        <f>VLOOKUP(O23,'Chart 10 (2015)'!$B$49:$L$75,10,FALSE)</f>
        <v>11</v>
      </c>
      <c r="S23" s="403">
        <f>VLOOKUP(O23,'Chart 10'!$B$50:$L$76,9,FALSE)+VLOOKUP(O23,'Chart 10'!$B$50:$L$76,11,FALSE)</f>
        <v>1</v>
      </c>
      <c r="T23" s="403">
        <f>VLOOKUP(O23,'Chart 10'!$B$50:$L$76,10,FALSE)</f>
        <v>4</v>
      </c>
      <c r="X23" s="651"/>
    </row>
    <row r="24" spans="1:24" ht="12">
      <c r="A24" s="301" t="str">
        <f>O24&amp;" (n="&amp;VLOOKUP(O24,$O$3:$T$30,6,FALSE)&amp;")"</f>
        <v>Borders (n=8)</v>
      </c>
      <c r="B24" s="302">
        <f t="shared" si="16"/>
        <v>0</v>
      </c>
      <c r="C24" s="302">
        <f t="shared" si="17"/>
        <v>25</v>
      </c>
      <c r="D24" s="303">
        <f>80</f>
        <v>80</v>
      </c>
      <c r="E24" s="16">
        <f t="shared" si="18"/>
        <v>0</v>
      </c>
      <c r="F24" s="303">
        <f t="shared" si="19"/>
        <v>28</v>
      </c>
      <c r="G24" s="303">
        <f t="shared" si="20"/>
        <v>7</v>
      </c>
      <c r="H24" s="303">
        <f t="shared" si="21"/>
        <v>59</v>
      </c>
      <c r="I24" s="309" t="str">
        <f t="shared" si="22"/>
        <v>0 - 28</v>
      </c>
      <c r="J24" s="305" t="str">
        <f t="shared" si="23"/>
        <v>7 - 59</v>
      </c>
      <c r="K24" s="306">
        <f t="shared" si="24"/>
        <v>25</v>
      </c>
      <c r="L24" s="314">
        <f t="shared" si="25"/>
        <v>-0.19607142062733229</v>
      </c>
      <c r="M24" s="314">
        <f t="shared" si="26"/>
        <v>0.69607142062733229</v>
      </c>
      <c r="N24" s="308">
        <f t="shared" si="27"/>
        <v>0</v>
      </c>
      <c r="O24" s="301" t="str">
        <f t="shared" si="28"/>
        <v>Borders</v>
      </c>
      <c r="P24" s="301" t="s">
        <v>62</v>
      </c>
      <c r="Q24" s="403">
        <f>VLOOKUP(O24,'Chart 10 (2015)'!$B$49:$L$75,9,FALSE)+VLOOKUP(O24,'Chart 10 (2015)'!$B$49:$L$75,11,FALSE)</f>
        <v>0</v>
      </c>
      <c r="R24" s="403">
        <f>VLOOKUP(O24,'Chart 10 (2015)'!$B$49:$L$75,10,FALSE)</f>
        <v>10</v>
      </c>
      <c r="S24" s="403">
        <f>VLOOKUP(O24,'Chart 10'!$B$50:$L$76,9,FALSE)+VLOOKUP(O24,'Chart 10'!$B$50:$L$76,11,FALSE)</f>
        <v>2</v>
      </c>
      <c r="T24" s="403">
        <f>VLOOKUP(O24,'Chart 10'!$B$50:$L$76,10,FALSE)</f>
        <v>8</v>
      </c>
      <c r="X24" s="651"/>
    </row>
    <row r="25" spans="1:24" ht="12">
      <c r="A25" s="301" t="str">
        <f>O25&amp;" (n="&amp;VLOOKUP(O25,$O$3:$T$30,6,FALSE)&amp;")"</f>
        <v>Ayr (n=0)</v>
      </c>
      <c r="B25" s="302">
        <f t="shared" si="16"/>
        <v>54.54545454545454</v>
      </c>
      <c r="C25" s="302">
        <f t="shared" si="17"/>
        <v>1E-8</v>
      </c>
      <c r="D25" s="303">
        <f>80</f>
        <v>80</v>
      </c>
      <c r="E25" s="16">
        <f t="shared" si="18"/>
        <v>28</v>
      </c>
      <c r="F25" s="303">
        <f t="shared" si="19"/>
        <v>79</v>
      </c>
      <c r="G25" s="303" t="str">
        <f t="shared" si="20"/>
        <v>-</v>
      </c>
      <c r="H25" s="303" t="str">
        <f t="shared" si="21"/>
        <v>-</v>
      </c>
      <c r="I25" s="309" t="str">
        <f t="shared" si="22"/>
        <v>28 - 79</v>
      </c>
      <c r="J25" s="305" t="e">
        <f t="shared" si="23"/>
        <v>#DIV/0!</v>
      </c>
      <c r="K25" s="306">
        <f t="shared" si="24"/>
        <v>-54.545454535454539</v>
      </c>
      <c r="L25" s="314" t="e">
        <f t="shared" si="25"/>
        <v>#DIV/0!</v>
      </c>
      <c r="M25" s="314" t="e">
        <f t="shared" si="26"/>
        <v>#DIV/0!</v>
      </c>
      <c r="N25" s="308" t="str">
        <f t="shared" si="27"/>
        <v/>
      </c>
      <c r="O25" s="301" t="str">
        <f t="shared" si="28"/>
        <v>Ayr</v>
      </c>
      <c r="P25" s="301" t="s">
        <v>57</v>
      </c>
      <c r="Q25" s="403">
        <f>VLOOKUP(O25,'Chart 10 (2015)'!$B$49:$L$75,9,FALSE)+VLOOKUP(O25,'Chart 10 (2015)'!$B$49:$L$75,11,FALSE)</f>
        <v>6</v>
      </c>
      <c r="R25" s="403">
        <f>VLOOKUP(O25,'Chart 10 (2015)'!$B$49:$L$75,10,FALSE)</f>
        <v>11</v>
      </c>
      <c r="S25" s="403">
        <f>VLOOKUP(O25,'Chart 10'!$B$50:$L$76,9,FALSE)+VLOOKUP(O25,'Chart 10'!$B$50:$L$76,11,FALSE)</f>
        <v>0</v>
      </c>
      <c r="T25" s="403">
        <f>VLOOKUP(O25,'Chart 10'!$B$50:$L$76,10,FALSE)</f>
        <v>0</v>
      </c>
      <c r="X25" s="651"/>
    </row>
    <row r="26" spans="1:24" ht="12">
      <c r="A26" s="301" t="str">
        <f>O26&amp;" (n="&amp;VLOOKUP(O26,$O$3:$T$30,6,FALSE)&amp;")"</f>
        <v>RAH (n=0)</v>
      </c>
      <c r="B26" s="302">
        <f t="shared" si="16"/>
        <v>0</v>
      </c>
      <c r="C26" s="302">
        <f t="shared" si="17"/>
        <v>1E-8</v>
      </c>
      <c r="D26" s="303">
        <f>80</f>
        <v>80</v>
      </c>
      <c r="E26" s="16">
        <f t="shared" si="18"/>
        <v>0</v>
      </c>
      <c r="F26" s="303">
        <f t="shared" si="19"/>
        <v>66</v>
      </c>
      <c r="G26" s="303" t="str">
        <f t="shared" si="20"/>
        <v>-</v>
      </c>
      <c r="H26" s="303" t="str">
        <f t="shared" si="21"/>
        <v>-</v>
      </c>
      <c r="I26" s="309" t="str">
        <f t="shared" si="22"/>
        <v>0 - 66</v>
      </c>
      <c r="J26" s="305" t="e">
        <f t="shared" si="23"/>
        <v>#DIV/0!</v>
      </c>
      <c r="K26" s="306">
        <f t="shared" si="24"/>
        <v>1E-8</v>
      </c>
      <c r="L26" s="314" t="e">
        <f t="shared" si="25"/>
        <v>#DIV/0!</v>
      </c>
      <c r="M26" s="314" t="e">
        <f t="shared" si="26"/>
        <v>#DIV/0!</v>
      </c>
      <c r="N26" s="308" t="str">
        <f t="shared" si="27"/>
        <v/>
      </c>
      <c r="O26" s="301" t="str">
        <f t="shared" si="28"/>
        <v>RAH</v>
      </c>
      <c r="P26" s="301" t="s">
        <v>84</v>
      </c>
      <c r="Q26" s="403">
        <f>VLOOKUP(O26,'Chart 10 (2015)'!$B$49:$L$75,9,FALSE)+VLOOKUP(O26,'Chart 10 (2015)'!$B$49:$L$75,11,FALSE)</f>
        <v>0</v>
      </c>
      <c r="R26" s="403">
        <f>VLOOKUP(O26,'Chart 10 (2015)'!$B$49:$L$75,10,FALSE)</f>
        <v>2</v>
      </c>
      <c r="S26" s="403">
        <f>VLOOKUP(O26,'Chart 10'!$B$50:$L$76,9,FALSE)+VLOOKUP(O26,'Chart 10'!$B$50:$L$76,11,FALSE)</f>
        <v>0</v>
      </c>
      <c r="T26" s="403">
        <f>VLOOKUP(O26,'Chart 10'!$B$50:$L$76,10,FALSE)</f>
        <v>0</v>
      </c>
      <c r="X26" s="651"/>
    </row>
    <row r="27" spans="1:24" ht="12">
      <c r="A27" s="315" t="str">
        <f>O27&amp;" 5 (n="&amp;VLOOKUP(O27,$O$3:$T$30,6,FALSE)&amp;")"</f>
        <v>GCH 5 (n=7)</v>
      </c>
      <c r="B27" s="302">
        <f t="shared" si="16"/>
        <v>0</v>
      </c>
      <c r="C27" s="302">
        <f t="shared" si="17"/>
        <v>0</v>
      </c>
      <c r="D27" s="303">
        <f>80</f>
        <v>80</v>
      </c>
      <c r="E27" s="16">
        <f t="shared" si="18"/>
        <v>0</v>
      </c>
      <c r="F27" s="303">
        <f t="shared" si="19"/>
        <v>32</v>
      </c>
      <c r="G27" s="303">
        <f t="shared" si="20"/>
        <v>0</v>
      </c>
      <c r="H27" s="303">
        <f t="shared" si="21"/>
        <v>35</v>
      </c>
      <c r="I27" s="309" t="str">
        <f t="shared" si="22"/>
        <v>0 - 32</v>
      </c>
      <c r="J27" s="305" t="str">
        <f t="shared" si="23"/>
        <v>0 - 35</v>
      </c>
      <c r="K27" s="306">
        <f t="shared" si="24"/>
        <v>0</v>
      </c>
      <c r="L27" s="314">
        <f t="shared" si="25"/>
        <v>0</v>
      </c>
      <c r="M27" s="314">
        <f t="shared" si="26"/>
        <v>0</v>
      </c>
      <c r="N27" s="308">
        <f t="shared" si="27"/>
        <v>0</v>
      </c>
      <c r="O27" s="301" t="str">
        <f t="shared" si="28"/>
        <v>GCH</v>
      </c>
      <c r="P27" s="301" t="s">
        <v>67</v>
      </c>
      <c r="Q27" s="403">
        <f>VLOOKUP(O27,'Chart 10 (2015)'!$B$49:$L$75,9,FALSE)+VLOOKUP(O27,'Chart 10 (2015)'!$B$49:$L$75,11,FALSE)</f>
        <v>0</v>
      </c>
      <c r="R27" s="403">
        <f>VLOOKUP(O27,'Chart 10 (2015)'!$B$49:$L$75,10,FALSE)</f>
        <v>8</v>
      </c>
      <c r="S27" s="403">
        <f>VLOOKUP(O27,'Chart 10'!$B$50:$L$76,9,FALSE)+VLOOKUP(O27,'Chart 10'!$B$50:$L$76,11,FALSE)</f>
        <v>0</v>
      </c>
      <c r="T27" s="403">
        <f>VLOOKUP(O27,'Chart 10'!$B$50:$L$76,10,FALSE)</f>
        <v>7</v>
      </c>
      <c r="X27" s="651"/>
    </row>
    <row r="28" spans="1:24" ht="12">
      <c r="A28" s="301" t="str">
        <f>O28&amp;" 5 (n="&amp;VLOOKUP(O28,$O$3:$T$30,6,FALSE)&amp;")"</f>
        <v>Belford 5 (n=2)</v>
      </c>
      <c r="B28" s="302">
        <f t="shared" si="16"/>
        <v>0</v>
      </c>
      <c r="C28" s="302">
        <f t="shared" si="17"/>
        <v>0</v>
      </c>
      <c r="D28" s="303">
        <f>80</f>
        <v>80</v>
      </c>
      <c r="E28" s="16">
        <f t="shared" si="18"/>
        <v>0</v>
      </c>
      <c r="F28" s="303">
        <f t="shared" si="19"/>
        <v>56</v>
      </c>
      <c r="G28" s="303">
        <f t="shared" si="20"/>
        <v>0</v>
      </c>
      <c r="H28" s="303">
        <f t="shared" si="21"/>
        <v>66</v>
      </c>
      <c r="I28" s="309" t="str">
        <f t="shared" si="22"/>
        <v>0 - 56</v>
      </c>
      <c r="J28" s="305" t="str">
        <f t="shared" si="23"/>
        <v>0 - 66</v>
      </c>
      <c r="K28" s="306">
        <f t="shared" si="24"/>
        <v>0</v>
      </c>
      <c r="L28" s="314">
        <f t="shared" si="25"/>
        <v>0</v>
      </c>
      <c r="M28" s="314">
        <f t="shared" si="26"/>
        <v>0</v>
      </c>
      <c r="N28" s="308">
        <f t="shared" si="27"/>
        <v>0</v>
      </c>
      <c r="O28" s="301" t="str">
        <f t="shared" si="28"/>
        <v>Belford</v>
      </c>
      <c r="P28" s="301" t="s">
        <v>88</v>
      </c>
      <c r="Q28" s="403">
        <f>VLOOKUP(O28,'Chart 10 (2015)'!$B$49:$L$75,9,FALSE)+VLOOKUP(O28,'Chart 10 (2015)'!$B$49:$L$75,11,FALSE)</f>
        <v>0</v>
      </c>
      <c r="R28" s="403">
        <f>VLOOKUP(O28,'Chart 10 (2015)'!$B$49:$L$75,10,FALSE)</f>
        <v>3</v>
      </c>
      <c r="S28" s="403">
        <f>VLOOKUP(O28,'Chart 10'!$B$50:$L$76,9,FALSE)+VLOOKUP(O28,'Chart 10'!$B$50:$L$76,11,FALSE)</f>
        <v>0</v>
      </c>
      <c r="T28" s="403">
        <f>VLOOKUP(O28,'Chart 10'!$B$50:$L$76,10,FALSE)</f>
        <v>2</v>
      </c>
      <c r="X28" s="651"/>
    </row>
    <row r="29" spans="1:24" ht="12">
      <c r="A29" s="301" t="str">
        <f>O29&amp;" 5 (n="&amp;VLOOKUP(O29,$O$3:$T$30,6,FALSE)&amp;")"</f>
        <v>Balfour 5 (n=5)</v>
      </c>
      <c r="B29" s="302">
        <f t="shared" si="16"/>
        <v>0</v>
      </c>
      <c r="C29" s="302">
        <f t="shared" si="17"/>
        <v>0</v>
      </c>
      <c r="D29" s="303">
        <f>80</f>
        <v>80</v>
      </c>
      <c r="E29" s="16">
        <f t="shared" si="18"/>
        <v>0</v>
      </c>
      <c r="F29" s="303">
        <f t="shared" si="19"/>
        <v>66</v>
      </c>
      <c r="G29" s="303">
        <f t="shared" si="20"/>
        <v>0</v>
      </c>
      <c r="H29" s="303">
        <f t="shared" si="21"/>
        <v>43</v>
      </c>
      <c r="I29" s="309" t="str">
        <f t="shared" si="22"/>
        <v>0 - 66</v>
      </c>
      <c r="J29" s="305" t="str">
        <f t="shared" si="23"/>
        <v>0 - 43</v>
      </c>
      <c r="K29" s="306">
        <f t="shared" si="24"/>
        <v>0</v>
      </c>
      <c r="L29" s="314">
        <f t="shared" si="25"/>
        <v>0</v>
      </c>
      <c r="M29" s="314">
        <f t="shared" si="26"/>
        <v>0</v>
      </c>
      <c r="N29" s="308">
        <f t="shared" si="27"/>
        <v>0</v>
      </c>
      <c r="O29" s="301" t="str">
        <f t="shared" si="28"/>
        <v>Balfour</v>
      </c>
      <c r="P29" s="301" t="s">
        <v>117</v>
      </c>
      <c r="Q29" s="403">
        <f>VLOOKUP(O29,'Chart 10 (2015)'!$B$49:$L$75,9,FALSE)+VLOOKUP(O29,'Chart 10 (2015)'!$B$49:$L$75,11,FALSE)</f>
        <v>0</v>
      </c>
      <c r="R29" s="403">
        <f>VLOOKUP(O29,'Chart 10 (2015)'!$B$49:$L$75,10,FALSE)</f>
        <v>2</v>
      </c>
      <c r="S29" s="403">
        <f>VLOOKUP(O29,'Chart 10'!$B$50:$L$76,9,FALSE)+VLOOKUP(O29,'Chart 10'!$B$50:$L$76,11,FALSE)</f>
        <v>0</v>
      </c>
      <c r="T29" s="403">
        <f>VLOOKUP(O29,'Chart 10'!$B$50:$L$76,10,FALSE)</f>
        <v>5</v>
      </c>
      <c r="X29" s="651"/>
    </row>
    <row r="30" spans="1:24" ht="12">
      <c r="A30" s="301" t="str">
        <f>O30&amp;" 5 (n="&amp;VLOOKUP(O30,$O$3:$T$30,6,FALSE)&amp;")"</f>
        <v>Gilbert Bain 5 (n=2)</v>
      </c>
      <c r="B30" s="302">
        <f t="shared" si="16"/>
        <v>0</v>
      </c>
      <c r="C30" s="302">
        <f t="shared" si="17"/>
        <v>0</v>
      </c>
      <c r="D30" s="303">
        <f>80</f>
        <v>80</v>
      </c>
      <c r="E30" s="16">
        <f t="shared" si="18"/>
        <v>0</v>
      </c>
      <c r="F30" s="303">
        <f t="shared" si="19"/>
        <v>66</v>
      </c>
      <c r="G30" s="303">
        <f t="shared" si="20"/>
        <v>0</v>
      </c>
      <c r="H30" s="303">
        <f t="shared" si="21"/>
        <v>66</v>
      </c>
      <c r="I30" s="336" t="str">
        <f t="shared" si="22"/>
        <v>0 - 66</v>
      </c>
      <c r="J30" s="337" t="str">
        <f t="shared" si="23"/>
        <v>0 - 66</v>
      </c>
      <c r="K30" s="338">
        <f t="shared" si="24"/>
        <v>0</v>
      </c>
      <c r="L30" s="339">
        <f t="shared" si="25"/>
        <v>0</v>
      </c>
      <c r="M30" s="339">
        <f t="shared" si="26"/>
        <v>0</v>
      </c>
      <c r="N30" s="340">
        <f t="shared" si="27"/>
        <v>0</v>
      </c>
      <c r="O30" s="301" t="str">
        <f t="shared" si="28"/>
        <v>Gilbert Bain</v>
      </c>
      <c r="P30" s="301" t="s">
        <v>120</v>
      </c>
      <c r="Q30" s="403">
        <f>VLOOKUP(O30,'Chart 10 (2015)'!$B$49:$L$75,9,FALSE)+VLOOKUP(O30,'Chart 10 (2015)'!$B$49:$L$75,11,FALSE)</f>
        <v>0</v>
      </c>
      <c r="R30" s="403">
        <f>VLOOKUP(O30,'Chart 10 (2015)'!$B$49:$L$75,10,FALSE)</f>
        <v>2</v>
      </c>
      <c r="S30" s="403">
        <f>VLOOKUP(O30,'Chart 10'!$B$50:$L$76,9,FALSE)+VLOOKUP(O30,'Chart 10'!$B$50:$L$76,11,FALSE)</f>
        <v>0</v>
      </c>
      <c r="T30" s="403">
        <f>VLOOKUP(O30,'Chart 10'!$B$50:$L$76,10,FALSE)</f>
        <v>2</v>
      </c>
      <c r="X30" s="651"/>
    </row>
    <row r="33" spans="15:23" ht="15">
      <c r="O33"/>
      <c r="P33"/>
      <c r="Q33"/>
      <c r="R33"/>
      <c r="S33"/>
      <c r="T33"/>
      <c r="U33"/>
      <c r="V33"/>
      <c r="W33"/>
    </row>
    <row r="34" spans="15:23" ht="15">
      <c r="O34"/>
      <c r="P34"/>
      <c r="Q34"/>
      <c r="R34"/>
      <c r="S34"/>
      <c r="T34"/>
      <c r="U34"/>
      <c r="V34"/>
      <c r="W34"/>
    </row>
    <row r="35" spans="15:23" ht="15">
      <c r="O35"/>
      <c r="P35"/>
      <c r="Q35"/>
      <c r="R35"/>
      <c r="S35"/>
      <c r="T35"/>
      <c r="U35"/>
      <c r="V35"/>
      <c r="W35"/>
    </row>
    <row r="36" spans="15:23" ht="15">
      <c r="O36"/>
      <c r="P36"/>
      <c r="Q36"/>
      <c r="R36"/>
      <c r="S36"/>
      <c r="T36"/>
      <c r="U36"/>
      <c r="V36"/>
      <c r="W36"/>
    </row>
    <row r="37" spans="15:23" ht="15">
      <c r="O37"/>
      <c r="P37"/>
      <c r="Q37"/>
      <c r="R37"/>
      <c r="S37"/>
      <c r="T37"/>
      <c r="U37"/>
      <c r="V37"/>
      <c r="W37"/>
    </row>
    <row r="38" spans="15:23" ht="15">
      <c r="O38"/>
      <c r="P38"/>
      <c r="Q38"/>
      <c r="R38"/>
      <c r="S38"/>
      <c r="T38"/>
      <c r="U38"/>
      <c r="V38"/>
      <c r="W38"/>
    </row>
    <row r="39" spans="15:23" ht="15">
      <c r="O39"/>
      <c r="P39"/>
      <c r="Q39"/>
      <c r="R39"/>
      <c r="S39"/>
      <c r="T39"/>
      <c r="U39"/>
      <c r="V39"/>
      <c r="W39"/>
    </row>
    <row r="40" spans="15:23" ht="15">
      <c r="O40"/>
      <c r="P40"/>
      <c r="Q40"/>
      <c r="R40"/>
      <c r="S40"/>
      <c r="T40"/>
      <c r="U40"/>
      <c r="V40"/>
      <c r="W40"/>
    </row>
    <row r="41" spans="15:23" ht="15">
      <c r="O41"/>
      <c r="P41"/>
      <c r="Q41"/>
      <c r="R41"/>
      <c r="S41"/>
      <c r="T41"/>
      <c r="U41"/>
      <c r="V41"/>
      <c r="W41"/>
    </row>
    <row r="42" spans="15:23" ht="15">
      <c r="O42"/>
      <c r="P42"/>
      <c r="Q42"/>
      <c r="R42"/>
      <c r="S42"/>
      <c r="T42"/>
      <c r="U42"/>
      <c r="V42"/>
      <c r="W42"/>
    </row>
    <row r="43" spans="15:23" ht="15">
      <c r="O43"/>
      <c r="P43"/>
      <c r="Q43"/>
      <c r="R43"/>
      <c r="S43"/>
      <c r="T43"/>
      <c r="U43"/>
      <c r="V43"/>
      <c r="W43"/>
    </row>
    <row r="44" spans="15:23" ht="15">
      <c r="O44"/>
      <c r="P44"/>
      <c r="Q44"/>
      <c r="R44"/>
      <c r="S44"/>
      <c r="T44"/>
      <c r="U44"/>
      <c r="V44"/>
      <c r="W44"/>
    </row>
    <row r="45" spans="15:23" ht="15">
      <c r="O45"/>
      <c r="P45"/>
      <c r="Q45"/>
      <c r="R45"/>
      <c r="S45"/>
      <c r="T45"/>
      <c r="U45"/>
      <c r="V45"/>
      <c r="W45"/>
    </row>
    <row r="46" spans="15:23" ht="15">
      <c r="O46"/>
      <c r="P46"/>
      <c r="Q46"/>
      <c r="R46"/>
      <c r="S46"/>
      <c r="T46"/>
      <c r="U46"/>
      <c r="V46"/>
      <c r="W46"/>
    </row>
    <row r="47" spans="15:23" ht="15">
      <c r="O47"/>
      <c r="P47"/>
      <c r="Q47"/>
      <c r="R47"/>
      <c r="S47"/>
      <c r="T47"/>
      <c r="U47"/>
      <c r="V47"/>
      <c r="W47"/>
    </row>
    <row r="48" spans="15:23" ht="15">
      <c r="O48"/>
      <c r="P48"/>
      <c r="Q48"/>
      <c r="R48"/>
      <c r="S48"/>
      <c r="T48"/>
      <c r="U48"/>
      <c r="V48"/>
      <c r="W48"/>
    </row>
    <row r="49" spans="15:23" ht="15">
      <c r="O49"/>
      <c r="P49"/>
      <c r="Q49"/>
      <c r="R49"/>
      <c r="S49"/>
      <c r="T49"/>
      <c r="U49"/>
      <c r="V49"/>
      <c r="W49"/>
    </row>
    <row r="50" spans="15:23" ht="15">
      <c r="O50"/>
      <c r="P50"/>
      <c r="Q50"/>
      <c r="R50"/>
      <c r="S50"/>
      <c r="T50"/>
      <c r="U50"/>
      <c r="V50"/>
      <c r="W50"/>
    </row>
    <row r="51" spans="15:23" ht="15">
      <c r="O51"/>
      <c r="P51"/>
      <c r="Q51"/>
      <c r="R51"/>
      <c r="S51"/>
      <c r="T51"/>
      <c r="U51"/>
      <c r="V51"/>
      <c r="W51"/>
    </row>
    <row r="52" spans="15:23" ht="15">
      <c r="O52"/>
      <c r="P52"/>
      <c r="Q52"/>
      <c r="R52"/>
      <c r="S52"/>
      <c r="T52"/>
      <c r="U52"/>
      <c r="V52"/>
      <c r="W52"/>
    </row>
    <row r="53" spans="15:23" ht="15">
      <c r="O53"/>
      <c r="P53"/>
      <c r="Q53"/>
      <c r="R53"/>
      <c r="S53"/>
      <c r="T53"/>
      <c r="U53"/>
      <c r="V53"/>
      <c r="W53"/>
    </row>
    <row r="54" spans="15:23" ht="15">
      <c r="O54"/>
      <c r="P54"/>
      <c r="Q54"/>
      <c r="R54"/>
      <c r="S54"/>
      <c r="T54"/>
      <c r="U54"/>
      <c r="V54"/>
      <c r="W54"/>
    </row>
    <row r="55" spans="15:23" ht="15">
      <c r="O55"/>
      <c r="P55"/>
      <c r="Q55"/>
      <c r="R55"/>
      <c r="S55"/>
      <c r="T55"/>
      <c r="U55"/>
      <c r="V55"/>
      <c r="W55"/>
    </row>
    <row r="56" spans="15:23" ht="15">
      <c r="O56"/>
      <c r="P56"/>
      <c r="Q56"/>
      <c r="R56"/>
      <c r="S56"/>
      <c r="T56"/>
      <c r="U56"/>
      <c r="V56"/>
      <c r="W56"/>
    </row>
    <row r="57" spans="15:23" ht="15">
      <c r="O57"/>
      <c r="P57"/>
      <c r="Q57"/>
      <c r="R57"/>
      <c r="S57"/>
      <c r="T57"/>
      <c r="U57"/>
      <c r="V57"/>
      <c r="W57"/>
    </row>
    <row r="58" spans="15:23" ht="15">
      <c r="O58"/>
      <c r="P58"/>
      <c r="Q58"/>
      <c r="R58"/>
      <c r="S58"/>
      <c r="T58"/>
      <c r="U58"/>
      <c r="V58"/>
      <c r="W58"/>
    </row>
    <row r="59" spans="15:23" ht="15">
      <c r="O59"/>
      <c r="P59"/>
      <c r="Q59"/>
      <c r="R59"/>
      <c r="S59"/>
      <c r="T59"/>
      <c r="U59"/>
      <c r="V59"/>
      <c r="W59"/>
    </row>
    <row r="60" spans="15:23" ht="15">
      <c r="O60"/>
      <c r="P60"/>
      <c r="Q60"/>
      <c r="R60"/>
      <c r="S60"/>
      <c r="T60"/>
      <c r="U60"/>
      <c r="V60"/>
      <c r="W60"/>
    </row>
  </sheetData>
  <sheetProtection password="B8D9" sheet="1" objects="1" scenarios="1"/>
  <sortState ref="A4:T30">
    <sortCondition descending="1" ref="C4:C30"/>
  </sortState>
  <mergeCells count="7">
    <mergeCell ref="A1:A2"/>
    <mergeCell ref="B1:H1"/>
    <mergeCell ref="O1:P1"/>
    <mergeCell ref="Q1:R1"/>
    <mergeCell ref="S1:T1"/>
    <mergeCell ref="E2:F2"/>
    <mergeCell ref="G2:H2"/>
  </mergeCells>
  <pageMargins left="0.70866141732283472" right="0.70866141732283472" top="0.74803149606299213" bottom="0.74803149606299213" header="0.31496062992125984" footer="0.31496062992125984"/>
  <pageSetup paperSize="9" scale="61"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5.xml><?xml version="1.0" encoding="utf-8"?>
<worksheet xmlns="http://schemas.openxmlformats.org/spreadsheetml/2006/main" xmlns:r="http://schemas.openxmlformats.org/officeDocument/2006/relationships">
  <sheetPr codeName="Sheet37"/>
  <dimension ref="A1:D60"/>
  <sheetViews>
    <sheetView workbookViewId="0"/>
  </sheetViews>
  <sheetFormatPr defaultRowHeight="12.75"/>
  <cols>
    <col min="1" max="1" width="1.7109375" style="2" customWidth="1"/>
    <col min="2" max="2" width="50.7109375" style="2" customWidth="1"/>
    <col min="3" max="4" width="25.7109375" style="2" customWidth="1"/>
    <col min="5" max="16384" width="9.140625" style="2"/>
  </cols>
  <sheetData>
    <row r="1" spans="1:4">
      <c r="B1" s="26" t="s">
        <v>645</v>
      </c>
      <c r="C1" s="26"/>
      <c r="D1" s="26"/>
    </row>
    <row r="2" spans="1:4">
      <c r="B2" s="104"/>
      <c r="C2" s="129"/>
      <c r="D2" s="129"/>
    </row>
    <row r="3" spans="1:4" ht="13.5" thickBot="1">
      <c r="B3" s="76" t="s">
        <v>45</v>
      </c>
      <c r="C3" s="130">
        <v>2013</v>
      </c>
      <c r="D3" s="130">
        <v>2012</v>
      </c>
    </row>
    <row r="4" spans="1:4" ht="24.95" customHeight="1">
      <c r="B4" s="945" t="s">
        <v>25</v>
      </c>
      <c r="C4" s="947" t="s">
        <v>469</v>
      </c>
      <c r="D4" s="949" t="s">
        <v>644</v>
      </c>
    </row>
    <row r="5" spans="1:4" ht="39.950000000000003" customHeight="1" thickBot="1">
      <c r="B5" s="946"/>
      <c r="C5" s="948"/>
      <c r="D5" s="950"/>
    </row>
    <row r="6" spans="1:4" ht="13.5" thickBot="1">
      <c r="A6" s="44" t="s">
        <v>134</v>
      </c>
      <c r="B6" s="131" t="s">
        <v>278</v>
      </c>
      <c r="C6" s="132">
        <f>SUM(C7,C10,C12,C15,C17,C19,C22,C27,C32,C36,C40,C42,C44,C47)</f>
        <v>951</v>
      </c>
      <c r="D6" s="133">
        <f>SUM(D7,D10,D12,D15,D17,D19,D22,D27,D32,D36,D40,D42,D44,D47)</f>
        <v>910</v>
      </c>
    </row>
    <row r="7" spans="1:4">
      <c r="A7" s="44" t="s">
        <v>33</v>
      </c>
      <c r="B7" s="134" t="s">
        <v>33</v>
      </c>
      <c r="C7" s="135">
        <v>42</v>
      </c>
      <c r="D7" s="136">
        <v>69</v>
      </c>
    </row>
    <row r="8" spans="1:4">
      <c r="A8" s="44" t="s">
        <v>57</v>
      </c>
      <c r="B8" s="137" t="s">
        <v>57</v>
      </c>
      <c r="C8" s="138">
        <v>11</v>
      </c>
      <c r="D8" s="139">
        <v>0</v>
      </c>
    </row>
    <row r="9" spans="1:4" ht="13.5" thickBot="1">
      <c r="A9" s="44" t="s">
        <v>59</v>
      </c>
      <c r="B9" s="140" t="s">
        <v>61</v>
      </c>
      <c r="C9" s="141">
        <v>31</v>
      </c>
      <c r="D9" s="142">
        <v>69</v>
      </c>
    </row>
    <row r="10" spans="1:4">
      <c r="A10" s="44" t="s">
        <v>28</v>
      </c>
      <c r="B10" s="134" t="s">
        <v>28</v>
      </c>
      <c r="C10" s="135">
        <v>10</v>
      </c>
      <c r="D10" s="136">
        <v>9</v>
      </c>
    </row>
    <row r="11" spans="1:4" ht="13.5" thickBot="1">
      <c r="A11" s="44" t="s">
        <v>62</v>
      </c>
      <c r="B11" s="143" t="s">
        <v>63</v>
      </c>
      <c r="C11" s="144">
        <v>10</v>
      </c>
      <c r="D11" s="145">
        <v>9</v>
      </c>
    </row>
    <row r="12" spans="1:4">
      <c r="A12" s="44" t="s">
        <v>31</v>
      </c>
      <c r="B12" s="134" t="s">
        <v>31</v>
      </c>
      <c r="C12" s="135">
        <v>40</v>
      </c>
      <c r="D12" s="136">
        <v>32</v>
      </c>
    </row>
    <row r="13" spans="1:4">
      <c r="A13" s="44" t="s">
        <v>64</v>
      </c>
      <c r="B13" s="146" t="s">
        <v>66</v>
      </c>
      <c r="C13" s="138">
        <v>32</v>
      </c>
      <c r="D13" s="139">
        <v>25</v>
      </c>
    </row>
    <row r="14" spans="1:4" ht="13.5" thickBot="1">
      <c r="A14" s="44" t="s">
        <v>67</v>
      </c>
      <c r="B14" s="140" t="s">
        <v>69</v>
      </c>
      <c r="C14" s="141">
        <v>8</v>
      </c>
      <c r="D14" s="142">
        <v>7</v>
      </c>
    </row>
    <row r="15" spans="1:4">
      <c r="A15" s="44" t="s">
        <v>30</v>
      </c>
      <c r="B15" s="134" t="s">
        <v>30</v>
      </c>
      <c r="C15" s="135">
        <v>60</v>
      </c>
      <c r="D15" s="136">
        <v>75</v>
      </c>
    </row>
    <row r="16" spans="1:4" ht="13.5" thickBot="1">
      <c r="A16" s="44" t="s">
        <v>70</v>
      </c>
      <c r="B16" s="140" t="s">
        <v>71</v>
      </c>
      <c r="C16" s="141">
        <v>60</v>
      </c>
      <c r="D16" s="142">
        <v>75</v>
      </c>
    </row>
    <row r="17" spans="1:4">
      <c r="A17" s="44" t="s">
        <v>35</v>
      </c>
      <c r="B17" s="134" t="s">
        <v>35</v>
      </c>
      <c r="C17" s="135">
        <v>40</v>
      </c>
      <c r="D17" s="136">
        <v>54</v>
      </c>
    </row>
    <row r="18" spans="1:4" ht="13.5" thickBot="1">
      <c r="A18" s="44" t="s">
        <v>191</v>
      </c>
      <c r="B18" s="147" t="s">
        <v>73</v>
      </c>
      <c r="C18" s="148">
        <v>40</v>
      </c>
      <c r="D18" s="149">
        <v>54</v>
      </c>
    </row>
    <row r="19" spans="1:4">
      <c r="A19" s="44" t="s">
        <v>34</v>
      </c>
      <c r="B19" s="134" t="s">
        <v>34</v>
      </c>
      <c r="C19" s="135">
        <v>164</v>
      </c>
      <c r="D19" s="136">
        <v>142</v>
      </c>
    </row>
    <row r="20" spans="1:4">
      <c r="A20" s="44" t="s">
        <v>74</v>
      </c>
      <c r="B20" s="137" t="s">
        <v>75</v>
      </c>
      <c r="C20" s="138">
        <v>156</v>
      </c>
      <c r="D20" s="139">
        <v>120</v>
      </c>
    </row>
    <row r="21" spans="1:4" ht="13.5" thickBot="1">
      <c r="A21" s="44" t="s">
        <v>76</v>
      </c>
      <c r="B21" s="140" t="s">
        <v>78</v>
      </c>
      <c r="C21" s="141">
        <v>8</v>
      </c>
      <c r="D21" s="142">
        <v>22</v>
      </c>
    </row>
    <row r="22" spans="1:4">
      <c r="A22" s="44" t="s">
        <v>40</v>
      </c>
      <c r="B22" s="134" t="s">
        <v>40</v>
      </c>
      <c r="C22" s="135">
        <v>230</v>
      </c>
      <c r="D22" s="136">
        <v>204</v>
      </c>
    </row>
    <row r="23" spans="1:4">
      <c r="A23" s="44" t="s">
        <v>79</v>
      </c>
      <c r="B23" s="150" t="s">
        <v>80</v>
      </c>
      <c r="C23" s="128">
        <v>1</v>
      </c>
      <c r="D23" s="151">
        <v>18</v>
      </c>
    </row>
    <row r="24" spans="1:4">
      <c r="A24" s="44" t="s">
        <v>81</v>
      </c>
      <c r="B24" s="150" t="s">
        <v>83</v>
      </c>
      <c r="C24" s="128">
        <v>0</v>
      </c>
      <c r="D24" s="151">
        <v>0</v>
      </c>
    </row>
    <row r="25" spans="1:4" s="445" customFormat="1">
      <c r="A25" s="44"/>
      <c r="B25" s="150" t="s">
        <v>470</v>
      </c>
      <c r="C25" s="128">
        <v>227</v>
      </c>
      <c r="D25" s="151">
        <v>186</v>
      </c>
    </row>
    <row r="26" spans="1:4" ht="13.5" thickBot="1">
      <c r="A26" s="44" t="s">
        <v>84</v>
      </c>
      <c r="B26" s="150" t="s">
        <v>85</v>
      </c>
      <c r="C26" s="128">
        <v>2</v>
      </c>
      <c r="D26" s="151">
        <v>0</v>
      </c>
    </row>
    <row r="27" spans="1:4">
      <c r="A27" s="44" t="s">
        <v>36</v>
      </c>
      <c r="B27" s="134" t="s">
        <v>36</v>
      </c>
      <c r="C27" s="135">
        <v>40</v>
      </c>
      <c r="D27" s="136">
        <v>33</v>
      </c>
    </row>
    <row r="28" spans="1:4">
      <c r="A28" s="44" t="s">
        <v>88</v>
      </c>
      <c r="B28" s="150" t="s">
        <v>90</v>
      </c>
      <c r="C28" s="128">
        <v>3</v>
      </c>
      <c r="D28" s="151">
        <v>2</v>
      </c>
    </row>
    <row r="29" spans="1:4">
      <c r="A29" s="44" t="s">
        <v>91</v>
      </c>
      <c r="B29" s="150" t="s">
        <v>93</v>
      </c>
      <c r="C29" s="128">
        <v>11</v>
      </c>
      <c r="D29" s="151">
        <v>4</v>
      </c>
    </row>
    <row r="30" spans="1:4">
      <c r="A30" s="44" t="s">
        <v>94</v>
      </c>
      <c r="B30" s="150" t="s">
        <v>96</v>
      </c>
      <c r="C30" s="128">
        <v>3</v>
      </c>
      <c r="D30" s="151">
        <v>9</v>
      </c>
    </row>
    <row r="31" spans="1:4" ht="13.5" thickBot="1">
      <c r="A31" s="44" t="s">
        <v>97</v>
      </c>
      <c r="B31" s="147" t="s">
        <v>99</v>
      </c>
      <c r="C31" s="148">
        <v>23</v>
      </c>
      <c r="D31" s="149">
        <v>18</v>
      </c>
    </row>
    <row r="32" spans="1:4">
      <c r="A32" s="44" t="s">
        <v>29</v>
      </c>
      <c r="B32" s="134" t="s">
        <v>29</v>
      </c>
      <c r="C32" s="135">
        <v>112</v>
      </c>
      <c r="D32" s="136">
        <v>79</v>
      </c>
    </row>
    <row r="33" spans="1:4">
      <c r="A33" s="44" t="s">
        <v>100</v>
      </c>
      <c r="B33" s="137" t="s">
        <v>102</v>
      </c>
      <c r="C33" s="138">
        <v>26</v>
      </c>
      <c r="D33" s="139">
        <v>24</v>
      </c>
    </row>
    <row r="34" spans="1:4">
      <c r="A34" s="44" t="s">
        <v>103</v>
      </c>
      <c r="B34" s="150" t="s">
        <v>513</v>
      </c>
      <c r="C34" s="128">
        <v>39</v>
      </c>
      <c r="D34" s="151">
        <v>23</v>
      </c>
    </row>
    <row r="35" spans="1:4" ht="13.5" thickBot="1">
      <c r="A35" s="44" t="s">
        <v>106</v>
      </c>
      <c r="B35" s="147" t="s">
        <v>106</v>
      </c>
      <c r="C35" s="148">
        <v>47</v>
      </c>
      <c r="D35" s="149">
        <v>32</v>
      </c>
    </row>
    <row r="36" spans="1:4">
      <c r="A36" s="44" t="s">
        <v>38</v>
      </c>
      <c r="B36" s="134" t="s">
        <v>38</v>
      </c>
      <c r="C36" s="135">
        <v>122</v>
      </c>
      <c r="D36" s="136">
        <v>137</v>
      </c>
    </row>
    <row r="37" spans="1:4">
      <c r="A37" s="44" t="s">
        <v>192</v>
      </c>
      <c r="B37" s="146" t="s">
        <v>110</v>
      </c>
      <c r="C37" s="138">
        <v>85</v>
      </c>
      <c r="D37" s="139">
        <v>102</v>
      </c>
    </row>
    <row r="38" spans="1:4">
      <c r="A38" s="44" t="s">
        <v>111</v>
      </c>
      <c r="B38" s="150" t="s">
        <v>113</v>
      </c>
      <c r="C38" s="128">
        <v>26</v>
      </c>
      <c r="D38" s="151">
        <v>25</v>
      </c>
    </row>
    <row r="39" spans="1:4" ht="13.5" thickBot="1">
      <c r="A39" s="44" t="s">
        <v>114</v>
      </c>
      <c r="B39" s="140" t="s">
        <v>116</v>
      </c>
      <c r="C39" s="141">
        <v>11</v>
      </c>
      <c r="D39" s="142">
        <v>10</v>
      </c>
    </row>
    <row r="40" spans="1:4">
      <c r="A40" s="44" t="s">
        <v>41</v>
      </c>
      <c r="B40" s="152" t="s">
        <v>41</v>
      </c>
      <c r="C40" s="153">
        <v>2</v>
      </c>
      <c r="D40" s="154">
        <v>5</v>
      </c>
    </row>
    <row r="41" spans="1:4" ht="13.5" thickBot="1">
      <c r="A41" s="44" t="s">
        <v>117</v>
      </c>
      <c r="B41" s="143" t="s">
        <v>119</v>
      </c>
      <c r="C41" s="144">
        <v>2</v>
      </c>
      <c r="D41" s="145">
        <v>5</v>
      </c>
    </row>
    <row r="42" spans="1:4">
      <c r="A42" s="44" t="s">
        <v>39</v>
      </c>
      <c r="B42" s="134" t="s">
        <v>39</v>
      </c>
      <c r="C42" s="135">
        <v>2</v>
      </c>
      <c r="D42" s="136">
        <v>2</v>
      </c>
    </row>
    <row r="43" spans="1:4" ht="13.5" thickBot="1">
      <c r="A43" s="44" t="s">
        <v>120</v>
      </c>
      <c r="B43" s="147" t="s">
        <v>122</v>
      </c>
      <c r="C43" s="155">
        <v>2</v>
      </c>
      <c r="D43" s="156">
        <v>2</v>
      </c>
    </row>
    <row r="44" spans="1:4">
      <c r="A44" s="44" t="s">
        <v>32</v>
      </c>
      <c r="B44" s="134" t="s">
        <v>32</v>
      </c>
      <c r="C44" s="135">
        <v>79</v>
      </c>
      <c r="D44" s="136">
        <v>66</v>
      </c>
    </row>
    <row r="45" spans="1:4">
      <c r="A45" s="44" t="s">
        <v>123</v>
      </c>
      <c r="B45" s="137" t="s">
        <v>125</v>
      </c>
      <c r="C45" s="138">
        <v>52</v>
      </c>
      <c r="D45" s="139">
        <v>43</v>
      </c>
    </row>
    <row r="46" spans="1:4" ht="13.5" thickBot="1">
      <c r="A46" s="44" t="s">
        <v>126</v>
      </c>
      <c r="B46" s="137" t="s">
        <v>128</v>
      </c>
      <c r="C46" s="138">
        <v>27</v>
      </c>
      <c r="D46" s="139">
        <v>23</v>
      </c>
    </row>
    <row r="47" spans="1:4">
      <c r="A47" s="44" t="s">
        <v>37</v>
      </c>
      <c r="B47" s="134" t="s">
        <v>37</v>
      </c>
      <c r="C47" s="157">
        <v>8</v>
      </c>
      <c r="D47" s="158">
        <v>3</v>
      </c>
    </row>
    <row r="48" spans="1:4">
      <c r="A48" s="44" t="s">
        <v>129</v>
      </c>
      <c r="B48" s="137" t="s">
        <v>131</v>
      </c>
      <c r="C48" s="138">
        <v>0</v>
      </c>
      <c r="D48" s="139">
        <v>0</v>
      </c>
    </row>
    <row r="49" spans="1:4" ht="13.5" thickBot="1">
      <c r="A49" s="44" t="s">
        <v>132</v>
      </c>
      <c r="B49" s="147" t="s">
        <v>133</v>
      </c>
      <c r="C49" s="148">
        <v>8</v>
      </c>
      <c r="D49" s="149">
        <v>3</v>
      </c>
    </row>
    <row r="50" spans="1:4">
      <c r="B50" s="159"/>
    </row>
    <row r="51" spans="1:4">
      <c r="B51" s="32" t="s">
        <v>505</v>
      </c>
    </row>
    <row r="52" spans="1:4">
      <c r="B52" s="943" t="s">
        <v>506</v>
      </c>
      <c r="C52" s="943"/>
      <c r="D52" s="943"/>
    </row>
    <row r="53" spans="1:4" s="319" customFormat="1">
      <c r="B53" s="943"/>
      <c r="C53" s="943"/>
      <c r="D53" s="943"/>
    </row>
    <row r="54" spans="1:4" ht="12.75" customHeight="1">
      <c r="B54" s="944" t="s">
        <v>574</v>
      </c>
      <c r="C54" s="944"/>
      <c r="D54" s="944"/>
    </row>
    <row r="55" spans="1:4" s="319" customFormat="1">
      <c r="B55" s="944"/>
      <c r="C55" s="944"/>
      <c r="D55" s="944"/>
    </row>
    <row r="56" spans="1:4" s="452" customFormat="1">
      <c r="B56" s="944"/>
      <c r="C56" s="944"/>
      <c r="D56" s="944"/>
    </row>
    <row r="57" spans="1:4" ht="12.75" customHeight="1">
      <c r="B57" s="160" t="s">
        <v>4</v>
      </c>
      <c r="C57" s="105"/>
      <c r="D57" s="105"/>
    </row>
    <row r="58" spans="1:4" ht="12.75" customHeight="1">
      <c r="B58" s="944" t="s">
        <v>737</v>
      </c>
      <c r="C58" s="944"/>
      <c r="D58" s="944"/>
    </row>
    <row r="59" spans="1:4">
      <c r="B59" s="944"/>
      <c r="C59" s="944"/>
      <c r="D59" s="944"/>
    </row>
    <row r="60" spans="1:4">
      <c r="B60" s="944"/>
      <c r="C60" s="944"/>
      <c r="D60" s="944"/>
    </row>
  </sheetData>
  <sheetProtection password="B8D9" sheet="1" objects="1" scenarios="1"/>
  <mergeCells count="6">
    <mergeCell ref="B58:D60"/>
    <mergeCell ref="B4:B5"/>
    <mergeCell ref="C4:C5"/>
    <mergeCell ref="D4:D5"/>
    <mergeCell ref="B52:D53"/>
    <mergeCell ref="B54:D56"/>
  </mergeCells>
  <phoneticPr fontId="0" type="noConversion"/>
  <hyperlinks>
    <hyperlink ref="B3" location="'List of Tables &amp; Charts'!A1" display="return to List of Tables &amp; Charts"/>
  </hyperlinks>
  <printOptions horizontalCentered="1"/>
  <pageMargins left="0" right="0" top="0.39370078740157483" bottom="0.74803149606299213" header="0.15748031496062992" footer="0.19685039370078741"/>
  <pageSetup paperSize="9" scale="75" orientation="portrait" r:id="rId1"/>
  <headerFooter alignWithMargins="0">
    <oddFooter>&amp;L&amp;8Scottish Stroke Care Audit 2017 National Report
Stroke Services in Scottish Hospitals, Data relating to 2016&amp;R&amp;8© NHS National Services Scotland/Crown Copyright</oddFooter>
  </headerFooter>
</worksheet>
</file>

<file path=xl/worksheets/sheet50.xml><?xml version="1.0" encoding="utf-8"?>
<worksheet xmlns="http://schemas.openxmlformats.org/spreadsheetml/2006/main" xmlns:r="http://schemas.openxmlformats.org/officeDocument/2006/relationships">
  <sheetPr codeName="Sheet69">
    <pageSetUpPr fitToPage="1"/>
  </sheetPr>
  <dimension ref="A1:S106"/>
  <sheetViews>
    <sheetView showGridLines="0" zoomScaleNormal="100" workbookViewId="0">
      <pane ySplit="5" topLeftCell="A6" activePane="bottomLeft" state="frozen"/>
      <selection activeCell="L1" sqref="L1:L4"/>
      <selection pane="bottomLeft" activeCell="A6" sqref="A6"/>
    </sheetView>
  </sheetViews>
  <sheetFormatPr defaultRowHeight="12.75"/>
  <cols>
    <col min="1" max="1" width="1.7109375" style="440" customWidth="1"/>
    <col min="2" max="2" width="16.7109375" style="440" customWidth="1"/>
    <col min="3" max="3" width="45.7109375" style="440" customWidth="1"/>
    <col min="4" max="6" width="10.7109375" style="439" customWidth="1"/>
    <col min="7" max="9" width="1.7109375" style="439" customWidth="1"/>
    <col min="10" max="10" width="9.28515625" style="439" customWidth="1"/>
    <col min="11" max="11" width="11.28515625" style="440" customWidth="1"/>
    <col min="12" max="12" width="9.28515625" style="440" customWidth="1"/>
    <col min="13" max="13" width="11.28515625" style="440" customWidth="1"/>
    <col min="14" max="14" width="9.28515625" style="440" customWidth="1"/>
    <col min="15" max="15" width="11.28515625" style="440" customWidth="1"/>
    <col min="16" max="256" width="9.140625" style="440"/>
    <col min="257" max="257" width="1.7109375" style="440" customWidth="1"/>
    <col min="258" max="258" width="16.7109375" style="440" customWidth="1"/>
    <col min="259" max="259" width="45.7109375" style="440" customWidth="1"/>
    <col min="260" max="262" width="10.7109375" style="440" customWidth="1"/>
    <col min="263" max="265" width="1.7109375" style="440" customWidth="1"/>
    <col min="266" max="266" width="9.28515625" style="440" customWidth="1"/>
    <col min="267" max="267" width="11.28515625" style="440" customWidth="1"/>
    <col min="268" max="268" width="9.28515625" style="440" customWidth="1"/>
    <col min="269" max="269" width="11.28515625" style="440" customWidth="1"/>
    <col min="270" max="270" width="9.28515625" style="440" customWidth="1"/>
    <col min="271" max="271" width="11.28515625" style="440" customWidth="1"/>
    <col min="272" max="512" width="9.140625" style="440"/>
    <col min="513" max="513" width="1.7109375" style="440" customWidth="1"/>
    <col min="514" max="514" width="16.7109375" style="440" customWidth="1"/>
    <col min="515" max="515" width="45.7109375" style="440" customWidth="1"/>
    <col min="516" max="518" width="10.7109375" style="440" customWidth="1"/>
    <col min="519" max="521" width="1.7109375" style="440" customWidth="1"/>
    <col min="522" max="522" width="9.28515625" style="440" customWidth="1"/>
    <col min="523" max="523" width="11.28515625" style="440" customWidth="1"/>
    <col min="524" max="524" width="9.28515625" style="440" customWidth="1"/>
    <col min="525" max="525" width="11.28515625" style="440" customWidth="1"/>
    <col min="526" max="526" width="9.28515625" style="440" customWidth="1"/>
    <col min="527" max="527" width="11.28515625" style="440" customWidth="1"/>
    <col min="528" max="768" width="9.140625" style="440"/>
    <col min="769" max="769" width="1.7109375" style="440" customWidth="1"/>
    <col min="770" max="770" width="16.7109375" style="440" customWidth="1"/>
    <col min="771" max="771" width="45.7109375" style="440" customWidth="1"/>
    <col min="772" max="774" width="10.7109375" style="440" customWidth="1"/>
    <col min="775" max="777" width="1.7109375" style="440" customWidth="1"/>
    <col min="778" max="778" width="9.28515625" style="440" customWidth="1"/>
    <col min="779" max="779" width="11.28515625" style="440" customWidth="1"/>
    <col min="780" max="780" width="9.28515625" style="440" customWidth="1"/>
    <col min="781" max="781" width="11.28515625" style="440" customWidth="1"/>
    <col min="782" max="782" width="9.28515625" style="440" customWidth="1"/>
    <col min="783" max="783" width="11.28515625" style="440" customWidth="1"/>
    <col min="784" max="1024" width="9.140625" style="440"/>
    <col min="1025" max="1025" width="1.7109375" style="440" customWidth="1"/>
    <col min="1026" max="1026" width="16.7109375" style="440" customWidth="1"/>
    <col min="1027" max="1027" width="45.7109375" style="440" customWidth="1"/>
    <col min="1028" max="1030" width="10.7109375" style="440" customWidth="1"/>
    <col min="1031" max="1033" width="1.7109375" style="440" customWidth="1"/>
    <col min="1034" max="1034" width="9.28515625" style="440" customWidth="1"/>
    <col min="1035" max="1035" width="11.28515625" style="440" customWidth="1"/>
    <col min="1036" max="1036" width="9.28515625" style="440" customWidth="1"/>
    <col min="1037" max="1037" width="11.28515625" style="440" customWidth="1"/>
    <col min="1038" max="1038" width="9.28515625" style="440" customWidth="1"/>
    <col min="1039" max="1039" width="11.28515625" style="440" customWidth="1"/>
    <col min="1040" max="1280" width="9.140625" style="440"/>
    <col min="1281" max="1281" width="1.7109375" style="440" customWidth="1"/>
    <col min="1282" max="1282" width="16.7109375" style="440" customWidth="1"/>
    <col min="1283" max="1283" width="45.7109375" style="440" customWidth="1"/>
    <col min="1284" max="1286" width="10.7109375" style="440" customWidth="1"/>
    <col min="1287" max="1289" width="1.7109375" style="440" customWidth="1"/>
    <col min="1290" max="1290" width="9.28515625" style="440" customWidth="1"/>
    <col min="1291" max="1291" width="11.28515625" style="440" customWidth="1"/>
    <col min="1292" max="1292" width="9.28515625" style="440" customWidth="1"/>
    <col min="1293" max="1293" width="11.28515625" style="440" customWidth="1"/>
    <col min="1294" max="1294" width="9.28515625" style="440" customWidth="1"/>
    <col min="1295" max="1295" width="11.28515625" style="440" customWidth="1"/>
    <col min="1296" max="1536" width="9.140625" style="440"/>
    <col min="1537" max="1537" width="1.7109375" style="440" customWidth="1"/>
    <col min="1538" max="1538" width="16.7109375" style="440" customWidth="1"/>
    <col min="1539" max="1539" width="45.7109375" style="440" customWidth="1"/>
    <col min="1540" max="1542" width="10.7109375" style="440" customWidth="1"/>
    <col min="1543" max="1545" width="1.7109375" style="440" customWidth="1"/>
    <col min="1546" max="1546" width="9.28515625" style="440" customWidth="1"/>
    <col min="1547" max="1547" width="11.28515625" style="440" customWidth="1"/>
    <col min="1548" max="1548" width="9.28515625" style="440" customWidth="1"/>
    <col min="1549" max="1549" width="11.28515625" style="440" customWidth="1"/>
    <col min="1550" max="1550" width="9.28515625" style="440" customWidth="1"/>
    <col min="1551" max="1551" width="11.28515625" style="440" customWidth="1"/>
    <col min="1552" max="1792" width="9.140625" style="440"/>
    <col min="1793" max="1793" width="1.7109375" style="440" customWidth="1"/>
    <col min="1794" max="1794" width="16.7109375" style="440" customWidth="1"/>
    <col min="1795" max="1795" width="45.7109375" style="440" customWidth="1"/>
    <col min="1796" max="1798" width="10.7109375" style="440" customWidth="1"/>
    <col min="1799" max="1801" width="1.7109375" style="440" customWidth="1"/>
    <col min="1802" max="1802" width="9.28515625" style="440" customWidth="1"/>
    <col min="1803" max="1803" width="11.28515625" style="440" customWidth="1"/>
    <col min="1804" max="1804" width="9.28515625" style="440" customWidth="1"/>
    <col min="1805" max="1805" width="11.28515625" style="440" customWidth="1"/>
    <col min="1806" max="1806" width="9.28515625" style="440" customWidth="1"/>
    <col min="1807" max="1807" width="11.28515625" style="440" customWidth="1"/>
    <col min="1808" max="2048" width="9.140625" style="440"/>
    <col min="2049" max="2049" width="1.7109375" style="440" customWidth="1"/>
    <col min="2050" max="2050" width="16.7109375" style="440" customWidth="1"/>
    <col min="2051" max="2051" width="45.7109375" style="440" customWidth="1"/>
    <col min="2052" max="2054" width="10.7109375" style="440" customWidth="1"/>
    <col min="2055" max="2057" width="1.7109375" style="440" customWidth="1"/>
    <col min="2058" max="2058" width="9.28515625" style="440" customWidth="1"/>
    <col min="2059" max="2059" width="11.28515625" style="440" customWidth="1"/>
    <col min="2060" max="2060" width="9.28515625" style="440" customWidth="1"/>
    <col min="2061" max="2061" width="11.28515625" style="440" customWidth="1"/>
    <col min="2062" max="2062" width="9.28515625" style="440" customWidth="1"/>
    <col min="2063" max="2063" width="11.28515625" style="440" customWidth="1"/>
    <col min="2064" max="2304" width="9.140625" style="440"/>
    <col min="2305" max="2305" width="1.7109375" style="440" customWidth="1"/>
    <col min="2306" max="2306" width="16.7109375" style="440" customWidth="1"/>
    <col min="2307" max="2307" width="45.7109375" style="440" customWidth="1"/>
    <col min="2308" max="2310" width="10.7109375" style="440" customWidth="1"/>
    <col min="2311" max="2313" width="1.7109375" style="440" customWidth="1"/>
    <col min="2314" max="2314" width="9.28515625" style="440" customWidth="1"/>
    <col min="2315" max="2315" width="11.28515625" style="440" customWidth="1"/>
    <col min="2316" max="2316" width="9.28515625" style="440" customWidth="1"/>
    <col min="2317" max="2317" width="11.28515625" style="440" customWidth="1"/>
    <col min="2318" max="2318" width="9.28515625" style="440" customWidth="1"/>
    <col min="2319" max="2319" width="11.28515625" style="440" customWidth="1"/>
    <col min="2320" max="2560" width="9.140625" style="440"/>
    <col min="2561" max="2561" width="1.7109375" style="440" customWidth="1"/>
    <col min="2562" max="2562" width="16.7109375" style="440" customWidth="1"/>
    <col min="2563" max="2563" width="45.7109375" style="440" customWidth="1"/>
    <col min="2564" max="2566" width="10.7109375" style="440" customWidth="1"/>
    <col min="2567" max="2569" width="1.7109375" style="440" customWidth="1"/>
    <col min="2570" max="2570" width="9.28515625" style="440" customWidth="1"/>
    <col min="2571" max="2571" width="11.28515625" style="440" customWidth="1"/>
    <col min="2572" max="2572" width="9.28515625" style="440" customWidth="1"/>
    <col min="2573" max="2573" width="11.28515625" style="440" customWidth="1"/>
    <col min="2574" max="2574" width="9.28515625" style="440" customWidth="1"/>
    <col min="2575" max="2575" width="11.28515625" style="440" customWidth="1"/>
    <col min="2576" max="2816" width="9.140625" style="440"/>
    <col min="2817" max="2817" width="1.7109375" style="440" customWidth="1"/>
    <col min="2818" max="2818" width="16.7109375" style="440" customWidth="1"/>
    <col min="2819" max="2819" width="45.7109375" style="440" customWidth="1"/>
    <col min="2820" max="2822" width="10.7109375" style="440" customWidth="1"/>
    <col min="2823" max="2825" width="1.7109375" style="440" customWidth="1"/>
    <col min="2826" max="2826" width="9.28515625" style="440" customWidth="1"/>
    <col min="2827" max="2827" width="11.28515625" style="440" customWidth="1"/>
    <col min="2828" max="2828" width="9.28515625" style="440" customWidth="1"/>
    <col min="2829" max="2829" width="11.28515625" style="440" customWidth="1"/>
    <col min="2830" max="2830" width="9.28515625" style="440" customWidth="1"/>
    <col min="2831" max="2831" width="11.28515625" style="440" customWidth="1"/>
    <col min="2832" max="3072" width="9.140625" style="440"/>
    <col min="3073" max="3073" width="1.7109375" style="440" customWidth="1"/>
    <col min="3074" max="3074" width="16.7109375" style="440" customWidth="1"/>
    <col min="3075" max="3075" width="45.7109375" style="440" customWidth="1"/>
    <col min="3076" max="3078" width="10.7109375" style="440" customWidth="1"/>
    <col min="3079" max="3081" width="1.7109375" style="440" customWidth="1"/>
    <col min="3082" max="3082" width="9.28515625" style="440" customWidth="1"/>
    <col min="3083" max="3083" width="11.28515625" style="440" customWidth="1"/>
    <col min="3084" max="3084" width="9.28515625" style="440" customWidth="1"/>
    <col min="3085" max="3085" width="11.28515625" style="440" customWidth="1"/>
    <col min="3086" max="3086" width="9.28515625" style="440" customWidth="1"/>
    <col min="3087" max="3087" width="11.28515625" style="440" customWidth="1"/>
    <col min="3088" max="3328" width="9.140625" style="440"/>
    <col min="3329" max="3329" width="1.7109375" style="440" customWidth="1"/>
    <col min="3330" max="3330" width="16.7109375" style="440" customWidth="1"/>
    <col min="3331" max="3331" width="45.7109375" style="440" customWidth="1"/>
    <col min="3332" max="3334" width="10.7109375" style="440" customWidth="1"/>
    <col min="3335" max="3337" width="1.7109375" style="440" customWidth="1"/>
    <col min="3338" max="3338" width="9.28515625" style="440" customWidth="1"/>
    <col min="3339" max="3339" width="11.28515625" style="440" customWidth="1"/>
    <col min="3340" max="3340" width="9.28515625" style="440" customWidth="1"/>
    <col min="3341" max="3341" width="11.28515625" style="440" customWidth="1"/>
    <col min="3342" max="3342" width="9.28515625" style="440" customWidth="1"/>
    <col min="3343" max="3343" width="11.28515625" style="440" customWidth="1"/>
    <col min="3344" max="3584" width="9.140625" style="440"/>
    <col min="3585" max="3585" width="1.7109375" style="440" customWidth="1"/>
    <col min="3586" max="3586" width="16.7109375" style="440" customWidth="1"/>
    <col min="3587" max="3587" width="45.7109375" style="440" customWidth="1"/>
    <col min="3588" max="3590" width="10.7109375" style="440" customWidth="1"/>
    <col min="3591" max="3593" width="1.7109375" style="440" customWidth="1"/>
    <col min="3594" max="3594" width="9.28515625" style="440" customWidth="1"/>
    <col min="3595" max="3595" width="11.28515625" style="440" customWidth="1"/>
    <col min="3596" max="3596" width="9.28515625" style="440" customWidth="1"/>
    <col min="3597" max="3597" width="11.28515625" style="440" customWidth="1"/>
    <col min="3598" max="3598" width="9.28515625" style="440" customWidth="1"/>
    <col min="3599" max="3599" width="11.28515625" style="440" customWidth="1"/>
    <col min="3600" max="3840" width="9.140625" style="440"/>
    <col min="3841" max="3841" width="1.7109375" style="440" customWidth="1"/>
    <col min="3842" max="3842" width="16.7109375" style="440" customWidth="1"/>
    <col min="3843" max="3843" width="45.7109375" style="440" customWidth="1"/>
    <col min="3844" max="3846" width="10.7109375" style="440" customWidth="1"/>
    <col min="3847" max="3849" width="1.7109375" style="440" customWidth="1"/>
    <col min="3850" max="3850" width="9.28515625" style="440" customWidth="1"/>
    <col min="3851" max="3851" width="11.28515625" style="440" customWidth="1"/>
    <col min="3852" max="3852" width="9.28515625" style="440" customWidth="1"/>
    <col min="3853" max="3853" width="11.28515625" style="440" customWidth="1"/>
    <col min="3854" max="3854" width="9.28515625" style="440" customWidth="1"/>
    <col min="3855" max="3855" width="11.28515625" style="440" customWidth="1"/>
    <col min="3856" max="4096" width="9.140625" style="440"/>
    <col min="4097" max="4097" width="1.7109375" style="440" customWidth="1"/>
    <col min="4098" max="4098" width="16.7109375" style="440" customWidth="1"/>
    <col min="4099" max="4099" width="45.7109375" style="440" customWidth="1"/>
    <col min="4100" max="4102" width="10.7109375" style="440" customWidth="1"/>
    <col min="4103" max="4105" width="1.7109375" style="440" customWidth="1"/>
    <col min="4106" max="4106" width="9.28515625" style="440" customWidth="1"/>
    <col min="4107" max="4107" width="11.28515625" style="440" customWidth="1"/>
    <col min="4108" max="4108" width="9.28515625" style="440" customWidth="1"/>
    <col min="4109" max="4109" width="11.28515625" style="440" customWidth="1"/>
    <col min="4110" max="4110" width="9.28515625" style="440" customWidth="1"/>
    <col min="4111" max="4111" width="11.28515625" style="440" customWidth="1"/>
    <col min="4112" max="4352" width="9.140625" style="440"/>
    <col min="4353" max="4353" width="1.7109375" style="440" customWidth="1"/>
    <col min="4354" max="4354" width="16.7109375" style="440" customWidth="1"/>
    <col min="4355" max="4355" width="45.7109375" style="440" customWidth="1"/>
    <col min="4356" max="4358" width="10.7109375" style="440" customWidth="1"/>
    <col min="4359" max="4361" width="1.7109375" style="440" customWidth="1"/>
    <col min="4362" max="4362" width="9.28515625" style="440" customWidth="1"/>
    <col min="4363" max="4363" width="11.28515625" style="440" customWidth="1"/>
    <col min="4364" max="4364" width="9.28515625" style="440" customWidth="1"/>
    <col min="4365" max="4365" width="11.28515625" style="440" customWidth="1"/>
    <col min="4366" max="4366" width="9.28515625" style="440" customWidth="1"/>
    <col min="4367" max="4367" width="11.28515625" style="440" customWidth="1"/>
    <col min="4368" max="4608" width="9.140625" style="440"/>
    <col min="4609" max="4609" width="1.7109375" style="440" customWidth="1"/>
    <col min="4610" max="4610" width="16.7109375" style="440" customWidth="1"/>
    <col min="4611" max="4611" width="45.7109375" style="440" customWidth="1"/>
    <col min="4612" max="4614" width="10.7109375" style="440" customWidth="1"/>
    <col min="4615" max="4617" width="1.7109375" style="440" customWidth="1"/>
    <col min="4618" max="4618" width="9.28515625" style="440" customWidth="1"/>
    <col min="4619" max="4619" width="11.28515625" style="440" customWidth="1"/>
    <col min="4620" max="4620" width="9.28515625" style="440" customWidth="1"/>
    <col min="4621" max="4621" width="11.28515625" style="440" customWidth="1"/>
    <col min="4622" max="4622" width="9.28515625" style="440" customWidth="1"/>
    <col min="4623" max="4623" width="11.28515625" style="440" customWidth="1"/>
    <col min="4624" max="4864" width="9.140625" style="440"/>
    <col min="4865" max="4865" width="1.7109375" style="440" customWidth="1"/>
    <col min="4866" max="4866" width="16.7109375" style="440" customWidth="1"/>
    <col min="4867" max="4867" width="45.7109375" style="440" customWidth="1"/>
    <col min="4868" max="4870" width="10.7109375" style="440" customWidth="1"/>
    <col min="4871" max="4873" width="1.7109375" style="440" customWidth="1"/>
    <col min="4874" max="4874" width="9.28515625" style="440" customWidth="1"/>
    <col min="4875" max="4875" width="11.28515625" style="440" customWidth="1"/>
    <col min="4876" max="4876" width="9.28515625" style="440" customWidth="1"/>
    <col min="4877" max="4877" width="11.28515625" style="440" customWidth="1"/>
    <col min="4878" max="4878" width="9.28515625" style="440" customWidth="1"/>
    <col min="4879" max="4879" width="11.28515625" style="440" customWidth="1"/>
    <col min="4880" max="5120" width="9.140625" style="440"/>
    <col min="5121" max="5121" width="1.7109375" style="440" customWidth="1"/>
    <col min="5122" max="5122" width="16.7109375" style="440" customWidth="1"/>
    <col min="5123" max="5123" width="45.7109375" style="440" customWidth="1"/>
    <col min="5124" max="5126" width="10.7109375" style="440" customWidth="1"/>
    <col min="5127" max="5129" width="1.7109375" style="440" customWidth="1"/>
    <col min="5130" max="5130" width="9.28515625" style="440" customWidth="1"/>
    <col min="5131" max="5131" width="11.28515625" style="440" customWidth="1"/>
    <col min="5132" max="5132" width="9.28515625" style="440" customWidth="1"/>
    <col min="5133" max="5133" width="11.28515625" style="440" customWidth="1"/>
    <col min="5134" max="5134" width="9.28515625" style="440" customWidth="1"/>
    <col min="5135" max="5135" width="11.28515625" style="440" customWidth="1"/>
    <col min="5136" max="5376" width="9.140625" style="440"/>
    <col min="5377" max="5377" width="1.7109375" style="440" customWidth="1"/>
    <col min="5378" max="5378" width="16.7109375" style="440" customWidth="1"/>
    <col min="5379" max="5379" width="45.7109375" style="440" customWidth="1"/>
    <col min="5380" max="5382" width="10.7109375" style="440" customWidth="1"/>
    <col min="5383" max="5385" width="1.7109375" style="440" customWidth="1"/>
    <col min="5386" max="5386" width="9.28515625" style="440" customWidth="1"/>
    <col min="5387" max="5387" width="11.28515625" style="440" customWidth="1"/>
    <col min="5388" max="5388" width="9.28515625" style="440" customWidth="1"/>
    <col min="5389" max="5389" width="11.28515625" style="440" customWidth="1"/>
    <col min="5390" max="5390" width="9.28515625" style="440" customWidth="1"/>
    <col min="5391" max="5391" width="11.28515625" style="440" customWidth="1"/>
    <col min="5392" max="5632" width="9.140625" style="440"/>
    <col min="5633" max="5633" width="1.7109375" style="440" customWidth="1"/>
    <col min="5634" max="5634" width="16.7109375" style="440" customWidth="1"/>
    <col min="5635" max="5635" width="45.7109375" style="440" customWidth="1"/>
    <col min="5636" max="5638" width="10.7109375" style="440" customWidth="1"/>
    <col min="5639" max="5641" width="1.7109375" style="440" customWidth="1"/>
    <col min="5642" max="5642" width="9.28515625" style="440" customWidth="1"/>
    <col min="5643" max="5643" width="11.28515625" style="440" customWidth="1"/>
    <col min="5644" max="5644" width="9.28515625" style="440" customWidth="1"/>
    <col min="5645" max="5645" width="11.28515625" style="440" customWidth="1"/>
    <col min="5646" max="5646" width="9.28515625" style="440" customWidth="1"/>
    <col min="5647" max="5647" width="11.28515625" style="440" customWidth="1"/>
    <col min="5648" max="5888" width="9.140625" style="440"/>
    <col min="5889" max="5889" width="1.7109375" style="440" customWidth="1"/>
    <col min="5890" max="5890" width="16.7109375" style="440" customWidth="1"/>
    <col min="5891" max="5891" width="45.7109375" style="440" customWidth="1"/>
    <col min="5892" max="5894" width="10.7109375" style="440" customWidth="1"/>
    <col min="5895" max="5897" width="1.7109375" style="440" customWidth="1"/>
    <col min="5898" max="5898" width="9.28515625" style="440" customWidth="1"/>
    <col min="5899" max="5899" width="11.28515625" style="440" customWidth="1"/>
    <col min="5900" max="5900" width="9.28515625" style="440" customWidth="1"/>
    <col min="5901" max="5901" width="11.28515625" style="440" customWidth="1"/>
    <col min="5902" max="5902" width="9.28515625" style="440" customWidth="1"/>
    <col min="5903" max="5903" width="11.28515625" style="440" customWidth="1"/>
    <col min="5904" max="6144" width="9.140625" style="440"/>
    <col min="6145" max="6145" width="1.7109375" style="440" customWidth="1"/>
    <col min="6146" max="6146" width="16.7109375" style="440" customWidth="1"/>
    <col min="6147" max="6147" width="45.7109375" style="440" customWidth="1"/>
    <col min="6148" max="6150" width="10.7109375" style="440" customWidth="1"/>
    <col min="6151" max="6153" width="1.7109375" style="440" customWidth="1"/>
    <col min="6154" max="6154" width="9.28515625" style="440" customWidth="1"/>
    <col min="6155" max="6155" width="11.28515625" style="440" customWidth="1"/>
    <col min="6156" max="6156" width="9.28515625" style="440" customWidth="1"/>
    <col min="6157" max="6157" width="11.28515625" style="440" customWidth="1"/>
    <col min="6158" max="6158" width="9.28515625" style="440" customWidth="1"/>
    <col min="6159" max="6159" width="11.28515625" style="440" customWidth="1"/>
    <col min="6160" max="6400" width="9.140625" style="440"/>
    <col min="6401" max="6401" width="1.7109375" style="440" customWidth="1"/>
    <col min="6402" max="6402" width="16.7109375" style="440" customWidth="1"/>
    <col min="6403" max="6403" width="45.7109375" style="440" customWidth="1"/>
    <col min="6404" max="6406" width="10.7109375" style="440" customWidth="1"/>
    <col min="6407" max="6409" width="1.7109375" style="440" customWidth="1"/>
    <col min="6410" max="6410" width="9.28515625" style="440" customWidth="1"/>
    <col min="6411" max="6411" width="11.28515625" style="440" customWidth="1"/>
    <col min="6412" max="6412" width="9.28515625" style="440" customWidth="1"/>
    <col min="6413" max="6413" width="11.28515625" style="440" customWidth="1"/>
    <col min="6414" max="6414" width="9.28515625" style="440" customWidth="1"/>
    <col min="6415" max="6415" width="11.28515625" style="440" customWidth="1"/>
    <col min="6416" max="6656" width="9.140625" style="440"/>
    <col min="6657" max="6657" width="1.7109375" style="440" customWidth="1"/>
    <col min="6658" max="6658" width="16.7109375" style="440" customWidth="1"/>
    <col min="6659" max="6659" width="45.7109375" style="440" customWidth="1"/>
    <col min="6660" max="6662" width="10.7109375" style="440" customWidth="1"/>
    <col min="6663" max="6665" width="1.7109375" style="440" customWidth="1"/>
    <col min="6666" max="6666" width="9.28515625" style="440" customWidth="1"/>
    <col min="6667" max="6667" width="11.28515625" style="440" customWidth="1"/>
    <col min="6668" max="6668" width="9.28515625" style="440" customWidth="1"/>
    <col min="6669" max="6669" width="11.28515625" style="440" customWidth="1"/>
    <col min="6670" max="6670" width="9.28515625" style="440" customWidth="1"/>
    <col min="6671" max="6671" width="11.28515625" style="440" customWidth="1"/>
    <col min="6672" max="6912" width="9.140625" style="440"/>
    <col min="6913" max="6913" width="1.7109375" style="440" customWidth="1"/>
    <col min="6914" max="6914" width="16.7109375" style="440" customWidth="1"/>
    <col min="6915" max="6915" width="45.7109375" style="440" customWidth="1"/>
    <col min="6916" max="6918" width="10.7109375" style="440" customWidth="1"/>
    <col min="6919" max="6921" width="1.7109375" style="440" customWidth="1"/>
    <col min="6922" max="6922" width="9.28515625" style="440" customWidth="1"/>
    <col min="6923" max="6923" width="11.28515625" style="440" customWidth="1"/>
    <col min="6924" max="6924" width="9.28515625" style="440" customWidth="1"/>
    <col min="6925" max="6925" width="11.28515625" style="440" customWidth="1"/>
    <col min="6926" max="6926" width="9.28515625" style="440" customWidth="1"/>
    <col min="6927" max="6927" width="11.28515625" style="440" customWidth="1"/>
    <col min="6928" max="7168" width="9.140625" style="440"/>
    <col min="7169" max="7169" width="1.7109375" style="440" customWidth="1"/>
    <col min="7170" max="7170" width="16.7109375" style="440" customWidth="1"/>
    <col min="7171" max="7171" width="45.7109375" style="440" customWidth="1"/>
    <col min="7172" max="7174" width="10.7109375" style="440" customWidth="1"/>
    <col min="7175" max="7177" width="1.7109375" style="440" customWidth="1"/>
    <col min="7178" max="7178" width="9.28515625" style="440" customWidth="1"/>
    <col min="7179" max="7179" width="11.28515625" style="440" customWidth="1"/>
    <col min="7180" max="7180" width="9.28515625" style="440" customWidth="1"/>
    <col min="7181" max="7181" width="11.28515625" style="440" customWidth="1"/>
    <col min="7182" max="7182" width="9.28515625" style="440" customWidth="1"/>
    <col min="7183" max="7183" width="11.28515625" style="440" customWidth="1"/>
    <col min="7184" max="7424" width="9.140625" style="440"/>
    <col min="7425" max="7425" width="1.7109375" style="440" customWidth="1"/>
    <col min="7426" max="7426" width="16.7109375" style="440" customWidth="1"/>
    <col min="7427" max="7427" width="45.7109375" style="440" customWidth="1"/>
    <col min="7428" max="7430" width="10.7109375" style="440" customWidth="1"/>
    <col min="7431" max="7433" width="1.7109375" style="440" customWidth="1"/>
    <col min="7434" max="7434" width="9.28515625" style="440" customWidth="1"/>
    <col min="7435" max="7435" width="11.28515625" style="440" customWidth="1"/>
    <col min="7436" max="7436" width="9.28515625" style="440" customWidth="1"/>
    <col min="7437" max="7437" width="11.28515625" style="440" customWidth="1"/>
    <col min="7438" max="7438" width="9.28515625" style="440" customWidth="1"/>
    <col min="7439" max="7439" width="11.28515625" style="440" customWidth="1"/>
    <col min="7440" max="7680" width="9.140625" style="440"/>
    <col min="7681" max="7681" width="1.7109375" style="440" customWidth="1"/>
    <col min="7682" max="7682" width="16.7109375" style="440" customWidth="1"/>
    <col min="7683" max="7683" width="45.7109375" style="440" customWidth="1"/>
    <col min="7684" max="7686" width="10.7109375" style="440" customWidth="1"/>
    <col min="7687" max="7689" width="1.7109375" style="440" customWidth="1"/>
    <col min="7690" max="7690" width="9.28515625" style="440" customWidth="1"/>
    <col min="7691" max="7691" width="11.28515625" style="440" customWidth="1"/>
    <col min="7692" max="7692" width="9.28515625" style="440" customWidth="1"/>
    <col min="7693" max="7693" width="11.28515625" style="440" customWidth="1"/>
    <col min="7694" max="7694" width="9.28515625" style="440" customWidth="1"/>
    <col min="7695" max="7695" width="11.28515625" style="440" customWidth="1"/>
    <col min="7696" max="7936" width="9.140625" style="440"/>
    <col min="7937" max="7937" width="1.7109375" style="440" customWidth="1"/>
    <col min="7938" max="7938" width="16.7109375" style="440" customWidth="1"/>
    <col min="7939" max="7939" width="45.7109375" style="440" customWidth="1"/>
    <col min="7940" max="7942" width="10.7109375" style="440" customWidth="1"/>
    <col min="7943" max="7945" width="1.7109375" style="440" customWidth="1"/>
    <col min="7946" max="7946" width="9.28515625" style="440" customWidth="1"/>
    <col min="7947" max="7947" width="11.28515625" style="440" customWidth="1"/>
    <col min="7948" max="7948" width="9.28515625" style="440" customWidth="1"/>
    <col min="7949" max="7949" width="11.28515625" style="440" customWidth="1"/>
    <col min="7950" max="7950" width="9.28515625" style="440" customWidth="1"/>
    <col min="7951" max="7951" width="11.28515625" style="440" customWidth="1"/>
    <col min="7952" max="8192" width="9.140625" style="440"/>
    <col min="8193" max="8193" width="1.7109375" style="440" customWidth="1"/>
    <col min="8194" max="8194" width="16.7109375" style="440" customWidth="1"/>
    <col min="8195" max="8195" width="45.7109375" style="440" customWidth="1"/>
    <col min="8196" max="8198" width="10.7109375" style="440" customWidth="1"/>
    <col min="8199" max="8201" width="1.7109375" style="440" customWidth="1"/>
    <col min="8202" max="8202" width="9.28515625" style="440" customWidth="1"/>
    <col min="8203" max="8203" width="11.28515625" style="440" customWidth="1"/>
    <col min="8204" max="8204" width="9.28515625" style="440" customWidth="1"/>
    <col min="8205" max="8205" width="11.28515625" style="440" customWidth="1"/>
    <col min="8206" max="8206" width="9.28515625" style="440" customWidth="1"/>
    <col min="8207" max="8207" width="11.28515625" style="440" customWidth="1"/>
    <col min="8208" max="8448" width="9.140625" style="440"/>
    <col min="8449" max="8449" width="1.7109375" style="440" customWidth="1"/>
    <col min="8450" max="8450" width="16.7109375" style="440" customWidth="1"/>
    <col min="8451" max="8451" width="45.7109375" style="440" customWidth="1"/>
    <col min="8452" max="8454" width="10.7109375" style="440" customWidth="1"/>
    <col min="8455" max="8457" width="1.7109375" style="440" customWidth="1"/>
    <col min="8458" max="8458" width="9.28515625" style="440" customWidth="1"/>
    <col min="8459" max="8459" width="11.28515625" style="440" customWidth="1"/>
    <col min="8460" max="8460" width="9.28515625" style="440" customWidth="1"/>
    <col min="8461" max="8461" width="11.28515625" style="440" customWidth="1"/>
    <col min="8462" max="8462" width="9.28515625" style="440" customWidth="1"/>
    <col min="8463" max="8463" width="11.28515625" style="440" customWidth="1"/>
    <col min="8464" max="8704" width="9.140625" style="440"/>
    <col min="8705" max="8705" width="1.7109375" style="440" customWidth="1"/>
    <col min="8706" max="8706" width="16.7109375" style="440" customWidth="1"/>
    <col min="8707" max="8707" width="45.7109375" style="440" customWidth="1"/>
    <col min="8708" max="8710" width="10.7109375" style="440" customWidth="1"/>
    <col min="8711" max="8713" width="1.7109375" style="440" customWidth="1"/>
    <col min="8714" max="8714" width="9.28515625" style="440" customWidth="1"/>
    <col min="8715" max="8715" width="11.28515625" style="440" customWidth="1"/>
    <col min="8716" max="8716" width="9.28515625" style="440" customWidth="1"/>
    <col min="8717" max="8717" width="11.28515625" style="440" customWidth="1"/>
    <col min="8718" max="8718" width="9.28515625" style="440" customWidth="1"/>
    <col min="8719" max="8719" width="11.28515625" style="440" customWidth="1"/>
    <col min="8720" max="8960" width="9.140625" style="440"/>
    <col min="8961" max="8961" width="1.7109375" style="440" customWidth="1"/>
    <col min="8962" max="8962" width="16.7109375" style="440" customWidth="1"/>
    <col min="8963" max="8963" width="45.7109375" style="440" customWidth="1"/>
    <col min="8964" max="8966" width="10.7109375" style="440" customWidth="1"/>
    <col min="8967" max="8969" width="1.7109375" style="440" customWidth="1"/>
    <col min="8970" max="8970" width="9.28515625" style="440" customWidth="1"/>
    <col min="8971" max="8971" width="11.28515625" style="440" customWidth="1"/>
    <col min="8972" max="8972" width="9.28515625" style="440" customWidth="1"/>
    <col min="8973" max="8973" width="11.28515625" style="440" customWidth="1"/>
    <col min="8974" max="8974" width="9.28515625" style="440" customWidth="1"/>
    <col min="8975" max="8975" width="11.28515625" style="440" customWidth="1"/>
    <col min="8976" max="9216" width="9.140625" style="440"/>
    <col min="9217" max="9217" width="1.7109375" style="440" customWidth="1"/>
    <col min="9218" max="9218" width="16.7109375" style="440" customWidth="1"/>
    <col min="9219" max="9219" width="45.7109375" style="440" customWidth="1"/>
    <col min="9220" max="9222" width="10.7109375" style="440" customWidth="1"/>
    <col min="9223" max="9225" width="1.7109375" style="440" customWidth="1"/>
    <col min="9226" max="9226" width="9.28515625" style="440" customWidth="1"/>
    <col min="9227" max="9227" width="11.28515625" style="440" customWidth="1"/>
    <col min="9228" max="9228" width="9.28515625" style="440" customWidth="1"/>
    <col min="9229" max="9229" width="11.28515625" style="440" customWidth="1"/>
    <col min="9230" max="9230" width="9.28515625" style="440" customWidth="1"/>
    <col min="9231" max="9231" width="11.28515625" style="440" customWidth="1"/>
    <col min="9232" max="9472" width="9.140625" style="440"/>
    <col min="9473" max="9473" width="1.7109375" style="440" customWidth="1"/>
    <col min="9474" max="9474" width="16.7109375" style="440" customWidth="1"/>
    <col min="9475" max="9475" width="45.7109375" style="440" customWidth="1"/>
    <col min="9476" max="9478" width="10.7109375" style="440" customWidth="1"/>
    <col min="9479" max="9481" width="1.7109375" style="440" customWidth="1"/>
    <col min="9482" max="9482" width="9.28515625" style="440" customWidth="1"/>
    <col min="9483" max="9483" width="11.28515625" style="440" customWidth="1"/>
    <col min="9484" max="9484" width="9.28515625" style="440" customWidth="1"/>
    <col min="9485" max="9485" width="11.28515625" style="440" customWidth="1"/>
    <col min="9486" max="9486" width="9.28515625" style="440" customWidth="1"/>
    <col min="9487" max="9487" width="11.28515625" style="440" customWidth="1"/>
    <col min="9488" max="9728" width="9.140625" style="440"/>
    <col min="9729" max="9729" width="1.7109375" style="440" customWidth="1"/>
    <col min="9730" max="9730" width="16.7109375" style="440" customWidth="1"/>
    <col min="9731" max="9731" width="45.7109375" style="440" customWidth="1"/>
    <col min="9732" max="9734" width="10.7109375" style="440" customWidth="1"/>
    <col min="9735" max="9737" width="1.7109375" style="440" customWidth="1"/>
    <col min="9738" max="9738" width="9.28515625" style="440" customWidth="1"/>
    <col min="9739" max="9739" width="11.28515625" style="440" customWidth="1"/>
    <col min="9740" max="9740" width="9.28515625" style="440" customWidth="1"/>
    <col min="9741" max="9741" width="11.28515625" style="440" customWidth="1"/>
    <col min="9742" max="9742" width="9.28515625" style="440" customWidth="1"/>
    <col min="9743" max="9743" width="11.28515625" style="440" customWidth="1"/>
    <col min="9744" max="9984" width="9.140625" style="440"/>
    <col min="9985" max="9985" width="1.7109375" style="440" customWidth="1"/>
    <col min="9986" max="9986" width="16.7109375" style="440" customWidth="1"/>
    <col min="9987" max="9987" width="45.7109375" style="440" customWidth="1"/>
    <col min="9988" max="9990" width="10.7109375" style="440" customWidth="1"/>
    <col min="9991" max="9993" width="1.7109375" style="440" customWidth="1"/>
    <col min="9994" max="9994" width="9.28515625" style="440" customWidth="1"/>
    <col min="9995" max="9995" width="11.28515625" style="440" customWidth="1"/>
    <col min="9996" max="9996" width="9.28515625" style="440" customWidth="1"/>
    <col min="9997" max="9997" width="11.28515625" style="440" customWidth="1"/>
    <col min="9998" max="9998" width="9.28515625" style="440" customWidth="1"/>
    <col min="9999" max="9999" width="11.28515625" style="440" customWidth="1"/>
    <col min="10000" max="10240" width="9.140625" style="440"/>
    <col min="10241" max="10241" width="1.7109375" style="440" customWidth="1"/>
    <col min="10242" max="10242" width="16.7109375" style="440" customWidth="1"/>
    <col min="10243" max="10243" width="45.7109375" style="440" customWidth="1"/>
    <col min="10244" max="10246" width="10.7109375" style="440" customWidth="1"/>
    <col min="10247" max="10249" width="1.7109375" style="440" customWidth="1"/>
    <col min="10250" max="10250" width="9.28515625" style="440" customWidth="1"/>
    <col min="10251" max="10251" width="11.28515625" style="440" customWidth="1"/>
    <col min="10252" max="10252" width="9.28515625" style="440" customWidth="1"/>
    <col min="10253" max="10253" width="11.28515625" style="440" customWidth="1"/>
    <col min="10254" max="10254" width="9.28515625" style="440" customWidth="1"/>
    <col min="10255" max="10255" width="11.28515625" style="440" customWidth="1"/>
    <col min="10256" max="10496" width="9.140625" style="440"/>
    <col min="10497" max="10497" width="1.7109375" style="440" customWidth="1"/>
    <col min="10498" max="10498" width="16.7109375" style="440" customWidth="1"/>
    <col min="10499" max="10499" width="45.7109375" style="440" customWidth="1"/>
    <col min="10500" max="10502" width="10.7109375" style="440" customWidth="1"/>
    <col min="10503" max="10505" width="1.7109375" style="440" customWidth="1"/>
    <col min="10506" max="10506" width="9.28515625" style="440" customWidth="1"/>
    <col min="10507" max="10507" width="11.28515625" style="440" customWidth="1"/>
    <col min="10508" max="10508" width="9.28515625" style="440" customWidth="1"/>
    <col min="10509" max="10509" width="11.28515625" style="440" customWidth="1"/>
    <col min="10510" max="10510" width="9.28515625" style="440" customWidth="1"/>
    <col min="10511" max="10511" width="11.28515625" style="440" customWidth="1"/>
    <col min="10512" max="10752" width="9.140625" style="440"/>
    <col min="10753" max="10753" width="1.7109375" style="440" customWidth="1"/>
    <col min="10754" max="10754" width="16.7109375" style="440" customWidth="1"/>
    <col min="10755" max="10755" width="45.7109375" style="440" customWidth="1"/>
    <col min="10756" max="10758" width="10.7109375" style="440" customWidth="1"/>
    <col min="10759" max="10761" width="1.7109375" style="440" customWidth="1"/>
    <col min="10762" max="10762" width="9.28515625" style="440" customWidth="1"/>
    <col min="10763" max="10763" width="11.28515625" style="440" customWidth="1"/>
    <col min="10764" max="10764" width="9.28515625" style="440" customWidth="1"/>
    <col min="10765" max="10765" width="11.28515625" style="440" customWidth="1"/>
    <col min="10766" max="10766" width="9.28515625" style="440" customWidth="1"/>
    <col min="10767" max="10767" width="11.28515625" style="440" customWidth="1"/>
    <col min="10768" max="11008" width="9.140625" style="440"/>
    <col min="11009" max="11009" width="1.7109375" style="440" customWidth="1"/>
    <col min="11010" max="11010" width="16.7109375" style="440" customWidth="1"/>
    <col min="11011" max="11011" width="45.7109375" style="440" customWidth="1"/>
    <col min="11012" max="11014" width="10.7109375" style="440" customWidth="1"/>
    <col min="11015" max="11017" width="1.7109375" style="440" customWidth="1"/>
    <col min="11018" max="11018" width="9.28515625" style="440" customWidth="1"/>
    <col min="11019" max="11019" width="11.28515625" style="440" customWidth="1"/>
    <col min="11020" max="11020" width="9.28515625" style="440" customWidth="1"/>
    <col min="11021" max="11021" width="11.28515625" style="440" customWidth="1"/>
    <col min="11022" max="11022" width="9.28515625" style="440" customWidth="1"/>
    <col min="11023" max="11023" width="11.28515625" style="440" customWidth="1"/>
    <col min="11024" max="11264" width="9.140625" style="440"/>
    <col min="11265" max="11265" width="1.7109375" style="440" customWidth="1"/>
    <col min="11266" max="11266" width="16.7109375" style="440" customWidth="1"/>
    <col min="11267" max="11267" width="45.7109375" style="440" customWidth="1"/>
    <col min="11268" max="11270" width="10.7109375" style="440" customWidth="1"/>
    <col min="11271" max="11273" width="1.7109375" style="440" customWidth="1"/>
    <col min="11274" max="11274" width="9.28515625" style="440" customWidth="1"/>
    <col min="11275" max="11275" width="11.28515625" style="440" customWidth="1"/>
    <col min="11276" max="11276" width="9.28515625" style="440" customWidth="1"/>
    <col min="11277" max="11277" width="11.28515625" style="440" customWidth="1"/>
    <col min="11278" max="11278" width="9.28515625" style="440" customWidth="1"/>
    <col min="11279" max="11279" width="11.28515625" style="440" customWidth="1"/>
    <col min="11280" max="11520" width="9.140625" style="440"/>
    <col min="11521" max="11521" width="1.7109375" style="440" customWidth="1"/>
    <col min="11522" max="11522" width="16.7109375" style="440" customWidth="1"/>
    <col min="11523" max="11523" width="45.7109375" style="440" customWidth="1"/>
    <col min="11524" max="11526" width="10.7109375" style="440" customWidth="1"/>
    <col min="11527" max="11529" width="1.7109375" style="440" customWidth="1"/>
    <col min="11530" max="11530" width="9.28515625" style="440" customWidth="1"/>
    <col min="11531" max="11531" width="11.28515625" style="440" customWidth="1"/>
    <col min="11532" max="11532" width="9.28515625" style="440" customWidth="1"/>
    <col min="11533" max="11533" width="11.28515625" style="440" customWidth="1"/>
    <col min="11534" max="11534" width="9.28515625" style="440" customWidth="1"/>
    <col min="11535" max="11535" width="11.28515625" style="440" customWidth="1"/>
    <col min="11536" max="11776" width="9.140625" style="440"/>
    <col min="11777" max="11777" width="1.7109375" style="440" customWidth="1"/>
    <col min="11778" max="11778" width="16.7109375" style="440" customWidth="1"/>
    <col min="11779" max="11779" width="45.7109375" style="440" customWidth="1"/>
    <col min="11780" max="11782" width="10.7109375" style="440" customWidth="1"/>
    <col min="11783" max="11785" width="1.7109375" style="440" customWidth="1"/>
    <col min="11786" max="11786" width="9.28515625" style="440" customWidth="1"/>
    <col min="11787" max="11787" width="11.28515625" style="440" customWidth="1"/>
    <col min="11788" max="11788" width="9.28515625" style="440" customWidth="1"/>
    <col min="11789" max="11789" width="11.28515625" style="440" customWidth="1"/>
    <col min="11790" max="11790" width="9.28515625" style="440" customWidth="1"/>
    <col min="11791" max="11791" width="11.28515625" style="440" customWidth="1"/>
    <col min="11792" max="12032" width="9.140625" style="440"/>
    <col min="12033" max="12033" width="1.7109375" style="440" customWidth="1"/>
    <col min="12034" max="12034" width="16.7109375" style="440" customWidth="1"/>
    <col min="12035" max="12035" width="45.7109375" style="440" customWidth="1"/>
    <col min="12036" max="12038" width="10.7109375" style="440" customWidth="1"/>
    <col min="12039" max="12041" width="1.7109375" style="440" customWidth="1"/>
    <col min="12042" max="12042" width="9.28515625" style="440" customWidth="1"/>
    <col min="12043" max="12043" width="11.28515625" style="440" customWidth="1"/>
    <col min="12044" max="12044" width="9.28515625" style="440" customWidth="1"/>
    <col min="12045" max="12045" width="11.28515625" style="440" customWidth="1"/>
    <col min="12046" max="12046" width="9.28515625" style="440" customWidth="1"/>
    <col min="12047" max="12047" width="11.28515625" style="440" customWidth="1"/>
    <col min="12048" max="12288" width="9.140625" style="440"/>
    <col min="12289" max="12289" width="1.7109375" style="440" customWidth="1"/>
    <col min="12290" max="12290" width="16.7109375" style="440" customWidth="1"/>
    <col min="12291" max="12291" width="45.7109375" style="440" customWidth="1"/>
    <col min="12292" max="12294" width="10.7109375" style="440" customWidth="1"/>
    <col min="12295" max="12297" width="1.7109375" style="440" customWidth="1"/>
    <col min="12298" max="12298" width="9.28515625" style="440" customWidth="1"/>
    <col min="12299" max="12299" width="11.28515625" style="440" customWidth="1"/>
    <col min="12300" max="12300" width="9.28515625" style="440" customWidth="1"/>
    <col min="12301" max="12301" width="11.28515625" style="440" customWidth="1"/>
    <col min="12302" max="12302" width="9.28515625" style="440" customWidth="1"/>
    <col min="12303" max="12303" width="11.28515625" style="440" customWidth="1"/>
    <col min="12304" max="12544" width="9.140625" style="440"/>
    <col min="12545" max="12545" width="1.7109375" style="440" customWidth="1"/>
    <col min="12546" max="12546" width="16.7109375" style="440" customWidth="1"/>
    <col min="12547" max="12547" width="45.7109375" style="440" customWidth="1"/>
    <col min="12548" max="12550" width="10.7109375" style="440" customWidth="1"/>
    <col min="12551" max="12553" width="1.7109375" style="440" customWidth="1"/>
    <col min="12554" max="12554" width="9.28515625" style="440" customWidth="1"/>
    <col min="12555" max="12555" width="11.28515625" style="440" customWidth="1"/>
    <col min="12556" max="12556" width="9.28515625" style="440" customWidth="1"/>
    <col min="12557" max="12557" width="11.28515625" style="440" customWidth="1"/>
    <col min="12558" max="12558" width="9.28515625" style="440" customWidth="1"/>
    <col min="12559" max="12559" width="11.28515625" style="440" customWidth="1"/>
    <col min="12560" max="12800" width="9.140625" style="440"/>
    <col min="12801" max="12801" width="1.7109375" style="440" customWidth="1"/>
    <col min="12802" max="12802" width="16.7109375" style="440" customWidth="1"/>
    <col min="12803" max="12803" width="45.7109375" style="440" customWidth="1"/>
    <col min="12804" max="12806" width="10.7109375" style="440" customWidth="1"/>
    <col min="12807" max="12809" width="1.7109375" style="440" customWidth="1"/>
    <col min="12810" max="12810" width="9.28515625" style="440" customWidth="1"/>
    <col min="12811" max="12811" width="11.28515625" style="440" customWidth="1"/>
    <col min="12812" max="12812" width="9.28515625" style="440" customWidth="1"/>
    <col min="12813" max="12813" width="11.28515625" style="440" customWidth="1"/>
    <col min="12814" max="12814" width="9.28515625" style="440" customWidth="1"/>
    <col min="12815" max="12815" width="11.28515625" style="440" customWidth="1"/>
    <col min="12816" max="13056" width="9.140625" style="440"/>
    <col min="13057" max="13057" width="1.7109375" style="440" customWidth="1"/>
    <col min="13058" max="13058" width="16.7109375" style="440" customWidth="1"/>
    <col min="13059" max="13059" width="45.7109375" style="440" customWidth="1"/>
    <col min="13060" max="13062" width="10.7109375" style="440" customWidth="1"/>
    <col min="13063" max="13065" width="1.7109375" style="440" customWidth="1"/>
    <col min="13066" max="13066" width="9.28515625" style="440" customWidth="1"/>
    <col min="13067" max="13067" width="11.28515625" style="440" customWidth="1"/>
    <col min="13068" max="13068" width="9.28515625" style="440" customWidth="1"/>
    <col min="13069" max="13069" width="11.28515625" style="440" customWidth="1"/>
    <col min="13070" max="13070" width="9.28515625" style="440" customWidth="1"/>
    <col min="13071" max="13071" width="11.28515625" style="440" customWidth="1"/>
    <col min="13072" max="13312" width="9.140625" style="440"/>
    <col min="13313" max="13313" width="1.7109375" style="440" customWidth="1"/>
    <col min="13314" max="13314" width="16.7109375" style="440" customWidth="1"/>
    <col min="13315" max="13315" width="45.7109375" style="440" customWidth="1"/>
    <col min="13316" max="13318" width="10.7109375" style="440" customWidth="1"/>
    <col min="13319" max="13321" width="1.7109375" style="440" customWidth="1"/>
    <col min="13322" max="13322" width="9.28515625" style="440" customWidth="1"/>
    <col min="13323" max="13323" width="11.28515625" style="440" customWidth="1"/>
    <col min="13324" max="13324" width="9.28515625" style="440" customWidth="1"/>
    <col min="13325" max="13325" width="11.28515625" style="440" customWidth="1"/>
    <col min="13326" max="13326" width="9.28515625" style="440" customWidth="1"/>
    <col min="13327" max="13327" width="11.28515625" style="440" customWidth="1"/>
    <col min="13328" max="13568" width="9.140625" style="440"/>
    <col min="13569" max="13569" width="1.7109375" style="440" customWidth="1"/>
    <col min="13570" max="13570" width="16.7109375" style="440" customWidth="1"/>
    <col min="13571" max="13571" width="45.7109375" style="440" customWidth="1"/>
    <col min="13572" max="13574" width="10.7109375" style="440" customWidth="1"/>
    <col min="13575" max="13577" width="1.7109375" style="440" customWidth="1"/>
    <col min="13578" max="13578" width="9.28515625" style="440" customWidth="1"/>
    <col min="13579" max="13579" width="11.28515625" style="440" customWidth="1"/>
    <col min="13580" max="13580" width="9.28515625" style="440" customWidth="1"/>
    <col min="13581" max="13581" width="11.28515625" style="440" customWidth="1"/>
    <col min="13582" max="13582" width="9.28515625" style="440" customWidth="1"/>
    <col min="13583" max="13583" width="11.28515625" style="440" customWidth="1"/>
    <col min="13584" max="13824" width="9.140625" style="440"/>
    <col min="13825" max="13825" width="1.7109375" style="440" customWidth="1"/>
    <col min="13826" max="13826" width="16.7109375" style="440" customWidth="1"/>
    <col min="13827" max="13827" width="45.7109375" style="440" customWidth="1"/>
    <col min="13828" max="13830" width="10.7109375" style="440" customWidth="1"/>
    <col min="13831" max="13833" width="1.7109375" style="440" customWidth="1"/>
    <col min="13834" max="13834" width="9.28515625" style="440" customWidth="1"/>
    <col min="13835" max="13835" width="11.28515625" style="440" customWidth="1"/>
    <col min="13836" max="13836" width="9.28515625" style="440" customWidth="1"/>
    <col min="13837" max="13837" width="11.28515625" style="440" customWidth="1"/>
    <col min="13838" max="13838" width="9.28515625" style="440" customWidth="1"/>
    <col min="13839" max="13839" width="11.28515625" style="440" customWidth="1"/>
    <col min="13840" max="14080" width="9.140625" style="440"/>
    <col min="14081" max="14081" width="1.7109375" style="440" customWidth="1"/>
    <col min="14082" max="14082" width="16.7109375" style="440" customWidth="1"/>
    <col min="14083" max="14083" width="45.7109375" style="440" customWidth="1"/>
    <col min="14084" max="14086" width="10.7109375" style="440" customWidth="1"/>
    <col min="14087" max="14089" width="1.7109375" style="440" customWidth="1"/>
    <col min="14090" max="14090" width="9.28515625" style="440" customWidth="1"/>
    <col min="14091" max="14091" width="11.28515625" style="440" customWidth="1"/>
    <col min="14092" max="14092" width="9.28515625" style="440" customWidth="1"/>
    <col min="14093" max="14093" width="11.28515625" style="440" customWidth="1"/>
    <col min="14094" max="14094" width="9.28515625" style="440" customWidth="1"/>
    <col min="14095" max="14095" width="11.28515625" style="440" customWidth="1"/>
    <col min="14096" max="14336" width="9.140625" style="440"/>
    <col min="14337" max="14337" width="1.7109375" style="440" customWidth="1"/>
    <col min="14338" max="14338" width="16.7109375" style="440" customWidth="1"/>
    <col min="14339" max="14339" width="45.7109375" style="440" customWidth="1"/>
    <col min="14340" max="14342" width="10.7109375" style="440" customWidth="1"/>
    <col min="14343" max="14345" width="1.7109375" style="440" customWidth="1"/>
    <col min="14346" max="14346" width="9.28515625" style="440" customWidth="1"/>
    <col min="14347" max="14347" width="11.28515625" style="440" customWidth="1"/>
    <col min="14348" max="14348" width="9.28515625" style="440" customWidth="1"/>
    <col min="14349" max="14349" width="11.28515625" style="440" customWidth="1"/>
    <col min="14350" max="14350" width="9.28515625" style="440" customWidth="1"/>
    <col min="14351" max="14351" width="11.28515625" style="440" customWidth="1"/>
    <col min="14352" max="14592" width="9.140625" style="440"/>
    <col min="14593" max="14593" width="1.7109375" style="440" customWidth="1"/>
    <col min="14594" max="14594" width="16.7109375" style="440" customWidth="1"/>
    <col min="14595" max="14595" width="45.7109375" style="440" customWidth="1"/>
    <col min="14596" max="14598" width="10.7109375" style="440" customWidth="1"/>
    <col min="14599" max="14601" width="1.7109375" style="440" customWidth="1"/>
    <col min="14602" max="14602" width="9.28515625" style="440" customWidth="1"/>
    <col min="14603" max="14603" width="11.28515625" style="440" customWidth="1"/>
    <col min="14604" max="14604" width="9.28515625" style="440" customWidth="1"/>
    <col min="14605" max="14605" width="11.28515625" style="440" customWidth="1"/>
    <col min="14606" max="14606" width="9.28515625" style="440" customWidth="1"/>
    <col min="14607" max="14607" width="11.28515625" style="440" customWidth="1"/>
    <col min="14608" max="14848" width="9.140625" style="440"/>
    <col min="14849" max="14849" width="1.7109375" style="440" customWidth="1"/>
    <col min="14850" max="14850" width="16.7109375" style="440" customWidth="1"/>
    <col min="14851" max="14851" width="45.7109375" style="440" customWidth="1"/>
    <col min="14852" max="14854" width="10.7109375" style="440" customWidth="1"/>
    <col min="14855" max="14857" width="1.7109375" style="440" customWidth="1"/>
    <col min="14858" max="14858" width="9.28515625" style="440" customWidth="1"/>
    <col min="14859" max="14859" width="11.28515625" style="440" customWidth="1"/>
    <col min="14860" max="14860" width="9.28515625" style="440" customWidth="1"/>
    <col min="14861" max="14861" width="11.28515625" style="440" customWidth="1"/>
    <col min="14862" max="14862" width="9.28515625" style="440" customWidth="1"/>
    <col min="14863" max="14863" width="11.28515625" style="440" customWidth="1"/>
    <col min="14864" max="15104" width="9.140625" style="440"/>
    <col min="15105" max="15105" width="1.7109375" style="440" customWidth="1"/>
    <col min="15106" max="15106" width="16.7109375" style="440" customWidth="1"/>
    <col min="15107" max="15107" width="45.7109375" style="440" customWidth="1"/>
    <col min="15108" max="15110" width="10.7109375" style="440" customWidth="1"/>
    <col min="15111" max="15113" width="1.7109375" style="440" customWidth="1"/>
    <col min="15114" max="15114" width="9.28515625" style="440" customWidth="1"/>
    <col min="15115" max="15115" width="11.28515625" style="440" customWidth="1"/>
    <col min="15116" max="15116" width="9.28515625" style="440" customWidth="1"/>
    <col min="15117" max="15117" width="11.28515625" style="440" customWidth="1"/>
    <col min="15118" max="15118" width="9.28515625" style="440" customWidth="1"/>
    <col min="15119" max="15119" width="11.28515625" style="440" customWidth="1"/>
    <col min="15120" max="15360" width="9.140625" style="440"/>
    <col min="15361" max="15361" width="1.7109375" style="440" customWidth="1"/>
    <col min="15362" max="15362" width="16.7109375" style="440" customWidth="1"/>
    <col min="15363" max="15363" width="45.7109375" style="440" customWidth="1"/>
    <col min="15364" max="15366" width="10.7109375" style="440" customWidth="1"/>
    <col min="15367" max="15369" width="1.7109375" style="440" customWidth="1"/>
    <col min="15370" max="15370" width="9.28515625" style="440" customWidth="1"/>
    <col min="15371" max="15371" width="11.28515625" style="440" customWidth="1"/>
    <col min="15372" max="15372" width="9.28515625" style="440" customWidth="1"/>
    <col min="15373" max="15373" width="11.28515625" style="440" customWidth="1"/>
    <col min="15374" max="15374" width="9.28515625" style="440" customWidth="1"/>
    <col min="15375" max="15375" width="11.28515625" style="440" customWidth="1"/>
    <col min="15376" max="15616" width="9.140625" style="440"/>
    <col min="15617" max="15617" width="1.7109375" style="440" customWidth="1"/>
    <col min="15618" max="15618" width="16.7109375" style="440" customWidth="1"/>
    <col min="15619" max="15619" width="45.7109375" style="440" customWidth="1"/>
    <col min="15620" max="15622" width="10.7109375" style="440" customWidth="1"/>
    <col min="15623" max="15625" width="1.7109375" style="440" customWidth="1"/>
    <col min="15626" max="15626" width="9.28515625" style="440" customWidth="1"/>
    <col min="15627" max="15627" width="11.28515625" style="440" customWidth="1"/>
    <col min="15628" max="15628" width="9.28515625" style="440" customWidth="1"/>
    <col min="15629" max="15629" width="11.28515625" style="440" customWidth="1"/>
    <col min="15630" max="15630" width="9.28515625" style="440" customWidth="1"/>
    <col min="15631" max="15631" width="11.28515625" style="440" customWidth="1"/>
    <col min="15632" max="15872" width="9.140625" style="440"/>
    <col min="15873" max="15873" width="1.7109375" style="440" customWidth="1"/>
    <col min="15874" max="15874" width="16.7109375" style="440" customWidth="1"/>
    <col min="15875" max="15875" width="45.7109375" style="440" customWidth="1"/>
    <col min="15876" max="15878" width="10.7109375" style="440" customWidth="1"/>
    <col min="15879" max="15881" width="1.7109375" style="440" customWidth="1"/>
    <col min="15882" max="15882" width="9.28515625" style="440" customWidth="1"/>
    <col min="15883" max="15883" width="11.28515625" style="440" customWidth="1"/>
    <col min="15884" max="15884" width="9.28515625" style="440" customWidth="1"/>
    <col min="15885" max="15885" width="11.28515625" style="440" customWidth="1"/>
    <col min="15886" max="15886" width="9.28515625" style="440" customWidth="1"/>
    <col min="15887" max="15887" width="11.28515625" style="440" customWidth="1"/>
    <col min="15888" max="16128" width="9.140625" style="440"/>
    <col min="16129" max="16129" width="1.7109375" style="440" customWidth="1"/>
    <col min="16130" max="16130" width="16.7109375" style="440" customWidth="1"/>
    <col min="16131" max="16131" width="45.7109375" style="440" customWidth="1"/>
    <col min="16132" max="16134" width="10.7109375" style="440" customWidth="1"/>
    <col min="16135" max="16137" width="1.7109375" style="440" customWidth="1"/>
    <col min="16138" max="16138" width="9.28515625" style="440" customWidth="1"/>
    <col min="16139" max="16139" width="11.28515625" style="440" customWidth="1"/>
    <col min="16140" max="16140" width="9.28515625" style="440" customWidth="1"/>
    <col min="16141" max="16141" width="11.28515625" style="440" customWidth="1"/>
    <col min="16142" max="16142" width="9.28515625" style="440" customWidth="1"/>
    <col min="16143" max="16143" width="11.28515625" style="440" customWidth="1"/>
    <col min="16144" max="16384" width="9.140625" style="440"/>
  </cols>
  <sheetData>
    <row r="1" spans="2:15" ht="12.75" customHeight="1">
      <c r="B1" s="969" t="s">
        <v>646</v>
      </c>
      <c r="C1" s="969"/>
      <c r="D1" s="969"/>
      <c r="E1" s="969"/>
      <c r="F1" s="969"/>
      <c r="G1" s="969"/>
      <c r="H1" s="969"/>
      <c r="I1" s="969"/>
      <c r="J1" s="969"/>
      <c r="K1" s="985" t="s">
        <v>45</v>
      </c>
      <c r="L1" s="1107"/>
      <c r="M1" s="72"/>
      <c r="N1" s="72"/>
      <c r="O1" s="72"/>
    </row>
    <row r="2" spans="2:15" ht="12.75" customHeight="1">
      <c r="B2" s="969"/>
      <c r="C2" s="969"/>
      <c r="D2" s="969"/>
      <c r="E2" s="969"/>
      <c r="F2" s="969"/>
      <c r="G2" s="969"/>
      <c r="H2" s="969"/>
      <c r="I2" s="969"/>
      <c r="J2" s="969"/>
      <c r="K2" s="1107"/>
      <c r="L2" s="1107"/>
      <c r="O2" s="72"/>
    </row>
    <row r="3" spans="2:15" ht="12.75" customHeight="1">
      <c r="B3" s="1044" t="s">
        <v>493</v>
      </c>
      <c r="C3" s="1044"/>
      <c r="D3" s="1044"/>
      <c r="E3" s="1044"/>
      <c r="F3" s="1044"/>
      <c r="G3" s="1044"/>
      <c r="H3" s="1044"/>
      <c r="I3" s="1044"/>
      <c r="J3" s="438"/>
      <c r="K3" s="441"/>
      <c r="L3" s="441"/>
      <c r="O3" s="72"/>
    </row>
    <row r="4" spans="2:15" ht="12.75" customHeight="1">
      <c r="B4" s="1044"/>
      <c r="C4" s="1044"/>
      <c r="D4" s="1044"/>
      <c r="E4" s="1044"/>
      <c r="F4" s="1044"/>
      <c r="G4" s="1044"/>
      <c r="H4" s="1044"/>
      <c r="I4" s="1044"/>
      <c r="J4" s="438"/>
      <c r="K4" s="441"/>
      <c r="L4" s="441"/>
      <c r="O4" s="72"/>
    </row>
    <row r="5" spans="2:15">
      <c r="B5" s="1044"/>
      <c r="C5" s="1044"/>
      <c r="D5" s="1044"/>
      <c r="E5" s="1044"/>
      <c r="F5" s="1044"/>
      <c r="G5" s="1044"/>
      <c r="H5" s="1044"/>
      <c r="I5" s="1044"/>
      <c r="J5" s="280"/>
      <c r="K5" s="280"/>
      <c r="L5" s="280"/>
      <c r="M5" s="280"/>
      <c r="N5" s="280"/>
    </row>
    <row r="31" spans="2:10">
      <c r="B31" s="437"/>
      <c r="C31" s="437"/>
      <c r="D31" s="437"/>
      <c r="E31" s="437"/>
      <c r="F31" s="437"/>
      <c r="G31" s="437"/>
      <c r="H31" s="437"/>
      <c r="I31" s="437"/>
      <c r="J31" s="437"/>
    </row>
    <row r="32" spans="2:10">
      <c r="D32" s="34"/>
      <c r="E32" s="34"/>
      <c r="F32" s="34"/>
      <c r="G32" s="34"/>
      <c r="H32" s="34"/>
    </row>
    <row r="33" spans="2:19">
      <c r="D33" s="34"/>
      <c r="E33" s="34"/>
      <c r="F33" s="34"/>
      <c r="G33" s="34"/>
      <c r="H33" s="34"/>
    </row>
    <row r="34" spans="2:19">
      <c r="B34" s="78"/>
      <c r="C34" s="78"/>
      <c r="D34" s="78"/>
      <c r="E34" s="78"/>
      <c r="F34" s="78"/>
      <c r="G34" s="78"/>
      <c r="H34" s="78"/>
      <c r="I34" s="78"/>
      <c r="J34" s="78"/>
    </row>
    <row r="35" spans="2:19">
      <c r="B35" s="77" t="s">
        <v>536</v>
      </c>
      <c r="C35" s="436"/>
      <c r="D35" s="436"/>
      <c r="E35" s="436"/>
      <c r="F35" s="436"/>
      <c r="G35" s="436"/>
      <c r="H35" s="436"/>
      <c r="I35" s="436"/>
      <c r="J35" s="436"/>
    </row>
    <row r="36" spans="2:19" ht="24.75" customHeight="1">
      <c r="B36" s="1108" t="s">
        <v>564</v>
      </c>
      <c r="C36" s="971"/>
      <c r="D36" s="971"/>
      <c r="E36" s="971"/>
      <c r="F36" s="971"/>
      <c r="G36" s="971"/>
      <c r="H36" s="971"/>
      <c r="I36" s="971"/>
      <c r="J36" s="971"/>
      <c r="K36" s="971"/>
      <c r="L36" s="971"/>
    </row>
    <row r="37" spans="2:19">
      <c r="B37" s="50" t="s">
        <v>1</v>
      </c>
      <c r="C37" s="436"/>
      <c r="D37" s="436"/>
      <c r="E37" s="436"/>
      <c r="F37" s="436"/>
      <c r="G37" s="436"/>
      <c r="H37" s="436"/>
      <c r="I37" s="436"/>
      <c r="J37" s="436"/>
      <c r="K37" s="208"/>
      <c r="L37" s="208"/>
    </row>
    <row r="38" spans="2:19" ht="15">
      <c r="B38" s="1108" t="s">
        <v>456</v>
      </c>
      <c r="C38" s="1109"/>
      <c r="D38" s="1109"/>
      <c r="E38" s="1109"/>
      <c r="F38" s="1109"/>
      <c r="G38" s="1109"/>
      <c r="H38" s="1109"/>
      <c r="I38" s="1109"/>
      <c r="J38" s="1109"/>
      <c r="K38" s="1109"/>
      <c r="L38" s="1109"/>
    </row>
    <row r="39" spans="2:19" ht="24.95" customHeight="1">
      <c r="B39" s="1106" t="s">
        <v>2</v>
      </c>
      <c r="C39" s="1106"/>
      <c r="D39" s="1106"/>
      <c r="E39" s="1106"/>
      <c r="F39" s="1106"/>
      <c r="G39" s="1106"/>
      <c r="H39" s="1106"/>
      <c r="I39" s="1106"/>
      <c r="J39" s="1106"/>
      <c r="K39" s="1106"/>
      <c r="L39" s="1106"/>
    </row>
    <row r="40" spans="2:19" ht="24.95" customHeight="1">
      <c r="B40" s="1106" t="s">
        <v>6</v>
      </c>
      <c r="C40" s="1106"/>
      <c r="D40" s="1106"/>
      <c r="E40" s="1106"/>
      <c r="F40" s="1106"/>
      <c r="G40" s="1106"/>
      <c r="H40" s="1106"/>
      <c r="I40" s="1106"/>
      <c r="J40" s="1106"/>
      <c r="K40" s="1106"/>
      <c r="L40" s="1106"/>
    </row>
    <row r="41" spans="2:19" ht="24.95" customHeight="1">
      <c r="B41" s="1106" t="s">
        <v>565</v>
      </c>
      <c r="C41" s="1106"/>
      <c r="D41" s="1106"/>
      <c r="E41" s="1106"/>
      <c r="F41" s="1106"/>
      <c r="G41" s="1106"/>
      <c r="H41" s="1106"/>
      <c r="I41" s="1106"/>
      <c r="J41" s="1106"/>
      <c r="K41" s="1106"/>
      <c r="L41" s="1106"/>
    </row>
    <row r="42" spans="2:19" ht="24.95" customHeight="1">
      <c r="B42" s="1106"/>
      <c r="C42" s="1106"/>
      <c r="D42" s="1106"/>
      <c r="E42" s="1106"/>
      <c r="F42" s="1106"/>
      <c r="G42" s="1106"/>
      <c r="H42" s="1106"/>
      <c r="I42" s="1106"/>
      <c r="J42" s="1106"/>
      <c r="K42" s="1106"/>
      <c r="L42" s="1106"/>
    </row>
    <row r="43" spans="2:19" s="644" customFormat="1">
      <c r="B43" s="972" t="s">
        <v>580</v>
      </c>
      <c r="C43" s="972"/>
      <c r="D43" s="972"/>
      <c r="E43" s="972"/>
      <c r="F43" s="972"/>
      <c r="G43" s="972"/>
      <c r="H43" s="972"/>
      <c r="I43" s="972"/>
      <c r="J43" s="972"/>
      <c r="K43" s="972"/>
      <c r="L43" s="972"/>
    </row>
    <row r="44" spans="2:19" s="650" customFormat="1" ht="26.1" customHeight="1">
      <c r="B44" s="972" t="s">
        <v>779</v>
      </c>
      <c r="C44" s="972"/>
      <c r="D44" s="972"/>
      <c r="E44" s="972"/>
      <c r="F44" s="972"/>
      <c r="G44" s="972"/>
      <c r="H44" s="972"/>
      <c r="I44" s="972"/>
      <c r="J44" s="972"/>
      <c r="K44" s="972"/>
      <c r="L44" s="972"/>
    </row>
    <row r="45" spans="2:19" s="784" customFormat="1" ht="15">
      <c r="B45" s="205" t="s">
        <v>778</v>
      </c>
      <c r="C45" s="203"/>
      <c r="D45" s="204"/>
      <c r="E45" s="204"/>
      <c r="F45" s="204"/>
      <c r="G45" s="204"/>
      <c r="H45" s="204"/>
      <c r="I45" s="204"/>
      <c r="J45" s="203"/>
    </row>
    <row r="46" spans="2:19">
      <c r="B46" s="436"/>
      <c r="C46" s="436"/>
      <c r="D46" s="436"/>
      <c r="E46" s="436"/>
      <c r="F46" s="436"/>
      <c r="G46" s="436"/>
      <c r="H46" s="436"/>
      <c r="I46" s="436"/>
      <c r="J46" s="436"/>
    </row>
    <row r="47" spans="2:19" ht="25.5" customHeight="1">
      <c r="B47" s="1038">
        <v>2016</v>
      </c>
      <c r="C47" s="1039"/>
      <c r="D47" s="1015" t="s">
        <v>42</v>
      </c>
      <c r="E47" s="1016"/>
      <c r="F47" s="1017"/>
      <c r="G47" s="79"/>
      <c r="H47" s="79"/>
      <c r="I47" s="79"/>
      <c r="J47" s="1015" t="s">
        <v>488</v>
      </c>
      <c r="K47" s="1017"/>
      <c r="L47" s="1015" t="s">
        <v>489</v>
      </c>
      <c r="M47" s="1017"/>
      <c r="N47" s="1015" t="s">
        <v>490</v>
      </c>
      <c r="O47" s="1017"/>
      <c r="P47" s="464"/>
      <c r="Q47" s="464"/>
      <c r="R47" s="464"/>
      <c r="S47" s="464"/>
    </row>
    <row r="48" spans="2:19" ht="45" customHeight="1">
      <c r="B48" s="80" t="s">
        <v>24</v>
      </c>
      <c r="C48" s="53" t="s">
        <v>25</v>
      </c>
      <c r="D48" s="40" t="s">
        <v>491</v>
      </c>
      <c r="E48" s="40" t="s">
        <v>181</v>
      </c>
      <c r="F48" s="40" t="s">
        <v>182</v>
      </c>
      <c r="G48" s="82" t="s">
        <v>492</v>
      </c>
      <c r="H48" s="82" t="s">
        <v>3</v>
      </c>
      <c r="I48" s="82" t="s">
        <v>21</v>
      </c>
      <c r="J48" s="43" t="s">
        <v>26</v>
      </c>
      <c r="K48" s="43" t="s">
        <v>27</v>
      </c>
      <c r="L48" s="43" t="s">
        <v>26</v>
      </c>
      <c r="M48" s="43" t="s">
        <v>27</v>
      </c>
      <c r="N48" s="43" t="s">
        <v>26</v>
      </c>
      <c r="O48" s="43" t="s">
        <v>27</v>
      </c>
      <c r="P48" s="464"/>
      <c r="Q48" s="464"/>
      <c r="R48" s="464"/>
      <c r="S48" s="464"/>
    </row>
    <row r="49" spans="1:19">
      <c r="A49" s="822"/>
      <c r="B49" s="341" t="str">
        <f t="shared" ref="B49" si="0">VLOOKUP(C49,Hospitals,3,FALSE)</f>
        <v>Scotland</v>
      </c>
      <c r="C49" s="45" t="s">
        <v>280</v>
      </c>
      <c r="D49" s="46">
        <f t="shared" ref="D49:D76" si="1">IF(ISERROR(J49/K49*100),"-",J49/K49*100)</f>
        <v>9.8987626546681664</v>
      </c>
      <c r="E49" s="46">
        <f t="shared" ref="E49:E76" si="2">IF(ISERROR((J49+L49)/M49*100),"-",(J49+L49)/M49*100)</f>
        <v>55.343082114735651</v>
      </c>
      <c r="F49" s="46">
        <f t="shared" ref="F49:F76" si="3">IF(ISERROR((J49+L49+N49)/O49*100),"-",(J49+L49+N49)/O49*100)</f>
        <v>69.741282339707539</v>
      </c>
      <c r="G49" s="49">
        <f t="shared" ref="G49:H49" si="4">E49-D49</f>
        <v>45.444319460067483</v>
      </c>
      <c r="H49" s="88">
        <f t="shared" si="4"/>
        <v>14.398200224971887</v>
      </c>
      <c r="I49" s="94">
        <v>80</v>
      </c>
      <c r="J49" s="409">
        <f>SUM(J50:J76)</f>
        <v>88</v>
      </c>
      <c r="K49" s="409">
        <f t="shared" ref="K49:O49" si="5">SUM(K50:K76)</f>
        <v>889</v>
      </c>
      <c r="L49" s="409">
        <f t="shared" si="5"/>
        <v>404</v>
      </c>
      <c r="M49" s="409">
        <f t="shared" si="5"/>
        <v>889</v>
      </c>
      <c r="N49" s="409">
        <f t="shared" si="5"/>
        <v>128</v>
      </c>
      <c r="O49" s="405">
        <f t="shared" si="5"/>
        <v>889</v>
      </c>
      <c r="P49" s="464" t="str">
        <f t="shared" ref="P49:P76" si="6">B49&amp;" (n="&amp;O49&amp;")"</f>
        <v>Scotland (n=889)</v>
      </c>
      <c r="Q49" s="464"/>
      <c r="R49" s="464"/>
      <c r="S49" s="464"/>
    </row>
    <row r="50" spans="1:19">
      <c r="A50" s="822"/>
      <c r="B50" s="341" t="s">
        <v>37</v>
      </c>
      <c r="C50" s="45" t="s">
        <v>133</v>
      </c>
      <c r="D50" s="46">
        <f t="shared" si="1"/>
        <v>0</v>
      </c>
      <c r="E50" s="46">
        <f t="shared" si="2"/>
        <v>66.666666666666657</v>
      </c>
      <c r="F50" s="46">
        <f t="shared" si="3"/>
        <v>100</v>
      </c>
      <c r="G50" s="826">
        <f t="shared" ref="G50:G76" si="7">E50-D50</f>
        <v>66.666666666666657</v>
      </c>
      <c r="H50" s="827">
        <f t="shared" ref="H50:H76" si="8">F50-E50</f>
        <v>33.333333333333343</v>
      </c>
      <c r="I50" s="342">
        <v>80</v>
      </c>
      <c r="J50" s="409">
        <v>0</v>
      </c>
      <c r="K50" s="409">
        <v>3</v>
      </c>
      <c r="L50" s="409">
        <v>2</v>
      </c>
      <c r="M50" s="409">
        <v>3</v>
      </c>
      <c r="N50" s="409">
        <v>1</v>
      </c>
      <c r="O50" s="405">
        <v>3</v>
      </c>
      <c r="P50" s="464" t="str">
        <f t="shared" si="6"/>
        <v>Western Isles (n=3)</v>
      </c>
      <c r="Q50" s="464"/>
      <c r="R50" s="464"/>
      <c r="S50" s="464"/>
    </row>
    <row r="51" spans="1:19">
      <c r="A51" s="822"/>
      <c r="B51" s="341" t="s">
        <v>101</v>
      </c>
      <c r="C51" s="45" t="s">
        <v>102</v>
      </c>
      <c r="D51" s="46">
        <f t="shared" si="1"/>
        <v>0</v>
      </c>
      <c r="E51" s="46">
        <f t="shared" si="2"/>
        <v>66.666666666666657</v>
      </c>
      <c r="F51" s="46">
        <f t="shared" si="3"/>
        <v>91.666666666666657</v>
      </c>
      <c r="G51" s="47">
        <f t="shared" si="7"/>
        <v>66.666666666666657</v>
      </c>
      <c r="H51" s="84">
        <f t="shared" si="8"/>
        <v>25</v>
      </c>
      <c r="I51" s="93">
        <v>80</v>
      </c>
      <c r="J51" s="409">
        <v>0</v>
      </c>
      <c r="K51" s="409">
        <v>24</v>
      </c>
      <c r="L51" s="409">
        <v>16</v>
      </c>
      <c r="M51" s="409">
        <v>24</v>
      </c>
      <c r="N51" s="409">
        <v>6</v>
      </c>
      <c r="O51" s="405">
        <v>24</v>
      </c>
      <c r="P51" s="464" t="str">
        <f t="shared" si="6"/>
        <v>Hairmyres (n=24)</v>
      </c>
      <c r="Q51" s="464"/>
      <c r="R51" s="464"/>
      <c r="S51" s="464"/>
    </row>
    <row r="52" spans="1:19">
      <c r="A52" s="822"/>
      <c r="B52" s="341" t="s">
        <v>124</v>
      </c>
      <c r="C52" s="45" t="s">
        <v>125</v>
      </c>
      <c r="D52" s="46">
        <f t="shared" si="1"/>
        <v>7.1428571428571423</v>
      </c>
      <c r="E52" s="46">
        <f t="shared" si="2"/>
        <v>78.571428571428569</v>
      </c>
      <c r="F52" s="46">
        <f t="shared" si="3"/>
        <v>90.476190476190482</v>
      </c>
      <c r="G52" s="48">
        <f t="shared" si="7"/>
        <v>71.428571428571431</v>
      </c>
      <c r="H52" s="85">
        <f t="shared" si="8"/>
        <v>11.904761904761912</v>
      </c>
      <c r="I52" s="93">
        <v>80</v>
      </c>
      <c r="J52" s="409">
        <v>3</v>
      </c>
      <c r="K52" s="409">
        <v>42</v>
      </c>
      <c r="L52" s="409">
        <v>30</v>
      </c>
      <c r="M52" s="409">
        <v>42</v>
      </c>
      <c r="N52" s="409">
        <v>5</v>
      </c>
      <c r="O52" s="405">
        <v>42</v>
      </c>
      <c r="P52" s="464" t="str">
        <f t="shared" si="6"/>
        <v>Ninewells (n=42)</v>
      </c>
      <c r="Q52" s="464"/>
      <c r="R52" s="464"/>
      <c r="S52" s="464"/>
    </row>
    <row r="53" spans="1:19">
      <c r="A53" s="822"/>
      <c r="B53" s="341" t="s">
        <v>109</v>
      </c>
      <c r="C53" s="45" t="s">
        <v>110</v>
      </c>
      <c r="D53" s="46">
        <f t="shared" si="1"/>
        <v>17.647058823529413</v>
      </c>
      <c r="E53" s="46">
        <f t="shared" si="2"/>
        <v>75.490196078431367</v>
      </c>
      <c r="F53" s="46">
        <f t="shared" si="3"/>
        <v>85.294117647058826</v>
      </c>
      <c r="G53" s="48">
        <f t="shared" si="7"/>
        <v>57.843137254901954</v>
      </c>
      <c r="H53" s="85">
        <f t="shared" si="8"/>
        <v>9.8039215686274588</v>
      </c>
      <c r="I53" s="93">
        <v>80</v>
      </c>
      <c r="J53" s="409">
        <v>18</v>
      </c>
      <c r="K53" s="409">
        <v>102</v>
      </c>
      <c r="L53" s="409">
        <v>59</v>
      </c>
      <c r="M53" s="409">
        <v>102</v>
      </c>
      <c r="N53" s="409">
        <v>10</v>
      </c>
      <c r="O53" s="405">
        <v>102</v>
      </c>
      <c r="P53" s="464" t="str">
        <f t="shared" si="6"/>
        <v>RIE (n=102)</v>
      </c>
      <c r="Q53" s="464"/>
      <c r="R53" s="464"/>
      <c r="S53" s="464"/>
    </row>
    <row r="54" spans="1:19">
      <c r="A54" s="822"/>
      <c r="B54" s="341" t="s">
        <v>60</v>
      </c>
      <c r="C54" s="45" t="s">
        <v>61</v>
      </c>
      <c r="D54" s="46">
        <f t="shared" si="1"/>
        <v>8.8235294117647065</v>
      </c>
      <c r="E54" s="46">
        <f t="shared" si="2"/>
        <v>70.588235294117652</v>
      </c>
      <c r="F54" s="46">
        <f t="shared" si="3"/>
        <v>80.882352941176478</v>
      </c>
      <c r="G54" s="48">
        <f t="shared" si="7"/>
        <v>61.764705882352942</v>
      </c>
      <c r="H54" s="85">
        <f t="shared" si="8"/>
        <v>10.294117647058826</v>
      </c>
      <c r="I54" s="93">
        <v>80</v>
      </c>
      <c r="J54" s="409">
        <v>6</v>
      </c>
      <c r="K54" s="409">
        <v>68</v>
      </c>
      <c r="L54" s="409">
        <v>42</v>
      </c>
      <c r="M54" s="409">
        <v>68</v>
      </c>
      <c r="N54" s="409">
        <v>7</v>
      </c>
      <c r="O54" s="405">
        <v>68</v>
      </c>
      <c r="P54" s="464" t="str">
        <f t="shared" si="6"/>
        <v>Crosshouse (n=68)</v>
      </c>
      <c r="Q54" s="464"/>
      <c r="R54" s="464"/>
      <c r="S54" s="464"/>
    </row>
    <row r="55" spans="1:19">
      <c r="A55" s="822"/>
      <c r="B55" s="341" t="s">
        <v>175</v>
      </c>
      <c r="C55" s="45" t="s">
        <v>75</v>
      </c>
      <c r="D55" s="46">
        <f t="shared" si="1"/>
        <v>18.421052631578945</v>
      </c>
      <c r="E55" s="46">
        <f t="shared" si="2"/>
        <v>65.789473684210535</v>
      </c>
      <c r="F55" s="46">
        <f t="shared" si="3"/>
        <v>80.701754385964904</v>
      </c>
      <c r="G55" s="48">
        <f t="shared" si="7"/>
        <v>47.368421052631589</v>
      </c>
      <c r="H55" s="85">
        <f t="shared" si="8"/>
        <v>14.912280701754369</v>
      </c>
      <c r="I55" s="93">
        <v>80</v>
      </c>
      <c r="J55" s="409">
        <v>21</v>
      </c>
      <c r="K55" s="409">
        <v>114</v>
      </c>
      <c r="L55" s="409">
        <v>54</v>
      </c>
      <c r="M55" s="409">
        <v>114</v>
      </c>
      <c r="N55" s="409">
        <v>17</v>
      </c>
      <c r="O55" s="405">
        <v>114</v>
      </c>
      <c r="P55" s="464" t="str">
        <f t="shared" si="6"/>
        <v>ARI (n=114)</v>
      </c>
      <c r="Q55" s="464"/>
      <c r="R55" s="464"/>
      <c r="S55" s="464"/>
    </row>
    <row r="56" spans="1:19">
      <c r="A56" s="822"/>
      <c r="B56" s="341" t="s">
        <v>107</v>
      </c>
      <c r="C56" s="45" t="s">
        <v>106</v>
      </c>
      <c r="D56" s="46">
        <f t="shared" si="1"/>
        <v>12.903225806451612</v>
      </c>
      <c r="E56" s="46">
        <f t="shared" si="2"/>
        <v>67.741935483870961</v>
      </c>
      <c r="F56" s="46">
        <f t="shared" si="3"/>
        <v>80.645161290322577</v>
      </c>
      <c r="G56" s="48">
        <f t="shared" si="7"/>
        <v>54.838709677419345</v>
      </c>
      <c r="H56" s="85">
        <f t="shared" si="8"/>
        <v>12.903225806451616</v>
      </c>
      <c r="I56" s="93">
        <v>80</v>
      </c>
      <c r="J56" s="409">
        <v>4</v>
      </c>
      <c r="K56" s="409">
        <v>31</v>
      </c>
      <c r="L56" s="409">
        <v>17</v>
      </c>
      <c r="M56" s="409">
        <v>31</v>
      </c>
      <c r="N56" s="409">
        <v>4</v>
      </c>
      <c r="O56" s="405">
        <v>31</v>
      </c>
      <c r="P56" s="464" t="str">
        <f t="shared" si="6"/>
        <v>Wishaw (n=31)</v>
      </c>
      <c r="Q56" s="464"/>
      <c r="R56" s="464"/>
      <c r="S56" s="464"/>
    </row>
    <row r="57" spans="1:19">
      <c r="A57" s="822"/>
      <c r="B57" s="341" t="s">
        <v>104</v>
      </c>
      <c r="C57" s="45" t="s">
        <v>105</v>
      </c>
      <c r="D57" s="46">
        <f t="shared" si="1"/>
        <v>9.0909090909090917</v>
      </c>
      <c r="E57" s="46">
        <f t="shared" si="2"/>
        <v>68.181818181818173</v>
      </c>
      <c r="F57" s="46">
        <f t="shared" si="3"/>
        <v>77.272727272727266</v>
      </c>
      <c r="G57" s="48">
        <f t="shared" si="7"/>
        <v>59.090909090909079</v>
      </c>
      <c r="H57" s="85">
        <f t="shared" si="8"/>
        <v>9.0909090909090935</v>
      </c>
      <c r="I57" s="93">
        <v>80</v>
      </c>
      <c r="J57" s="409">
        <v>2</v>
      </c>
      <c r="K57" s="409">
        <v>22</v>
      </c>
      <c r="L57" s="409">
        <v>13</v>
      </c>
      <c r="M57" s="409">
        <v>22</v>
      </c>
      <c r="N57" s="409">
        <v>2</v>
      </c>
      <c r="O57" s="405">
        <v>22</v>
      </c>
      <c r="P57" s="464" t="str">
        <f t="shared" si="6"/>
        <v>Monklands (n=22)</v>
      </c>
      <c r="Q57" s="464"/>
      <c r="R57" s="464"/>
      <c r="S57" s="464"/>
    </row>
    <row r="58" spans="1:19">
      <c r="A58" s="822"/>
      <c r="B58" s="341" t="s">
        <v>174</v>
      </c>
      <c r="C58" s="45" t="s">
        <v>71</v>
      </c>
      <c r="D58" s="46">
        <f t="shared" si="1"/>
        <v>12.5</v>
      </c>
      <c r="E58" s="46">
        <f t="shared" si="2"/>
        <v>59.722222222222221</v>
      </c>
      <c r="F58" s="46">
        <f t="shared" si="3"/>
        <v>72.222222222222214</v>
      </c>
      <c r="G58" s="48">
        <f t="shared" si="7"/>
        <v>47.222222222222221</v>
      </c>
      <c r="H58" s="85">
        <f t="shared" si="8"/>
        <v>12.499999999999993</v>
      </c>
      <c r="I58" s="93">
        <v>80</v>
      </c>
      <c r="J58" s="409">
        <v>9</v>
      </c>
      <c r="K58" s="409">
        <v>72</v>
      </c>
      <c r="L58" s="409">
        <v>34</v>
      </c>
      <c r="M58" s="409">
        <v>72</v>
      </c>
      <c r="N58" s="409">
        <v>9</v>
      </c>
      <c r="O58" s="405">
        <v>72</v>
      </c>
      <c r="P58" s="464" t="str">
        <f t="shared" si="6"/>
        <v>VHK (n=72)</v>
      </c>
      <c r="Q58" s="464"/>
      <c r="R58" s="464"/>
      <c r="S58" s="464"/>
    </row>
    <row r="59" spans="1:19">
      <c r="A59" s="822"/>
      <c r="B59" s="341" t="s">
        <v>112</v>
      </c>
      <c r="C59" s="45" t="s">
        <v>113</v>
      </c>
      <c r="D59" s="46">
        <f t="shared" si="1"/>
        <v>8</v>
      </c>
      <c r="E59" s="46">
        <f t="shared" si="2"/>
        <v>56.000000000000007</v>
      </c>
      <c r="F59" s="46">
        <f t="shared" si="3"/>
        <v>72</v>
      </c>
      <c r="G59" s="48">
        <f t="shared" si="7"/>
        <v>48.000000000000007</v>
      </c>
      <c r="H59" s="85">
        <f t="shared" si="8"/>
        <v>15.999999999999993</v>
      </c>
      <c r="I59" s="93">
        <v>80</v>
      </c>
      <c r="J59" s="409">
        <v>2</v>
      </c>
      <c r="K59" s="409">
        <v>25</v>
      </c>
      <c r="L59" s="409">
        <v>12</v>
      </c>
      <c r="M59" s="409">
        <v>25</v>
      </c>
      <c r="N59" s="409">
        <v>4</v>
      </c>
      <c r="O59" s="405">
        <v>25</v>
      </c>
      <c r="P59" s="464" t="str">
        <f t="shared" si="6"/>
        <v>SJH (n=25)</v>
      </c>
      <c r="Q59" s="464"/>
      <c r="R59" s="464"/>
      <c r="S59" s="464"/>
    </row>
    <row r="60" spans="1:19">
      <c r="A60" s="822"/>
      <c r="B60" s="341" t="s">
        <v>184</v>
      </c>
      <c r="C60" s="45" t="s">
        <v>80</v>
      </c>
      <c r="D60" s="46">
        <f t="shared" si="1"/>
        <v>12.5</v>
      </c>
      <c r="E60" s="46">
        <f t="shared" si="2"/>
        <v>50</v>
      </c>
      <c r="F60" s="46">
        <f t="shared" si="3"/>
        <v>68.75</v>
      </c>
      <c r="G60" s="48">
        <f t="shared" si="7"/>
        <v>37.5</v>
      </c>
      <c r="H60" s="85">
        <f t="shared" si="8"/>
        <v>18.75</v>
      </c>
      <c r="I60" s="93">
        <v>80</v>
      </c>
      <c r="J60" s="409">
        <v>2</v>
      </c>
      <c r="K60" s="409">
        <v>16</v>
      </c>
      <c r="L60" s="409">
        <v>6</v>
      </c>
      <c r="M60" s="409">
        <v>16</v>
      </c>
      <c r="N60" s="409">
        <v>3</v>
      </c>
      <c r="O60" s="405">
        <v>16</v>
      </c>
      <c r="P60" s="464" t="str">
        <f t="shared" si="6"/>
        <v>GRI (n=16)</v>
      </c>
      <c r="Q60" s="464"/>
      <c r="R60" s="464"/>
      <c r="S60" s="464"/>
    </row>
    <row r="61" spans="1:19">
      <c r="A61" s="822"/>
      <c r="B61" s="341" t="s">
        <v>65</v>
      </c>
      <c r="C61" s="45" t="s">
        <v>66</v>
      </c>
      <c r="D61" s="46">
        <f t="shared" si="1"/>
        <v>16</v>
      </c>
      <c r="E61" s="46">
        <f t="shared" si="2"/>
        <v>56.000000000000007</v>
      </c>
      <c r="F61" s="46">
        <f t="shared" si="3"/>
        <v>68</v>
      </c>
      <c r="G61" s="48">
        <f t="shared" si="7"/>
        <v>40.000000000000007</v>
      </c>
      <c r="H61" s="85">
        <f t="shared" si="8"/>
        <v>11.999999999999993</v>
      </c>
      <c r="I61" s="93">
        <v>80</v>
      </c>
      <c r="J61" s="409">
        <v>4</v>
      </c>
      <c r="K61" s="409">
        <v>25</v>
      </c>
      <c r="L61" s="409">
        <v>10</v>
      </c>
      <c r="M61" s="409">
        <v>25</v>
      </c>
      <c r="N61" s="409">
        <v>3</v>
      </c>
      <c r="O61" s="405">
        <v>25</v>
      </c>
      <c r="P61" s="464" t="str">
        <f t="shared" si="6"/>
        <v>DGRI (n=25)</v>
      </c>
      <c r="Q61" s="464"/>
      <c r="R61" s="464"/>
      <c r="S61" s="464"/>
    </row>
    <row r="62" spans="1:19">
      <c r="A62" s="822"/>
      <c r="B62" s="341" t="s">
        <v>95</v>
      </c>
      <c r="C62" s="45" t="s">
        <v>96</v>
      </c>
      <c r="D62" s="46">
        <f t="shared" si="1"/>
        <v>0</v>
      </c>
      <c r="E62" s="46">
        <f t="shared" si="2"/>
        <v>33.333333333333329</v>
      </c>
      <c r="F62" s="46">
        <f t="shared" si="3"/>
        <v>66.666666666666657</v>
      </c>
      <c r="G62" s="48">
        <f t="shared" si="7"/>
        <v>33.333333333333329</v>
      </c>
      <c r="H62" s="85">
        <f t="shared" si="8"/>
        <v>33.333333333333329</v>
      </c>
      <c r="I62" s="93">
        <v>80</v>
      </c>
      <c r="J62" s="409">
        <v>0</v>
      </c>
      <c r="K62" s="409">
        <v>9</v>
      </c>
      <c r="L62" s="409">
        <v>3</v>
      </c>
      <c r="M62" s="409">
        <v>9</v>
      </c>
      <c r="N62" s="409">
        <v>3</v>
      </c>
      <c r="O62" s="405">
        <v>9</v>
      </c>
      <c r="P62" s="464" t="str">
        <f t="shared" si="6"/>
        <v>L&amp;I (n=9)</v>
      </c>
      <c r="Q62" s="464"/>
      <c r="R62" s="464"/>
      <c r="S62" s="464"/>
    </row>
    <row r="63" spans="1:19">
      <c r="A63" s="822"/>
      <c r="B63" s="341" t="s">
        <v>28</v>
      </c>
      <c r="C63" s="45" t="s">
        <v>63</v>
      </c>
      <c r="D63" s="46">
        <f t="shared" si="1"/>
        <v>0</v>
      </c>
      <c r="E63" s="46">
        <f t="shared" si="2"/>
        <v>25</v>
      </c>
      <c r="F63" s="46">
        <f t="shared" si="3"/>
        <v>62.5</v>
      </c>
      <c r="G63" s="48">
        <f t="shared" si="7"/>
        <v>25</v>
      </c>
      <c r="H63" s="85">
        <f t="shared" si="8"/>
        <v>37.5</v>
      </c>
      <c r="I63" s="93">
        <v>80</v>
      </c>
      <c r="J63" s="409">
        <v>0</v>
      </c>
      <c r="K63" s="409">
        <v>8</v>
      </c>
      <c r="L63" s="409">
        <v>2</v>
      </c>
      <c r="M63" s="409">
        <v>8</v>
      </c>
      <c r="N63" s="409">
        <v>3</v>
      </c>
      <c r="O63" s="405">
        <v>8</v>
      </c>
      <c r="P63" s="464" t="str">
        <f t="shared" si="6"/>
        <v>Borders (n=8)</v>
      </c>
      <c r="Q63" s="464"/>
      <c r="R63" s="464"/>
      <c r="S63" s="464"/>
    </row>
    <row r="64" spans="1:19">
      <c r="A64" s="822"/>
      <c r="B64" s="341" t="s">
        <v>127</v>
      </c>
      <c r="C64" s="45" t="s">
        <v>128</v>
      </c>
      <c r="D64" s="46">
        <f t="shared" si="1"/>
        <v>8.695652173913043</v>
      </c>
      <c r="E64" s="46">
        <f t="shared" si="2"/>
        <v>43.478260869565219</v>
      </c>
      <c r="F64" s="46">
        <f t="shared" si="3"/>
        <v>60.869565217391312</v>
      </c>
      <c r="G64" s="48">
        <f t="shared" si="7"/>
        <v>34.782608695652172</v>
      </c>
      <c r="H64" s="85">
        <f t="shared" si="8"/>
        <v>17.391304347826093</v>
      </c>
      <c r="I64" s="93">
        <v>80</v>
      </c>
      <c r="J64" s="409">
        <v>2</v>
      </c>
      <c r="K64" s="409">
        <v>23</v>
      </c>
      <c r="L64" s="409">
        <v>8</v>
      </c>
      <c r="M64" s="409">
        <v>23</v>
      </c>
      <c r="N64" s="409">
        <v>4</v>
      </c>
      <c r="O64" s="405">
        <v>23</v>
      </c>
      <c r="P64" s="464" t="str">
        <f t="shared" si="6"/>
        <v>PRI (n=23)</v>
      </c>
      <c r="Q64" s="464"/>
      <c r="R64" s="464"/>
      <c r="S64" s="464"/>
    </row>
    <row r="65" spans="1:19">
      <c r="A65" s="822"/>
      <c r="B65" s="341" t="s">
        <v>183</v>
      </c>
      <c r="C65" s="45" t="s">
        <v>73</v>
      </c>
      <c r="D65" s="46">
        <f t="shared" si="1"/>
        <v>9.8039215686274517</v>
      </c>
      <c r="E65" s="46">
        <f t="shared" si="2"/>
        <v>49.019607843137251</v>
      </c>
      <c r="F65" s="46">
        <f t="shared" si="3"/>
        <v>60.784313725490193</v>
      </c>
      <c r="G65" s="48">
        <f t="shared" si="7"/>
        <v>39.2156862745098</v>
      </c>
      <c r="H65" s="85">
        <f t="shared" si="8"/>
        <v>11.764705882352942</v>
      </c>
      <c r="I65" s="93">
        <v>80</v>
      </c>
      <c r="J65" s="409">
        <v>5</v>
      </c>
      <c r="K65" s="409">
        <v>51</v>
      </c>
      <c r="L65" s="409">
        <v>20</v>
      </c>
      <c r="M65" s="409">
        <v>51</v>
      </c>
      <c r="N65" s="409">
        <v>6</v>
      </c>
      <c r="O65" s="405">
        <v>51</v>
      </c>
      <c r="P65" s="464" t="str">
        <f t="shared" si="6"/>
        <v>FVRH (n=51)</v>
      </c>
      <c r="Q65" s="464"/>
      <c r="R65" s="464"/>
      <c r="S65" s="464"/>
    </row>
    <row r="66" spans="1:19">
      <c r="A66" s="822"/>
      <c r="B66" s="341" t="s">
        <v>77</v>
      </c>
      <c r="C66" s="45" t="s">
        <v>78</v>
      </c>
      <c r="D66" s="46">
        <f t="shared" si="1"/>
        <v>5</v>
      </c>
      <c r="E66" s="46">
        <f t="shared" si="2"/>
        <v>30</v>
      </c>
      <c r="F66" s="46">
        <f t="shared" si="3"/>
        <v>60</v>
      </c>
      <c r="G66" s="48">
        <f t="shared" si="7"/>
        <v>25</v>
      </c>
      <c r="H66" s="85">
        <f t="shared" si="8"/>
        <v>30</v>
      </c>
      <c r="I66" s="93">
        <v>80</v>
      </c>
      <c r="J66" s="409">
        <v>1</v>
      </c>
      <c r="K66" s="409">
        <v>20</v>
      </c>
      <c r="L66" s="409">
        <v>5</v>
      </c>
      <c r="M66" s="409">
        <v>20</v>
      </c>
      <c r="N66" s="409">
        <v>6</v>
      </c>
      <c r="O66" s="405">
        <v>20</v>
      </c>
      <c r="P66" s="464" t="str">
        <f t="shared" si="6"/>
        <v>Dr Grays (n=20)</v>
      </c>
      <c r="Q66" s="464"/>
      <c r="R66" s="464"/>
      <c r="S66" s="464"/>
    </row>
    <row r="67" spans="1:19">
      <c r="A67" s="822"/>
      <c r="B67" s="341" t="s">
        <v>115</v>
      </c>
      <c r="C67" s="45" t="s">
        <v>116</v>
      </c>
      <c r="D67" s="46">
        <f t="shared" si="1"/>
        <v>10</v>
      </c>
      <c r="E67" s="46">
        <f t="shared" si="2"/>
        <v>50</v>
      </c>
      <c r="F67" s="46">
        <f t="shared" si="3"/>
        <v>60</v>
      </c>
      <c r="G67" s="48">
        <f t="shared" si="7"/>
        <v>40</v>
      </c>
      <c r="H67" s="85">
        <f t="shared" si="8"/>
        <v>10</v>
      </c>
      <c r="I67" s="93">
        <v>80</v>
      </c>
      <c r="J67" s="409">
        <v>1</v>
      </c>
      <c r="K67" s="409">
        <v>10</v>
      </c>
      <c r="L67" s="409">
        <v>4</v>
      </c>
      <c r="M67" s="409">
        <v>10</v>
      </c>
      <c r="N67" s="409">
        <v>1</v>
      </c>
      <c r="O67" s="405">
        <v>10</v>
      </c>
      <c r="P67" s="464" t="str">
        <f t="shared" si="6"/>
        <v>WGH (n=10)</v>
      </c>
      <c r="Q67" s="464"/>
      <c r="R67" s="464"/>
      <c r="S67" s="464"/>
    </row>
    <row r="68" spans="1:19">
      <c r="A68" s="822"/>
      <c r="B68" s="341" t="s">
        <v>459</v>
      </c>
      <c r="C68" s="45" t="s">
        <v>470</v>
      </c>
      <c r="D68" s="46">
        <f t="shared" si="1"/>
        <v>3.225806451612903</v>
      </c>
      <c r="E68" s="46">
        <f t="shared" si="2"/>
        <v>34.946236559139784</v>
      </c>
      <c r="F68" s="46">
        <f t="shared" si="3"/>
        <v>50.537634408602152</v>
      </c>
      <c r="G68" s="48">
        <f t="shared" si="7"/>
        <v>31.72043010752688</v>
      </c>
      <c r="H68" s="85">
        <f t="shared" si="8"/>
        <v>15.591397849462368</v>
      </c>
      <c r="I68" s="93">
        <v>80</v>
      </c>
      <c r="J68" s="409">
        <v>6</v>
      </c>
      <c r="K68" s="409">
        <v>186</v>
      </c>
      <c r="L68" s="409">
        <v>59</v>
      </c>
      <c r="M68" s="409">
        <v>186</v>
      </c>
      <c r="N68" s="409">
        <v>29</v>
      </c>
      <c r="O68" s="405">
        <v>186</v>
      </c>
      <c r="P68" s="464" t="str">
        <f t="shared" si="6"/>
        <v>QEUH (n=186)</v>
      </c>
      <c r="Q68" s="464"/>
      <c r="R68" s="464"/>
      <c r="S68" s="464"/>
    </row>
    <row r="69" spans="1:19">
      <c r="A69" s="822"/>
      <c r="B69" s="341" t="s">
        <v>98</v>
      </c>
      <c r="C69" s="45" t="s">
        <v>99</v>
      </c>
      <c r="D69" s="46">
        <f t="shared" si="1"/>
        <v>11.111111111111111</v>
      </c>
      <c r="E69" s="46">
        <f t="shared" si="2"/>
        <v>50</v>
      </c>
      <c r="F69" s="46">
        <f t="shared" si="3"/>
        <v>50</v>
      </c>
      <c r="G69" s="48">
        <f t="shared" si="7"/>
        <v>38.888888888888886</v>
      </c>
      <c r="H69" s="85">
        <f t="shared" si="8"/>
        <v>0</v>
      </c>
      <c r="I69" s="93">
        <v>80</v>
      </c>
      <c r="J69" s="409">
        <v>2</v>
      </c>
      <c r="K69" s="409">
        <v>18</v>
      </c>
      <c r="L69" s="409">
        <v>7</v>
      </c>
      <c r="M69" s="409">
        <v>18</v>
      </c>
      <c r="N69" s="409">
        <v>0</v>
      </c>
      <c r="O69" s="405">
        <v>18</v>
      </c>
      <c r="P69" s="464" t="str">
        <f t="shared" si="6"/>
        <v>Raigmore (n=18)</v>
      </c>
      <c r="Q69" s="464"/>
      <c r="R69" s="464"/>
      <c r="S69" s="464"/>
    </row>
    <row r="70" spans="1:19">
      <c r="A70" s="822"/>
      <c r="B70" s="341" t="s">
        <v>68</v>
      </c>
      <c r="C70" s="45" t="s">
        <v>69</v>
      </c>
      <c r="D70" s="46">
        <f t="shared" si="1"/>
        <v>0</v>
      </c>
      <c r="E70" s="46">
        <f t="shared" si="2"/>
        <v>0</v>
      </c>
      <c r="F70" s="46">
        <f t="shared" si="3"/>
        <v>42.857142857142854</v>
      </c>
      <c r="G70" s="48">
        <f t="shared" si="7"/>
        <v>0</v>
      </c>
      <c r="H70" s="85">
        <f t="shared" si="8"/>
        <v>42.857142857142854</v>
      </c>
      <c r="I70" s="93">
        <v>80</v>
      </c>
      <c r="J70" s="409">
        <v>0</v>
      </c>
      <c r="K70" s="409">
        <v>7</v>
      </c>
      <c r="L70" s="409">
        <v>0</v>
      </c>
      <c r="M70" s="409">
        <v>7</v>
      </c>
      <c r="N70" s="409">
        <v>3</v>
      </c>
      <c r="O70" s="405">
        <v>7</v>
      </c>
      <c r="P70" s="464" t="str">
        <f t="shared" si="6"/>
        <v>GCH (n=7)</v>
      </c>
      <c r="Q70" s="464"/>
      <c r="R70" s="464"/>
      <c r="S70" s="464"/>
    </row>
    <row r="71" spans="1:19">
      <c r="A71" s="822"/>
      <c r="B71" s="341" t="s">
        <v>118</v>
      </c>
      <c r="C71" s="45" t="s">
        <v>119</v>
      </c>
      <c r="D71" s="46">
        <f t="shared" si="1"/>
        <v>0</v>
      </c>
      <c r="E71" s="46">
        <f t="shared" si="2"/>
        <v>0</v>
      </c>
      <c r="F71" s="46">
        <f t="shared" si="3"/>
        <v>40</v>
      </c>
      <c r="G71" s="48">
        <f t="shared" si="7"/>
        <v>0</v>
      </c>
      <c r="H71" s="85">
        <f t="shared" si="8"/>
        <v>40</v>
      </c>
      <c r="I71" s="93">
        <v>80</v>
      </c>
      <c r="J71" s="409">
        <v>0</v>
      </c>
      <c r="K71" s="409">
        <v>5</v>
      </c>
      <c r="L71" s="409">
        <v>0</v>
      </c>
      <c r="M71" s="409">
        <v>5</v>
      </c>
      <c r="N71" s="409">
        <v>2</v>
      </c>
      <c r="O71" s="405">
        <v>5</v>
      </c>
      <c r="P71" s="464" t="str">
        <f t="shared" si="6"/>
        <v>Balfour (n=5)</v>
      </c>
      <c r="Q71" s="464"/>
      <c r="R71" s="464"/>
      <c r="S71" s="464"/>
    </row>
    <row r="72" spans="1:19">
      <c r="A72" s="822"/>
      <c r="B72" s="341" t="s">
        <v>92</v>
      </c>
      <c r="C72" s="45" t="s">
        <v>93</v>
      </c>
      <c r="D72" s="46">
        <f t="shared" si="1"/>
        <v>0</v>
      </c>
      <c r="E72" s="46">
        <f t="shared" si="2"/>
        <v>25</v>
      </c>
      <c r="F72" s="46">
        <f t="shared" si="3"/>
        <v>25</v>
      </c>
      <c r="G72" s="48">
        <f t="shared" si="7"/>
        <v>25</v>
      </c>
      <c r="H72" s="85">
        <f t="shared" si="8"/>
        <v>0</v>
      </c>
      <c r="I72" s="93">
        <v>80</v>
      </c>
      <c r="J72" s="409">
        <v>0</v>
      </c>
      <c r="K72" s="409">
        <v>4</v>
      </c>
      <c r="L72" s="409">
        <v>1</v>
      </c>
      <c r="M72" s="409">
        <v>4</v>
      </c>
      <c r="N72" s="409">
        <v>0</v>
      </c>
      <c r="O72" s="405">
        <v>4</v>
      </c>
      <c r="P72" s="464" t="str">
        <f t="shared" si="6"/>
        <v>Caithness (n=4)</v>
      </c>
      <c r="Q72" s="464"/>
      <c r="R72" s="464"/>
      <c r="S72" s="464"/>
    </row>
    <row r="73" spans="1:19">
      <c r="A73" s="822"/>
      <c r="B73" s="341" t="s">
        <v>58</v>
      </c>
      <c r="C73" s="341" t="s">
        <v>57</v>
      </c>
      <c r="D73" s="46" t="str">
        <f t="shared" si="1"/>
        <v>-</v>
      </c>
      <c r="E73" s="46" t="str">
        <f t="shared" si="2"/>
        <v>-</v>
      </c>
      <c r="F73" s="46" t="str">
        <f t="shared" si="3"/>
        <v>-</v>
      </c>
      <c r="G73" s="48" t="e">
        <f t="shared" si="7"/>
        <v>#VALUE!</v>
      </c>
      <c r="H73" s="85" t="e">
        <f t="shared" si="8"/>
        <v>#VALUE!</v>
      </c>
      <c r="I73" s="93">
        <v>80</v>
      </c>
      <c r="J73" s="409">
        <v>0</v>
      </c>
      <c r="K73" s="409">
        <v>0</v>
      </c>
      <c r="L73" s="409">
        <v>0</v>
      </c>
      <c r="M73" s="409">
        <v>0</v>
      </c>
      <c r="N73" s="409">
        <v>0</v>
      </c>
      <c r="O73" s="405">
        <v>0</v>
      </c>
      <c r="P73" s="464" t="str">
        <f t="shared" si="6"/>
        <v>Ayr (n=0)</v>
      </c>
      <c r="Q73" s="464"/>
      <c r="R73" s="464"/>
      <c r="S73" s="464"/>
    </row>
    <row r="74" spans="1:19">
      <c r="A74" s="822"/>
      <c r="B74" s="341" t="s">
        <v>185</v>
      </c>
      <c r="C74" s="45" t="s">
        <v>85</v>
      </c>
      <c r="D74" s="46" t="str">
        <f t="shared" si="1"/>
        <v>-</v>
      </c>
      <c r="E74" s="46" t="str">
        <f t="shared" si="2"/>
        <v>-</v>
      </c>
      <c r="F74" s="46" t="str">
        <f t="shared" si="3"/>
        <v>-</v>
      </c>
      <c r="G74" s="48" t="e">
        <f t="shared" si="7"/>
        <v>#VALUE!</v>
      </c>
      <c r="H74" s="85" t="e">
        <f t="shared" si="8"/>
        <v>#VALUE!</v>
      </c>
      <c r="I74" s="93">
        <v>80</v>
      </c>
      <c r="J74" s="409">
        <v>0</v>
      </c>
      <c r="K74" s="409">
        <v>0</v>
      </c>
      <c r="L74" s="409">
        <v>0</v>
      </c>
      <c r="M74" s="409">
        <v>0</v>
      </c>
      <c r="N74" s="409">
        <v>0</v>
      </c>
      <c r="O74" s="405">
        <v>0</v>
      </c>
      <c r="P74" s="464" t="str">
        <f t="shared" si="6"/>
        <v>RAH (n=0)</v>
      </c>
      <c r="Q74" s="464"/>
      <c r="R74" s="464"/>
      <c r="S74" s="464"/>
    </row>
    <row r="75" spans="1:19">
      <c r="A75" s="822"/>
      <c r="B75" s="341" t="s">
        <v>89</v>
      </c>
      <c r="C75" s="45" t="s">
        <v>90</v>
      </c>
      <c r="D75" s="46">
        <f t="shared" si="1"/>
        <v>0</v>
      </c>
      <c r="E75" s="46">
        <f t="shared" si="2"/>
        <v>0</v>
      </c>
      <c r="F75" s="46">
        <f t="shared" si="3"/>
        <v>0</v>
      </c>
      <c r="G75" s="86">
        <f t="shared" si="7"/>
        <v>0</v>
      </c>
      <c r="H75" s="87">
        <f t="shared" si="8"/>
        <v>0</v>
      </c>
      <c r="I75" s="93">
        <v>80</v>
      </c>
      <c r="J75" s="409">
        <v>0</v>
      </c>
      <c r="K75" s="409">
        <v>2</v>
      </c>
      <c r="L75" s="409">
        <v>0</v>
      </c>
      <c r="M75" s="409">
        <v>2</v>
      </c>
      <c r="N75" s="409">
        <v>0</v>
      </c>
      <c r="O75" s="405">
        <v>2</v>
      </c>
      <c r="P75" s="464" t="str">
        <f t="shared" si="6"/>
        <v>Belford (n=2)</v>
      </c>
      <c r="Q75" s="464"/>
      <c r="R75" s="464"/>
      <c r="S75" s="464"/>
    </row>
    <row r="76" spans="1:19">
      <c r="A76" s="822"/>
      <c r="B76" s="341" t="s">
        <v>121</v>
      </c>
      <c r="C76" s="45" t="s">
        <v>122</v>
      </c>
      <c r="D76" s="46">
        <f t="shared" si="1"/>
        <v>0</v>
      </c>
      <c r="E76" s="46">
        <f t="shared" si="2"/>
        <v>0</v>
      </c>
      <c r="F76" s="46">
        <f t="shared" si="3"/>
        <v>0</v>
      </c>
      <c r="G76" s="86">
        <f t="shared" si="7"/>
        <v>0</v>
      </c>
      <c r="H76" s="87">
        <f t="shared" si="8"/>
        <v>0</v>
      </c>
      <c r="I76" s="93">
        <v>80</v>
      </c>
      <c r="J76" s="409">
        <v>0</v>
      </c>
      <c r="K76" s="409">
        <v>2</v>
      </c>
      <c r="L76" s="409">
        <v>0</v>
      </c>
      <c r="M76" s="409">
        <v>2</v>
      </c>
      <c r="N76" s="409">
        <v>0</v>
      </c>
      <c r="O76" s="405">
        <v>2</v>
      </c>
      <c r="P76" s="464" t="str">
        <f t="shared" si="6"/>
        <v>Gilbert Bain (n=2)</v>
      </c>
      <c r="Q76" s="464"/>
      <c r="R76" s="464"/>
      <c r="S76" s="464"/>
    </row>
    <row r="77" spans="1:19" ht="15">
      <c r="B77" s="51"/>
      <c r="D77"/>
      <c r="E77"/>
      <c r="F77"/>
      <c r="G77"/>
      <c r="H77"/>
      <c r="I77"/>
      <c r="J77"/>
    </row>
    <row r="78" spans="1:19" ht="15">
      <c r="B78" s="51"/>
      <c r="D78"/>
      <c r="E78"/>
      <c r="F78"/>
      <c r="G78"/>
      <c r="H78"/>
      <c r="I78"/>
      <c r="J78"/>
    </row>
    <row r="79" spans="1:19" ht="15">
      <c r="D79"/>
      <c r="E79"/>
      <c r="F79"/>
      <c r="G79"/>
      <c r="H79"/>
      <c r="I79"/>
      <c r="J79"/>
    </row>
    <row r="80" spans="1:19" ht="15">
      <c r="B80" s="51"/>
      <c r="D80"/>
      <c r="E80"/>
      <c r="F80"/>
      <c r="G80"/>
      <c r="H80"/>
      <c r="I80"/>
      <c r="J80"/>
    </row>
    <row r="81" spans="1:16" ht="15">
      <c r="B81" s="51"/>
      <c r="D81"/>
      <c r="E81"/>
      <c r="F81"/>
      <c r="G81"/>
      <c r="H81"/>
      <c r="I81"/>
      <c r="J81"/>
    </row>
    <row r="82" spans="1:16" ht="15">
      <c r="B82" s="51"/>
      <c r="D82"/>
      <c r="E82"/>
      <c r="F82"/>
      <c r="G82"/>
      <c r="H82"/>
      <c r="I82"/>
      <c r="J82"/>
    </row>
    <row r="83" spans="1:16" s="439" customFormat="1" ht="15">
      <c r="A83" s="440"/>
      <c r="B83" s="51"/>
      <c r="C83" s="440"/>
      <c r="D83"/>
      <c r="E83"/>
      <c r="F83"/>
      <c r="G83"/>
      <c r="H83"/>
      <c r="I83"/>
      <c r="J83"/>
      <c r="K83" s="440"/>
      <c r="L83" s="440"/>
      <c r="M83" s="440"/>
      <c r="N83" s="440"/>
      <c r="O83" s="440"/>
      <c r="P83" s="440"/>
    </row>
    <row r="84" spans="1:16" s="439" customFormat="1" ht="15">
      <c r="A84" s="440"/>
      <c r="B84" s="51"/>
      <c r="C84" s="440"/>
      <c r="D84"/>
      <c r="E84"/>
      <c r="F84"/>
      <c r="G84"/>
      <c r="H84"/>
      <c r="I84"/>
      <c r="J84"/>
      <c r="K84" s="440"/>
      <c r="L84" s="440"/>
      <c r="M84" s="440"/>
      <c r="N84" s="440"/>
      <c r="O84" s="440"/>
      <c r="P84" s="440"/>
    </row>
    <row r="85" spans="1:16" s="439" customFormat="1" ht="15">
      <c r="A85" s="440"/>
      <c r="B85" s="51"/>
      <c r="C85" s="440"/>
      <c r="D85"/>
      <c r="E85"/>
      <c r="F85"/>
      <c r="G85"/>
      <c r="H85"/>
      <c r="I85"/>
      <c r="J85"/>
      <c r="K85" s="440"/>
      <c r="L85" s="440"/>
      <c r="M85" s="440"/>
      <c r="N85" s="440"/>
      <c r="O85" s="440"/>
      <c r="P85" s="440"/>
    </row>
    <row r="86" spans="1:16" ht="15">
      <c r="B86" s="51"/>
      <c r="D86"/>
      <c r="E86"/>
      <c r="F86"/>
      <c r="G86"/>
      <c r="H86"/>
      <c r="I86"/>
      <c r="J86"/>
    </row>
    <row r="87" spans="1:16" ht="15">
      <c r="D87"/>
      <c r="E87"/>
      <c r="F87"/>
      <c r="G87"/>
      <c r="H87"/>
      <c r="I87"/>
      <c r="J87"/>
    </row>
    <row r="88" spans="1:16" ht="15">
      <c r="D88"/>
      <c r="E88"/>
      <c r="F88"/>
      <c r="G88"/>
      <c r="H88"/>
      <c r="I88"/>
      <c r="J88"/>
    </row>
    <row r="89" spans="1:16" ht="15">
      <c r="D89"/>
      <c r="E89"/>
      <c r="F89"/>
      <c r="G89"/>
      <c r="H89"/>
      <c r="I89"/>
      <c r="J89"/>
    </row>
    <row r="90" spans="1:16" ht="15">
      <c r="D90"/>
      <c r="E90"/>
      <c r="F90"/>
      <c r="G90"/>
      <c r="H90"/>
      <c r="I90"/>
      <c r="J90"/>
    </row>
    <row r="91" spans="1:16" ht="15">
      <c r="D91"/>
      <c r="E91"/>
      <c r="F91"/>
      <c r="G91"/>
      <c r="H91"/>
      <c r="I91"/>
      <c r="J91"/>
    </row>
    <row r="92" spans="1:16" ht="15">
      <c r="D92"/>
      <c r="E92"/>
      <c r="F92"/>
      <c r="G92"/>
      <c r="H92"/>
      <c r="I92"/>
      <c r="J92"/>
    </row>
    <row r="93" spans="1:16" ht="15">
      <c r="D93"/>
      <c r="E93"/>
      <c r="F93"/>
      <c r="G93"/>
      <c r="H93"/>
      <c r="I93"/>
      <c r="J93"/>
    </row>
    <row r="94" spans="1:16" ht="15">
      <c r="D94"/>
      <c r="E94"/>
      <c r="F94"/>
      <c r="G94"/>
      <c r="H94"/>
      <c r="I94"/>
      <c r="J94"/>
    </row>
    <row r="95" spans="1:16" ht="15">
      <c r="D95"/>
      <c r="E95"/>
      <c r="F95"/>
      <c r="G95"/>
      <c r="H95"/>
      <c r="I95"/>
      <c r="J95"/>
    </row>
    <row r="96" spans="1:16" ht="15">
      <c r="D96"/>
      <c r="E96"/>
      <c r="F96"/>
      <c r="G96"/>
      <c r="H96"/>
      <c r="I96"/>
      <c r="J96"/>
    </row>
    <row r="97" spans="4:10" ht="15">
      <c r="D97"/>
      <c r="E97"/>
      <c r="F97"/>
      <c r="G97"/>
      <c r="H97"/>
      <c r="I97"/>
      <c r="J97"/>
    </row>
    <row r="98" spans="4:10" ht="15">
      <c r="D98"/>
      <c r="E98"/>
      <c r="F98"/>
      <c r="G98"/>
      <c r="H98"/>
      <c r="I98"/>
      <c r="J98"/>
    </row>
    <row r="99" spans="4:10" ht="15">
      <c r="D99"/>
      <c r="E99"/>
      <c r="F99"/>
      <c r="G99"/>
      <c r="H99"/>
      <c r="I99"/>
      <c r="J99"/>
    </row>
    <row r="100" spans="4:10" ht="15">
      <c r="D100"/>
      <c r="E100"/>
      <c r="F100"/>
      <c r="G100"/>
      <c r="H100"/>
      <c r="I100"/>
      <c r="J100"/>
    </row>
    <row r="101" spans="4:10" ht="15">
      <c r="D101"/>
      <c r="E101"/>
      <c r="F101"/>
      <c r="G101"/>
      <c r="H101"/>
      <c r="I101"/>
      <c r="J101"/>
    </row>
    <row r="102" spans="4:10" ht="15">
      <c r="D102"/>
      <c r="E102"/>
      <c r="F102"/>
      <c r="G102"/>
      <c r="H102"/>
      <c r="I102"/>
      <c r="J102"/>
    </row>
    <row r="103" spans="4:10" ht="15">
      <c r="D103"/>
      <c r="E103"/>
      <c r="F103"/>
      <c r="G103"/>
      <c r="H103"/>
      <c r="I103"/>
      <c r="J103"/>
    </row>
    <row r="104" spans="4:10" ht="15">
      <c r="D104"/>
      <c r="E104"/>
      <c r="F104"/>
      <c r="G104"/>
      <c r="H104"/>
      <c r="I104"/>
      <c r="J104"/>
    </row>
    <row r="105" spans="4:10" ht="15">
      <c r="D105"/>
      <c r="E105"/>
      <c r="F105"/>
      <c r="G105"/>
      <c r="H105"/>
      <c r="I105"/>
      <c r="J105"/>
    </row>
    <row r="106" spans="4:10" ht="15">
      <c r="D106"/>
      <c r="E106"/>
      <c r="F106"/>
      <c r="G106"/>
      <c r="H106"/>
      <c r="I106"/>
      <c r="J106"/>
    </row>
  </sheetData>
  <sheetProtection password="B8D9" sheet="1" objects="1" scenarios="1"/>
  <sortState ref="A50:P76">
    <sortCondition ref="A50:A76"/>
  </sortState>
  <mergeCells count="15">
    <mergeCell ref="B39:L39"/>
    <mergeCell ref="B1:J2"/>
    <mergeCell ref="K1:L2"/>
    <mergeCell ref="B3:I5"/>
    <mergeCell ref="B36:L36"/>
    <mergeCell ref="B38:L38"/>
    <mergeCell ref="N47:O47"/>
    <mergeCell ref="B40:L40"/>
    <mergeCell ref="B41:L42"/>
    <mergeCell ref="B47:C47"/>
    <mergeCell ref="D47:F47"/>
    <mergeCell ref="J47:K47"/>
    <mergeCell ref="L47:M47"/>
    <mergeCell ref="B43:L43"/>
    <mergeCell ref="B44:L44"/>
  </mergeCells>
  <hyperlinks>
    <hyperlink ref="K1:L2" location="'List of Tables &amp; Charts'!A1" display="return to List of Tables &amp; Charts"/>
  </hyperlinks>
  <pageMargins left="0.70866141732283472" right="0.70866141732283472" top="0.74803149606299213" bottom="0.74803149606299213" header="0.31496062992125984" footer="0.31496062992125984"/>
  <pageSetup paperSize="9" scale="46" orientation="landscape" r:id="rId1"/>
  <headerFooter>
    <oddFooter>&amp;L&amp;8Scottish Stroke Care Audit 2017 National Report
Stroke Services in Scottish Hospitals, Data relating to 2016&amp;R&amp;8© NHS National Services Scotland/Crown Copyright</oddFooter>
  </headerFooter>
  <rowBreaks count="1" manualBreakCount="1">
    <brk id="45" max="16383" man="1"/>
  </rowBreaks>
  <drawing r:id="rId2"/>
</worksheet>
</file>

<file path=xl/worksheets/sheet51.xml><?xml version="1.0" encoding="utf-8"?>
<worksheet xmlns="http://schemas.openxmlformats.org/spreadsheetml/2006/main" xmlns:r="http://schemas.openxmlformats.org/officeDocument/2006/relationships">
  <sheetPr codeName="Sheet52">
    <pageSetUpPr fitToPage="1"/>
  </sheetPr>
  <dimension ref="A1:S105"/>
  <sheetViews>
    <sheetView showGridLines="0" zoomScaleNormal="100" workbookViewId="0">
      <pane ySplit="5" topLeftCell="A6" activePane="bottomLeft" state="frozen"/>
      <selection activeCell="L1" sqref="L1:L4"/>
      <selection pane="bottomLeft" activeCell="A6" sqref="A6"/>
    </sheetView>
  </sheetViews>
  <sheetFormatPr defaultRowHeight="12.75"/>
  <cols>
    <col min="1" max="1" width="1.7109375" style="669" customWidth="1"/>
    <col min="2" max="2" width="16.7109375" style="669" customWidth="1"/>
    <col min="3" max="3" width="45.7109375" style="669" customWidth="1"/>
    <col min="4" max="6" width="10.7109375" style="663" customWidth="1"/>
    <col min="7" max="9" width="1.7109375" style="663" customWidth="1"/>
    <col min="10" max="10" width="9.28515625" style="663" customWidth="1"/>
    <col min="11" max="11" width="11.28515625" style="669" customWidth="1"/>
    <col min="12" max="12" width="9.28515625" style="669" customWidth="1"/>
    <col min="13" max="13" width="11.28515625" style="669" customWidth="1"/>
    <col min="14" max="14" width="9.28515625" style="669" customWidth="1"/>
    <col min="15" max="15" width="11.28515625" style="669" customWidth="1"/>
    <col min="16" max="256" width="9.140625" style="669"/>
    <col min="257" max="257" width="1.7109375" style="669" customWidth="1"/>
    <col min="258" max="258" width="16.7109375" style="669" customWidth="1"/>
    <col min="259" max="259" width="45.7109375" style="669" customWidth="1"/>
    <col min="260" max="262" width="10.7109375" style="669" customWidth="1"/>
    <col min="263" max="265" width="1.7109375" style="669" customWidth="1"/>
    <col min="266" max="266" width="9.28515625" style="669" customWidth="1"/>
    <col min="267" max="267" width="11.28515625" style="669" customWidth="1"/>
    <col min="268" max="268" width="9.28515625" style="669" customWidth="1"/>
    <col min="269" max="269" width="11.28515625" style="669" customWidth="1"/>
    <col min="270" max="270" width="9.28515625" style="669" customWidth="1"/>
    <col min="271" max="271" width="11.28515625" style="669" customWidth="1"/>
    <col min="272" max="512" width="9.140625" style="669"/>
    <col min="513" max="513" width="1.7109375" style="669" customWidth="1"/>
    <col min="514" max="514" width="16.7109375" style="669" customWidth="1"/>
    <col min="515" max="515" width="45.7109375" style="669" customWidth="1"/>
    <col min="516" max="518" width="10.7109375" style="669" customWidth="1"/>
    <col min="519" max="521" width="1.7109375" style="669" customWidth="1"/>
    <col min="522" max="522" width="9.28515625" style="669" customWidth="1"/>
    <col min="523" max="523" width="11.28515625" style="669" customWidth="1"/>
    <col min="524" max="524" width="9.28515625" style="669" customWidth="1"/>
    <col min="525" max="525" width="11.28515625" style="669" customWidth="1"/>
    <col min="526" max="526" width="9.28515625" style="669" customWidth="1"/>
    <col min="527" max="527" width="11.28515625" style="669" customWidth="1"/>
    <col min="528" max="768" width="9.140625" style="669"/>
    <col min="769" max="769" width="1.7109375" style="669" customWidth="1"/>
    <col min="770" max="770" width="16.7109375" style="669" customWidth="1"/>
    <col min="771" max="771" width="45.7109375" style="669" customWidth="1"/>
    <col min="772" max="774" width="10.7109375" style="669" customWidth="1"/>
    <col min="775" max="777" width="1.7109375" style="669" customWidth="1"/>
    <col min="778" max="778" width="9.28515625" style="669" customWidth="1"/>
    <col min="779" max="779" width="11.28515625" style="669" customWidth="1"/>
    <col min="780" max="780" width="9.28515625" style="669" customWidth="1"/>
    <col min="781" max="781" width="11.28515625" style="669" customWidth="1"/>
    <col min="782" max="782" width="9.28515625" style="669" customWidth="1"/>
    <col min="783" max="783" width="11.28515625" style="669" customWidth="1"/>
    <col min="784" max="1024" width="9.140625" style="669"/>
    <col min="1025" max="1025" width="1.7109375" style="669" customWidth="1"/>
    <col min="1026" max="1026" width="16.7109375" style="669" customWidth="1"/>
    <col min="1027" max="1027" width="45.7109375" style="669" customWidth="1"/>
    <col min="1028" max="1030" width="10.7109375" style="669" customWidth="1"/>
    <col min="1031" max="1033" width="1.7109375" style="669" customWidth="1"/>
    <col min="1034" max="1034" width="9.28515625" style="669" customWidth="1"/>
    <col min="1035" max="1035" width="11.28515625" style="669" customWidth="1"/>
    <col min="1036" max="1036" width="9.28515625" style="669" customWidth="1"/>
    <col min="1037" max="1037" width="11.28515625" style="669" customWidth="1"/>
    <col min="1038" max="1038" width="9.28515625" style="669" customWidth="1"/>
    <col min="1039" max="1039" width="11.28515625" style="669" customWidth="1"/>
    <col min="1040" max="1280" width="9.140625" style="669"/>
    <col min="1281" max="1281" width="1.7109375" style="669" customWidth="1"/>
    <col min="1282" max="1282" width="16.7109375" style="669" customWidth="1"/>
    <col min="1283" max="1283" width="45.7109375" style="669" customWidth="1"/>
    <col min="1284" max="1286" width="10.7109375" style="669" customWidth="1"/>
    <col min="1287" max="1289" width="1.7109375" style="669" customWidth="1"/>
    <col min="1290" max="1290" width="9.28515625" style="669" customWidth="1"/>
    <col min="1291" max="1291" width="11.28515625" style="669" customWidth="1"/>
    <col min="1292" max="1292" width="9.28515625" style="669" customWidth="1"/>
    <col min="1293" max="1293" width="11.28515625" style="669" customWidth="1"/>
    <col min="1294" max="1294" width="9.28515625" style="669" customWidth="1"/>
    <col min="1295" max="1295" width="11.28515625" style="669" customWidth="1"/>
    <col min="1296" max="1536" width="9.140625" style="669"/>
    <col min="1537" max="1537" width="1.7109375" style="669" customWidth="1"/>
    <col min="1538" max="1538" width="16.7109375" style="669" customWidth="1"/>
    <col min="1539" max="1539" width="45.7109375" style="669" customWidth="1"/>
    <col min="1540" max="1542" width="10.7109375" style="669" customWidth="1"/>
    <col min="1543" max="1545" width="1.7109375" style="669" customWidth="1"/>
    <col min="1546" max="1546" width="9.28515625" style="669" customWidth="1"/>
    <col min="1547" max="1547" width="11.28515625" style="669" customWidth="1"/>
    <col min="1548" max="1548" width="9.28515625" style="669" customWidth="1"/>
    <col min="1549" max="1549" width="11.28515625" style="669" customWidth="1"/>
    <col min="1550" max="1550" width="9.28515625" style="669" customWidth="1"/>
    <col min="1551" max="1551" width="11.28515625" style="669" customWidth="1"/>
    <col min="1552" max="1792" width="9.140625" style="669"/>
    <col min="1793" max="1793" width="1.7109375" style="669" customWidth="1"/>
    <col min="1794" max="1794" width="16.7109375" style="669" customWidth="1"/>
    <col min="1795" max="1795" width="45.7109375" style="669" customWidth="1"/>
    <col min="1796" max="1798" width="10.7109375" style="669" customWidth="1"/>
    <col min="1799" max="1801" width="1.7109375" style="669" customWidth="1"/>
    <col min="1802" max="1802" width="9.28515625" style="669" customWidth="1"/>
    <col min="1803" max="1803" width="11.28515625" style="669" customWidth="1"/>
    <col min="1804" max="1804" width="9.28515625" style="669" customWidth="1"/>
    <col min="1805" max="1805" width="11.28515625" style="669" customWidth="1"/>
    <col min="1806" max="1806" width="9.28515625" style="669" customWidth="1"/>
    <col min="1807" max="1807" width="11.28515625" style="669" customWidth="1"/>
    <col min="1808" max="2048" width="9.140625" style="669"/>
    <col min="2049" max="2049" width="1.7109375" style="669" customWidth="1"/>
    <col min="2050" max="2050" width="16.7109375" style="669" customWidth="1"/>
    <col min="2051" max="2051" width="45.7109375" style="669" customWidth="1"/>
    <col min="2052" max="2054" width="10.7109375" style="669" customWidth="1"/>
    <col min="2055" max="2057" width="1.7109375" style="669" customWidth="1"/>
    <col min="2058" max="2058" width="9.28515625" style="669" customWidth="1"/>
    <col min="2059" max="2059" width="11.28515625" style="669" customWidth="1"/>
    <col min="2060" max="2060" width="9.28515625" style="669" customWidth="1"/>
    <col min="2061" max="2061" width="11.28515625" style="669" customWidth="1"/>
    <col min="2062" max="2062" width="9.28515625" style="669" customWidth="1"/>
    <col min="2063" max="2063" width="11.28515625" style="669" customWidth="1"/>
    <col min="2064" max="2304" width="9.140625" style="669"/>
    <col min="2305" max="2305" width="1.7109375" style="669" customWidth="1"/>
    <col min="2306" max="2306" width="16.7109375" style="669" customWidth="1"/>
    <col min="2307" max="2307" width="45.7109375" style="669" customWidth="1"/>
    <col min="2308" max="2310" width="10.7109375" style="669" customWidth="1"/>
    <col min="2311" max="2313" width="1.7109375" style="669" customWidth="1"/>
    <col min="2314" max="2314" width="9.28515625" style="669" customWidth="1"/>
    <col min="2315" max="2315" width="11.28515625" style="669" customWidth="1"/>
    <col min="2316" max="2316" width="9.28515625" style="669" customWidth="1"/>
    <col min="2317" max="2317" width="11.28515625" style="669" customWidth="1"/>
    <col min="2318" max="2318" width="9.28515625" style="669" customWidth="1"/>
    <col min="2319" max="2319" width="11.28515625" style="669" customWidth="1"/>
    <col min="2320" max="2560" width="9.140625" style="669"/>
    <col min="2561" max="2561" width="1.7109375" style="669" customWidth="1"/>
    <col min="2562" max="2562" width="16.7109375" style="669" customWidth="1"/>
    <col min="2563" max="2563" width="45.7109375" style="669" customWidth="1"/>
    <col min="2564" max="2566" width="10.7109375" style="669" customWidth="1"/>
    <col min="2567" max="2569" width="1.7109375" style="669" customWidth="1"/>
    <col min="2570" max="2570" width="9.28515625" style="669" customWidth="1"/>
    <col min="2571" max="2571" width="11.28515625" style="669" customWidth="1"/>
    <col min="2572" max="2572" width="9.28515625" style="669" customWidth="1"/>
    <col min="2573" max="2573" width="11.28515625" style="669" customWidth="1"/>
    <col min="2574" max="2574" width="9.28515625" style="669" customWidth="1"/>
    <col min="2575" max="2575" width="11.28515625" style="669" customWidth="1"/>
    <col min="2576" max="2816" width="9.140625" style="669"/>
    <col min="2817" max="2817" width="1.7109375" style="669" customWidth="1"/>
    <col min="2818" max="2818" width="16.7109375" style="669" customWidth="1"/>
    <col min="2819" max="2819" width="45.7109375" style="669" customWidth="1"/>
    <col min="2820" max="2822" width="10.7109375" style="669" customWidth="1"/>
    <col min="2823" max="2825" width="1.7109375" style="669" customWidth="1"/>
    <col min="2826" max="2826" width="9.28515625" style="669" customWidth="1"/>
    <col min="2827" max="2827" width="11.28515625" style="669" customWidth="1"/>
    <col min="2828" max="2828" width="9.28515625" style="669" customWidth="1"/>
    <col min="2829" max="2829" width="11.28515625" style="669" customWidth="1"/>
    <col min="2830" max="2830" width="9.28515625" style="669" customWidth="1"/>
    <col min="2831" max="2831" width="11.28515625" style="669" customWidth="1"/>
    <col min="2832" max="3072" width="9.140625" style="669"/>
    <col min="3073" max="3073" width="1.7109375" style="669" customWidth="1"/>
    <col min="3074" max="3074" width="16.7109375" style="669" customWidth="1"/>
    <col min="3075" max="3075" width="45.7109375" style="669" customWidth="1"/>
    <col min="3076" max="3078" width="10.7109375" style="669" customWidth="1"/>
    <col min="3079" max="3081" width="1.7109375" style="669" customWidth="1"/>
    <col min="3082" max="3082" width="9.28515625" style="669" customWidth="1"/>
    <col min="3083" max="3083" width="11.28515625" style="669" customWidth="1"/>
    <col min="3084" max="3084" width="9.28515625" style="669" customWidth="1"/>
    <col min="3085" max="3085" width="11.28515625" style="669" customWidth="1"/>
    <col min="3086" max="3086" width="9.28515625" style="669" customWidth="1"/>
    <col min="3087" max="3087" width="11.28515625" style="669" customWidth="1"/>
    <col min="3088" max="3328" width="9.140625" style="669"/>
    <col min="3329" max="3329" width="1.7109375" style="669" customWidth="1"/>
    <col min="3330" max="3330" width="16.7109375" style="669" customWidth="1"/>
    <col min="3331" max="3331" width="45.7109375" style="669" customWidth="1"/>
    <col min="3332" max="3334" width="10.7109375" style="669" customWidth="1"/>
    <col min="3335" max="3337" width="1.7109375" style="669" customWidth="1"/>
    <col min="3338" max="3338" width="9.28515625" style="669" customWidth="1"/>
    <col min="3339" max="3339" width="11.28515625" style="669" customWidth="1"/>
    <col min="3340" max="3340" width="9.28515625" style="669" customWidth="1"/>
    <col min="3341" max="3341" width="11.28515625" style="669" customWidth="1"/>
    <col min="3342" max="3342" width="9.28515625" style="669" customWidth="1"/>
    <col min="3343" max="3343" width="11.28515625" style="669" customWidth="1"/>
    <col min="3344" max="3584" width="9.140625" style="669"/>
    <col min="3585" max="3585" width="1.7109375" style="669" customWidth="1"/>
    <col min="3586" max="3586" width="16.7109375" style="669" customWidth="1"/>
    <col min="3587" max="3587" width="45.7109375" style="669" customWidth="1"/>
    <col min="3588" max="3590" width="10.7109375" style="669" customWidth="1"/>
    <col min="3591" max="3593" width="1.7109375" style="669" customWidth="1"/>
    <col min="3594" max="3594" width="9.28515625" style="669" customWidth="1"/>
    <col min="3595" max="3595" width="11.28515625" style="669" customWidth="1"/>
    <col min="3596" max="3596" width="9.28515625" style="669" customWidth="1"/>
    <col min="3597" max="3597" width="11.28515625" style="669" customWidth="1"/>
    <col min="3598" max="3598" width="9.28515625" style="669" customWidth="1"/>
    <col min="3599" max="3599" width="11.28515625" style="669" customWidth="1"/>
    <col min="3600" max="3840" width="9.140625" style="669"/>
    <col min="3841" max="3841" width="1.7109375" style="669" customWidth="1"/>
    <col min="3842" max="3842" width="16.7109375" style="669" customWidth="1"/>
    <col min="3843" max="3843" width="45.7109375" style="669" customWidth="1"/>
    <col min="3844" max="3846" width="10.7109375" style="669" customWidth="1"/>
    <col min="3847" max="3849" width="1.7109375" style="669" customWidth="1"/>
    <col min="3850" max="3850" width="9.28515625" style="669" customWidth="1"/>
    <col min="3851" max="3851" width="11.28515625" style="669" customWidth="1"/>
    <col min="3852" max="3852" width="9.28515625" style="669" customWidth="1"/>
    <col min="3853" max="3853" width="11.28515625" style="669" customWidth="1"/>
    <col min="3854" max="3854" width="9.28515625" style="669" customWidth="1"/>
    <col min="3855" max="3855" width="11.28515625" style="669" customWidth="1"/>
    <col min="3856" max="4096" width="9.140625" style="669"/>
    <col min="4097" max="4097" width="1.7109375" style="669" customWidth="1"/>
    <col min="4098" max="4098" width="16.7109375" style="669" customWidth="1"/>
    <col min="4099" max="4099" width="45.7109375" style="669" customWidth="1"/>
    <col min="4100" max="4102" width="10.7109375" style="669" customWidth="1"/>
    <col min="4103" max="4105" width="1.7109375" style="669" customWidth="1"/>
    <col min="4106" max="4106" width="9.28515625" style="669" customWidth="1"/>
    <col min="4107" max="4107" width="11.28515625" style="669" customWidth="1"/>
    <col min="4108" max="4108" width="9.28515625" style="669" customWidth="1"/>
    <col min="4109" max="4109" width="11.28515625" style="669" customWidth="1"/>
    <col min="4110" max="4110" width="9.28515625" style="669" customWidth="1"/>
    <col min="4111" max="4111" width="11.28515625" style="669" customWidth="1"/>
    <col min="4112" max="4352" width="9.140625" style="669"/>
    <col min="4353" max="4353" width="1.7109375" style="669" customWidth="1"/>
    <col min="4354" max="4354" width="16.7109375" style="669" customWidth="1"/>
    <col min="4355" max="4355" width="45.7109375" style="669" customWidth="1"/>
    <col min="4356" max="4358" width="10.7109375" style="669" customWidth="1"/>
    <col min="4359" max="4361" width="1.7109375" style="669" customWidth="1"/>
    <col min="4362" max="4362" width="9.28515625" style="669" customWidth="1"/>
    <col min="4363" max="4363" width="11.28515625" style="669" customWidth="1"/>
    <col min="4364" max="4364" width="9.28515625" style="669" customWidth="1"/>
    <col min="4365" max="4365" width="11.28515625" style="669" customWidth="1"/>
    <col min="4366" max="4366" width="9.28515625" style="669" customWidth="1"/>
    <col min="4367" max="4367" width="11.28515625" style="669" customWidth="1"/>
    <col min="4368" max="4608" width="9.140625" style="669"/>
    <col min="4609" max="4609" width="1.7109375" style="669" customWidth="1"/>
    <col min="4610" max="4610" width="16.7109375" style="669" customWidth="1"/>
    <col min="4611" max="4611" width="45.7109375" style="669" customWidth="1"/>
    <col min="4612" max="4614" width="10.7109375" style="669" customWidth="1"/>
    <col min="4615" max="4617" width="1.7109375" style="669" customWidth="1"/>
    <col min="4618" max="4618" width="9.28515625" style="669" customWidth="1"/>
    <col min="4619" max="4619" width="11.28515625" style="669" customWidth="1"/>
    <col min="4620" max="4620" width="9.28515625" style="669" customWidth="1"/>
    <col min="4621" max="4621" width="11.28515625" style="669" customWidth="1"/>
    <col min="4622" max="4622" width="9.28515625" style="669" customWidth="1"/>
    <col min="4623" max="4623" width="11.28515625" style="669" customWidth="1"/>
    <col min="4624" max="4864" width="9.140625" style="669"/>
    <col min="4865" max="4865" width="1.7109375" style="669" customWidth="1"/>
    <col min="4866" max="4866" width="16.7109375" style="669" customWidth="1"/>
    <col min="4867" max="4867" width="45.7109375" style="669" customWidth="1"/>
    <col min="4868" max="4870" width="10.7109375" style="669" customWidth="1"/>
    <col min="4871" max="4873" width="1.7109375" style="669" customWidth="1"/>
    <col min="4874" max="4874" width="9.28515625" style="669" customWidth="1"/>
    <col min="4875" max="4875" width="11.28515625" style="669" customWidth="1"/>
    <col min="4876" max="4876" width="9.28515625" style="669" customWidth="1"/>
    <col min="4877" max="4877" width="11.28515625" style="669" customWidth="1"/>
    <col min="4878" max="4878" width="9.28515625" style="669" customWidth="1"/>
    <col min="4879" max="4879" width="11.28515625" style="669" customWidth="1"/>
    <col min="4880" max="5120" width="9.140625" style="669"/>
    <col min="5121" max="5121" width="1.7109375" style="669" customWidth="1"/>
    <col min="5122" max="5122" width="16.7109375" style="669" customWidth="1"/>
    <col min="5123" max="5123" width="45.7109375" style="669" customWidth="1"/>
    <col min="5124" max="5126" width="10.7109375" style="669" customWidth="1"/>
    <col min="5127" max="5129" width="1.7109375" style="669" customWidth="1"/>
    <col min="5130" max="5130" width="9.28515625" style="669" customWidth="1"/>
    <col min="5131" max="5131" width="11.28515625" style="669" customWidth="1"/>
    <col min="5132" max="5132" width="9.28515625" style="669" customWidth="1"/>
    <col min="5133" max="5133" width="11.28515625" style="669" customWidth="1"/>
    <col min="5134" max="5134" width="9.28515625" style="669" customWidth="1"/>
    <col min="5135" max="5135" width="11.28515625" style="669" customWidth="1"/>
    <col min="5136" max="5376" width="9.140625" style="669"/>
    <col min="5377" max="5377" width="1.7109375" style="669" customWidth="1"/>
    <col min="5378" max="5378" width="16.7109375" style="669" customWidth="1"/>
    <col min="5379" max="5379" width="45.7109375" style="669" customWidth="1"/>
    <col min="5380" max="5382" width="10.7109375" style="669" customWidth="1"/>
    <col min="5383" max="5385" width="1.7109375" style="669" customWidth="1"/>
    <col min="5386" max="5386" width="9.28515625" style="669" customWidth="1"/>
    <col min="5387" max="5387" width="11.28515625" style="669" customWidth="1"/>
    <col min="5388" max="5388" width="9.28515625" style="669" customWidth="1"/>
    <col min="5389" max="5389" width="11.28515625" style="669" customWidth="1"/>
    <col min="5390" max="5390" width="9.28515625" style="669" customWidth="1"/>
    <col min="5391" max="5391" width="11.28515625" style="669" customWidth="1"/>
    <col min="5392" max="5632" width="9.140625" style="669"/>
    <col min="5633" max="5633" width="1.7109375" style="669" customWidth="1"/>
    <col min="5634" max="5634" width="16.7109375" style="669" customWidth="1"/>
    <col min="5635" max="5635" width="45.7109375" style="669" customWidth="1"/>
    <col min="5636" max="5638" width="10.7109375" style="669" customWidth="1"/>
    <col min="5639" max="5641" width="1.7109375" style="669" customWidth="1"/>
    <col min="5642" max="5642" width="9.28515625" style="669" customWidth="1"/>
    <col min="5643" max="5643" width="11.28515625" style="669" customWidth="1"/>
    <col min="5644" max="5644" width="9.28515625" style="669" customWidth="1"/>
    <col min="5645" max="5645" width="11.28515625" style="669" customWidth="1"/>
    <col min="5646" max="5646" width="9.28515625" style="669" customWidth="1"/>
    <col min="5647" max="5647" width="11.28515625" style="669" customWidth="1"/>
    <col min="5648" max="5888" width="9.140625" style="669"/>
    <col min="5889" max="5889" width="1.7109375" style="669" customWidth="1"/>
    <col min="5890" max="5890" width="16.7109375" style="669" customWidth="1"/>
    <col min="5891" max="5891" width="45.7109375" style="669" customWidth="1"/>
    <col min="5892" max="5894" width="10.7109375" style="669" customWidth="1"/>
    <col min="5895" max="5897" width="1.7109375" style="669" customWidth="1"/>
    <col min="5898" max="5898" width="9.28515625" style="669" customWidth="1"/>
    <col min="5899" max="5899" width="11.28515625" style="669" customWidth="1"/>
    <col min="5900" max="5900" width="9.28515625" style="669" customWidth="1"/>
    <col min="5901" max="5901" width="11.28515625" style="669" customWidth="1"/>
    <col min="5902" max="5902" width="9.28515625" style="669" customWidth="1"/>
    <col min="5903" max="5903" width="11.28515625" style="669" customWidth="1"/>
    <col min="5904" max="6144" width="9.140625" style="669"/>
    <col min="6145" max="6145" width="1.7109375" style="669" customWidth="1"/>
    <col min="6146" max="6146" width="16.7109375" style="669" customWidth="1"/>
    <col min="6147" max="6147" width="45.7109375" style="669" customWidth="1"/>
    <col min="6148" max="6150" width="10.7109375" style="669" customWidth="1"/>
    <col min="6151" max="6153" width="1.7109375" style="669" customWidth="1"/>
    <col min="6154" max="6154" width="9.28515625" style="669" customWidth="1"/>
    <col min="6155" max="6155" width="11.28515625" style="669" customWidth="1"/>
    <col min="6156" max="6156" width="9.28515625" style="669" customWidth="1"/>
    <col min="6157" max="6157" width="11.28515625" style="669" customWidth="1"/>
    <col min="6158" max="6158" width="9.28515625" style="669" customWidth="1"/>
    <col min="6159" max="6159" width="11.28515625" style="669" customWidth="1"/>
    <col min="6160" max="6400" width="9.140625" style="669"/>
    <col min="6401" max="6401" width="1.7109375" style="669" customWidth="1"/>
    <col min="6402" max="6402" width="16.7109375" style="669" customWidth="1"/>
    <col min="6403" max="6403" width="45.7109375" style="669" customWidth="1"/>
    <col min="6404" max="6406" width="10.7109375" style="669" customWidth="1"/>
    <col min="6407" max="6409" width="1.7109375" style="669" customWidth="1"/>
    <col min="6410" max="6410" width="9.28515625" style="669" customWidth="1"/>
    <col min="6411" max="6411" width="11.28515625" style="669" customWidth="1"/>
    <col min="6412" max="6412" width="9.28515625" style="669" customWidth="1"/>
    <col min="6413" max="6413" width="11.28515625" style="669" customWidth="1"/>
    <col min="6414" max="6414" width="9.28515625" style="669" customWidth="1"/>
    <col min="6415" max="6415" width="11.28515625" style="669" customWidth="1"/>
    <col min="6416" max="6656" width="9.140625" style="669"/>
    <col min="6657" max="6657" width="1.7109375" style="669" customWidth="1"/>
    <col min="6658" max="6658" width="16.7109375" style="669" customWidth="1"/>
    <col min="6659" max="6659" width="45.7109375" style="669" customWidth="1"/>
    <col min="6660" max="6662" width="10.7109375" style="669" customWidth="1"/>
    <col min="6663" max="6665" width="1.7109375" style="669" customWidth="1"/>
    <col min="6666" max="6666" width="9.28515625" style="669" customWidth="1"/>
    <col min="6667" max="6667" width="11.28515625" style="669" customWidth="1"/>
    <col min="6668" max="6668" width="9.28515625" style="669" customWidth="1"/>
    <col min="6669" max="6669" width="11.28515625" style="669" customWidth="1"/>
    <col min="6670" max="6670" width="9.28515625" style="669" customWidth="1"/>
    <col min="6671" max="6671" width="11.28515625" style="669" customWidth="1"/>
    <col min="6672" max="6912" width="9.140625" style="669"/>
    <col min="6913" max="6913" width="1.7109375" style="669" customWidth="1"/>
    <col min="6914" max="6914" width="16.7109375" style="669" customWidth="1"/>
    <col min="6915" max="6915" width="45.7109375" style="669" customWidth="1"/>
    <col min="6916" max="6918" width="10.7109375" style="669" customWidth="1"/>
    <col min="6919" max="6921" width="1.7109375" style="669" customWidth="1"/>
    <col min="6922" max="6922" width="9.28515625" style="669" customWidth="1"/>
    <col min="6923" max="6923" width="11.28515625" style="669" customWidth="1"/>
    <col min="6924" max="6924" width="9.28515625" style="669" customWidth="1"/>
    <col min="6925" max="6925" width="11.28515625" style="669" customWidth="1"/>
    <col min="6926" max="6926" width="9.28515625" style="669" customWidth="1"/>
    <col min="6927" max="6927" width="11.28515625" style="669" customWidth="1"/>
    <col min="6928" max="7168" width="9.140625" style="669"/>
    <col min="7169" max="7169" width="1.7109375" style="669" customWidth="1"/>
    <col min="7170" max="7170" width="16.7109375" style="669" customWidth="1"/>
    <col min="7171" max="7171" width="45.7109375" style="669" customWidth="1"/>
    <col min="7172" max="7174" width="10.7109375" style="669" customWidth="1"/>
    <col min="7175" max="7177" width="1.7109375" style="669" customWidth="1"/>
    <col min="7178" max="7178" width="9.28515625" style="669" customWidth="1"/>
    <col min="7179" max="7179" width="11.28515625" style="669" customWidth="1"/>
    <col min="7180" max="7180" width="9.28515625" style="669" customWidth="1"/>
    <col min="7181" max="7181" width="11.28515625" style="669" customWidth="1"/>
    <col min="7182" max="7182" width="9.28515625" style="669" customWidth="1"/>
    <col min="7183" max="7183" width="11.28515625" style="669" customWidth="1"/>
    <col min="7184" max="7424" width="9.140625" style="669"/>
    <col min="7425" max="7425" width="1.7109375" style="669" customWidth="1"/>
    <col min="7426" max="7426" width="16.7109375" style="669" customWidth="1"/>
    <col min="7427" max="7427" width="45.7109375" style="669" customWidth="1"/>
    <col min="7428" max="7430" width="10.7109375" style="669" customWidth="1"/>
    <col min="7431" max="7433" width="1.7109375" style="669" customWidth="1"/>
    <col min="7434" max="7434" width="9.28515625" style="669" customWidth="1"/>
    <col min="7435" max="7435" width="11.28515625" style="669" customWidth="1"/>
    <col min="7436" max="7436" width="9.28515625" style="669" customWidth="1"/>
    <col min="7437" max="7437" width="11.28515625" style="669" customWidth="1"/>
    <col min="7438" max="7438" width="9.28515625" style="669" customWidth="1"/>
    <col min="7439" max="7439" width="11.28515625" style="669" customWidth="1"/>
    <col min="7440" max="7680" width="9.140625" style="669"/>
    <col min="7681" max="7681" width="1.7109375" style="669" customWidth="1"/>
    <col min="7682" max="7682" width="16.7109375" style="669" customWidth="1"/>
    <col min="7683" max="7683" width="45.7109375" style="669" customWidth="1"/>
    <col min="7684" max="7686" width="10.7109375" style="669" customWidth="1"/>
    <col min="7687" max="7689" width="1.7109375" style="669" customWidth="1"/>
    <col min="7690" max="7690" width="9.28515625" style="669" customWidth="1"/>
    <col min="7691" max="7691" width="11.28515625" style="669" customWidth="1"/>
    <col min="7692" max="7692" width="9.28515625" style="669" customWidth="1"/>
    <col min="7693" max="7693" width="11.28515625" style="669" customWidth="1"/>
    <col min="7694" max="7694" width="9.28515625" style="669" customWidth="1"/>
    <col min="7695" max="7695" width="11.28515625" style="669" customWidth="1"/>
    <col min="7696" max="7936" width="9.140625" style="669"/>
    <col min="7937" max="7937" width="1.7109375" style="669" customWidth="1"/>
    <col min="7938" max="7938" width="16.7109375" style="669" customWidth="1"/>
    <col min="7939" max="7939" width="45.7109375" style="669" customWidth="1"/>
    <col min="7940" max="7942" width="10.7109375" style="669" customWidth="1"/>
    <col min="7943" max="7945" width="1.7109375" style="669" customWidth="1"/>
    <col min="7946" max="7946" width="9.28515625" style="669" customWidth="1"/>
    <col min="7947" max="7947" width="11.28515625" style="669" customWidth="1"/>
    <col min="7948" max="7948" width="9.28515625" style="669" customWidth="1"/>
    <col min="7949" max="7949" width="11.28515625" style="669" customWidth="1"/>
    <col min="7950" max="7950" width="9.28515625" style="669" customWidth="1"/>
    <col min="7951" max="7951" width="11.28515625" style="669" customWidth="1"/>
    <col min="7952" max="8192" width="9.140625" style="669"/>
    <col min="8193" max="8193" width="1.7109375" style="669" customWidth="1"/>
    <col min="8194" max="8194" width="16.7109375" style="669" customWidth="1"/>
    <col min="8195" max="8195" width="45.7109375" style="669" customWidth="1"/>
    <col min="8196" max="8198" width="10.7109375" style="669" customWidth="1"/>
    <col min="8199" max="8201" width="1.7109375" style="669" customWidth="1"/>
    <col min="8202" max="8202" width="9.28515625" style="669" customWidth="1"/>
    <col min="8203" max="8203" width="11.28515625" style="669" customWidth="1"/>
    <col min="8204" max="8204" width="9.28515625" style="669" customWidth="1"/>
    <col min="8205" max="8205" width="11.28515625" style="669" customWidth="1"/>
    <col min="8206" max="8206" width="9.28515625" style="669" customWidth="1"/>
    <col min="8207" max="8207" width="11.28515625" style="669" customWidth="1"/>
    <col min="8208" max="8448" width="9.140625" style="669"/>
    <col min="8449" max="8449" width="1.7109375" style="669" customWidth="1"/>
    <col min="8450" max="8450" width="16.7109375" style="669" customWidth="1"/>
    <col min="8451" max="8451" width="45.7109375" style="669" customWidth="1"/>
    <col min="8452" max="8454" width="10.7109375" style="669" customWidth="1"/>
    <col min="8455" max="8457" width="1.7109375" style="669" customWidth="1"/>
    <col min="8458" max="8458" width="9.28515625" style="669" customWidth="1"/>
    <col min="8459" max="8459" width="11.28515625" style="669" customWidth="1"/>
    <col min="8460" max="8460" width="9.28515625" style="669" customWidth="1"/>
    <col min="8461" max="8461" width="11.28515625" style="669" customWidth="1"/>
    <col min="8462" max="8462" width="9.28515625" style="669" customWidth="1"/>
    <col min="8463" max="8463" width="11.28515625" style="669" customWidth="1"/>
    <col min="8464" max="8704" width="9.140625" style="669"/>
    <col min="8705" max="8705" width="1.7109375" style="669" customWidth="1"/>
    <col min="8706" max="8706" width="16.7109375" style="669" customWidth="1"/>
    <col min="8707" max="8707" width="45.7109375" style="669" customWidth="1"/>
    <col min="8708" max="8710" width="10.7109375" style="669" customWidth="1"/>
    <col min="8711" max="8713" width="1.7109375" style="669" customWidth="1"/>
    <col min="8714" max="8714" width="9.28515625" style="669" customWidth="1"/>
    <col min="8715" max="8715" width="11.28515625" style="669" customWidth="1"/>
    <col min="8716" max="8716" width="9.28515625" style="669" customWidth="1"/>
    <col min="8717" max="8717" width="11.28515625" style="669" customWidth="1"/>
    <col min="8718" max="8718" width="9.28515625" style="669" customWidth="1"/>
    <col min="8719" max="8719" width="11.28515625" style="669" customWidth="1"/>
    <col min="8720" max="8960" width="9.140625" style="669"/>
    <col min="8961" max="8961" width="1.7109375" style="669" customWidth="1"/>
    <col min="8962" max="8962" width="16.7109375" style="669" customWidth="1"/>
    <col min="8963" max="8963" width="45.7109375" style="669" customWidth="1"/>
    <col min="8964" max="8966" width="10.7109375" style="669" customWidth="1"/>
    <col min="8967" max="8969" width="1.7109375" style="669" customWidth="1"/>
    <col min="8970" max="8970" width="9.28515625" style="669" customWidth="1"/>
    <col min="8971" max="8971" width="11.28515625" style="669" customWidth="1"/>
    <col min="8972" max="8972" width="9.28515625" style="669" customWidth="1"/>
    <col min="8973" max="8973" width="11.28515625" style="669" customWidth="1"/>
    <col min="8974" max="8974" width="9.28515625" style="669" customWidth="1"/>
    <col min="8975" max="8975" width="11.28515625" style="669" customWidth="1"/>
    <col min="8976" max="9216" width="9.140625" style="669"/>
    <col min="9217" max="9217" width="1.7109375" style="669" customWidth="1"/>
    <col min="9218" max="9218" width="16.7109375" style="669" customWidth="1"/>
    <col min="9219" max="9219" width="45.7109375" style="669" customWidth="1"/>
    <col min="9220" max="9222" width="10.7109375" style="669" customWidth="1"/>
    <col min="9223" max="9225" width="1.7109375" style="669" customWidth="1"/>
    <col min="9226" max="9226" width="9.28515625" style="669" customWidth="1"/>
    <col min="9227" max="9227" width="11.28515625" style="669" customWidth="1"/>
    <col min="9228" max="9228" width="9.28515625" style="669" customWidth="1"/>
    <col min="9229" max="9229" width="11.28515625" style="669" customWidth="1"/>
    <col min="9230" max="9230" width="9.28515625" style="669" customWidth="1"/>
    <col min="9231" max="9231" width="11.28515625" style="669" customWidth="1"/>
    <col min="9232" max="9472" width="9.140625" style="669"/>
    <col min="9473" max="9473" width="1.7109375" style="669" customWidth="1"/>
    <col min="9474" max="9474" width="16.7109375" style="669" customWidth="1"/>
    <col min="9475" max="9475" width="45.7109375" style="669" customWidth="1"/>
    <col min="9476" max="9478" width="10.7109375" style="669" customWidth="1"/>
    <col min="9479" max="9481" width="1.7109375" style="669" customWidth="1"/>
    <col min="9482" max="9482" width="9.28515625" style="669" customWidth="1"/>
    <col min="9483" max="9483" width="11.28515625" style="669" customWidth="1"/>
    <col min="9484" max="9484" width="9.28515625" style="669" customWidth="1"/>
    <col min="9485" max="9485" width="11.28515625" style="669" customWidth="1"/>
    <col min="9486" max="9486" width="9.28515625" style="669" customWidth="1"/>
    <col min="9487" max="9487" width="11.28515625" style="669" customWidth="1"/>
    <col min="9488" max="9728" width="9.140625" style="669"/>
    <col min="9729" max="9729" width="1.7109375" style="669" customWidth="1"/>
    <col min="9730" max="9730" width="16.7109375" style="669" customWidth="1"/>
    <col min="9731" max="9731" width="45.7109375" style="669" customWidth="1"/>
    <col min="9732" max="9734" width="10.7109375" style="669" customWidth="1"/>
    <col min="9735" max="9737" width="1.7109375" style="669" customWidth="1"/>
    <col min="9738" max="9738" width="9.28515625" style="669" customWidth="1"/>
    <col min="9739" max="9739" width="11.28515625" style="669" customWidth="1"/>
    <col min="9740" max="9740" width="9.28515625" style="669" customWidth="1"/>
    <col min="9741" max="9741" width="11.28515625" style="669" customWidth="1"/>
    <col min="9742" max="9742" width="9.28515625" style="669" customWidth="1"/>
    <col min="9743" max="9743" width="11.28515625" style="669" customWidth="1"/>
    <col min="9744" max="9984" width="9.140625" style="669"/>
    <col min="9985" max="9985" width="1.7109375" style="669" customWidth="1"/>
    <col min="9986" max="9986" width="16.7109375" style="669" customWidth="1"/>
    <col min="9987" max="9987" width="45.7109375" style="669" customWidth="1"/>
    <col min="9988" max="9990" width="10.7109375" style="669" customWidth="1"/>
    <col min="9991" max="9993" width="1.7109375" style="669" customWidth="1"/>
    <col min="9994" max="9994" width="9.28515625" style="669" customWidth="1"/>
    <col min="9995" max="9995" width="11.28515625" style="669" customWidth="1"/>
    <col min="9996" max="9996" width="9.28515625" style="669" customWidth="1"/>
    <col min="9997" max="9997" width="11.28515625" style="669" customWidth="1"/>
    <col min="9998" max="9998" width="9.28515625" style="669" customWidth="1"/>
    <col min="9999" max="9999" width="11.28515625" style="669" customWidth="1"/>
    <col min="10000" max="10240" width="9.140625" style="669"/>
    <col min="10241" max="10241" width="1.7109375" style="669" customWidth="1"/>
    <col min="10242" max="10242" width="16.7109375" style="669" customWidth="1"/>
    <col min="10243" max="10243" width="45.7109375" style="669" customWidth="1"/>
    <col min="10244" max="10246" width="10.7109375" style="669" customWidth="1"/>
    <col min="10247" max="10249" width="1.7109375" style="669" customWidth="1"/>
    <col min="10250" max="10250" width="9.28515625" style="669" customWidth="1"/>
    <col min="10251" max="10251" width="11.28515625" style="669" customWidth="1"/>
    <col min="10252" max="10252" width="9.28515625" style="669" customWidth="1"/>
    <col min="10253" max="10253" width="11.28515625" style="669" customWidth="1"/>
    <col min="10254" max="10254" width="9.28515625" style="669" customWidth="1"/>
    <col min="10255" max="10255" width="11.28515625" style="669" customWidth="1"/>
    <col min="10256" max="10496" width="9.140625" style="669"/>
    <col min="10497" max="10497" width="1.7109375" style="669" customWidth="1"/>
    <col min="10498" max="10498" width="16.7109375" style="669" customWidth="1"/>
    <col min="10499" max="10499" width="45.7109375" style="669" customWidth="1"/>
    <col min="10500" max="10502" width="10.7109375" style="669" customWidth="1"/>
    <col min="10503" max="10505" width="1.7109375" style="669" customWidth="1"/>
    <col min="10506" max="10506" width="9.28515625" style="669" customWidth="1"/>
    <col min="10507" max="10507" width="11.28515625" style="669" customWidth="1"/>
    <col min="10508" max="10508" width="9.28515625" style="669" customWidth="1"/>
    <col min="10509" max="10509" width="11.28515625" style="669" customWidth="1"/>
    <col min="10510" max="10510" width="9.28515625" style="669" customWidth="1"/>
    <col min="10511" max="10511" width="11.28515625" style="669" customWidth="1"/>
    <col min="10512" max="10752" width="9.140625" style="669"/>
    <col min="10753" max="10753" width="1.7109375" style="669" customWidth="1"/>
    <col min="10754" max="10754" width="16.7109375" style="669" customWidth="1"/>
    <col min="10755" max="10755" width="45.7109375" style="669" customWidth="1"/>
    <col min="10756" max="10758" width="10.7109375" style="669" customWidth="1"/>
    <col min="10759" max="10761" width="1.7109375" style="669" customWidth="1"/>
    <col min="10762" max="10762" width="9.28515625" style="669" customWidth="1"/>
    <col min="10763" max="10763" width="11.28515625" style="669" customWidth="1"/>
    <col min="10764" max="10764" width="9.28515625" style="669" customWidth="1"/>
    <col min="10765" max="10765" width="11.28515625" style="669" customWidth="1"/>
    <col min="10766" max="10766" width="9.28515625" style="669" customWidth="1"/>
    <col min="10767" max="10767" width="11.28515625" style="669" customWidth="1"/>
    <col min="10768" max="11008" width="9.140625" style="669"/>
    <col min="11009" max="11009" width="1.7109375" style="669" customWidth="1"/>
    <col min="11010" max="11010" width="16.7109375" style="669" customWidth="1"/>
    <col min="11011" max="11011" width="45.7109375" style="669" customWidth="1"/>
    <col min="11012" max="11014" width="10.7109375" style="669" customWidth="1"/>
    <col min="11015" max="11017" width="1.7109375" style="669" customWidth="1"/>
    <col min="11018" max="11018" width="9.28515625" style="669" customWidth="1"/>
    <col min="11019" max="11019" width="11.28515625" style="669" customWidth="1"/>
    <col min="11020" max="11020" width="9.28515625" style="669" customWidth="1"/>
    <col min="11021" max="11021" width="11.28515625" style="669" customWidth="1"/>
    <col min="11022" max="11022" width="9.28515625" style="669" customWidth="1"/>
    <col min="11023" max="11023" width="11.28515625" style="669" customWidth="1"/>
    <col min="11024" max="11264" width="9.140625" style="669"/>
    <col min="11265" max="11265" width="1.7109375" style="669" customWidth="1"/>
    <col min="11266" max="11266" width="16.7109375" style="669" customWidth="1"/>
    <col min="11267" max="11267" width="45.7109375" style="669" customWidth="1"/>
    <col min="11268" max="11270" width="10.7109375" style="669" customWidth="1"/>
    <col min="11271" max="11273" width="1.7109375" style="669" customWidth="1"/>
    <col min="11274" max="11274" width="9.28515625" style="669" customWidth="1"/>
    <col min="11275" max="11275" width="11.28515625" style="669" customWidth="1"/>
    <col min="11276" max="11276" width="9.28515625" style="669" customWidth="1"/>
    <col min="11277" max="11277" width="11.28515625" style="669" customWidth="1"/>
    <col min="11278" max="11278" width="9.28515625" style="669" customWidth="1"/>
    <col min="11279" max="11279" width="11.28515625" style="669" customWidth="1"/>
    <col min="11280" max="11520" width="9.140625" style="669"/>
    <col min="11521" max="11521" width="1.7109375" style="669" customWidth="1"/>
    <col min="11522" max="11522" width="16.7109375" style="669" customWidth="1"/>
    <col min="11523" max="11523" width="45.7109375" style="669" customWidth="1"/>
    <col min="11524" max="11526" width="10.7109375" style="669" customWidth="1"/>
    <col min="11527" max="11529" width="1.7109375" style="669" customWidth="1"/>
    <col min="11530" max="11530" width="9.28515625" style="669" customWidth="1"/>
    <col min="11531" max="11531" width="11.28515625" style="669" customWidth="1"/>
    <col min="11532" max="11532" width="9.28515625" style="669" customWidth="1"/>
    <col min="11533" max="11533" width="11.28515625" style="669" customWidth="1"/>
    <col min="11534" max="11534" width="9.28515625" style="669" customWidth="1"/>
    <col min="11535" max="11535" width="11.28515625" style="669" customWidth="1"/>
    <col min="11536" max="11776" width="9.140625" style="669"/>
    <col min="11777" max="11777" width="1.7109375" style="669" customWidth="1"/>
    <col min="11778" max="11778" width="16.7109375" style="669" customWidth="1"/>
    <col min="11779" max="11779" width="45.7109375" style="669" customWidth="1"/>
    <col min="11780" max="11782" width="10.7109375" style="669" customWidth="1"/>
    <col min="11783" max="11785" width="1.7109375" style="669" customWidth="1"/>
    <col min="11786" max="11786" width="9.28515625" style="669" customWidth="1"/>
    <col min="11787" max="11787" width="11.28515625" style="669" customWidth="1"/>
    <col min="11788" max="11788" width="9.28515625" style="669" customWidth="1"/>
    <col min="11789" max="11789" width="11.28515625" style="669" customWidth="1"/>
    <col min="11790" max="11790" width="9.28515625" style="669" customWidth="1"/>
    <col min="11791" max="11791" width="11.28515625" style="669" customWidth="1"/>
    <col min="11792" max="12032" width="9.140625" style="669"/>
    <col min="12033" max="12033" width="1.7109375" style="669" customWidth="1"/>
    <col min="12034" max="12034" width="16.7109375" style="669" customWidth="1"/>
    <col min="12035" max="12035" width="45.7109375" style="669" customWidth="1"/>
    <col min="12036" max="12038" width="10.7109375" style="669" customWidth="1"/>
    <col min="12039" max="12041" width="1.7109375" style="669" customWidth="1"/>
    <col min="12042" max="12042" width="9.28515625" style="669" customWidth="1"/>
    <col min="12043" max="12043" width="11.28515625" style="669" customWidth="1"/>
    <col min="12044" max="12044" width="9.28515625" style="669" customWidth="1"/>
    <col min="12045" max="12045" width="11.28515625" style="669" customWidth="1"/>
    <col min="12046" max="12046" width="9.28515625" style="669" customWidth="1"/>
    <col min="12047" max="12047" width="11.28515625" style="669" customWidth="1"/>
    <col min="12048" max="12288" width="9.140625" style="669"/>
    <col min="12289" max="12289" width="1.7109375" style="669" customWidth="1"/>
    <col min="12290" max="12290" width="16.7109375" style="669" customWidth="1"/>
    <col min="12291" max="12291" width="45.7109375" style="669" customWidth="1"/>
    <col min="12292" max="12294" width="10.7109375" style="669" customWidth="1"/>
    <col min="12295" max="12297" width="1.7109375" style="669" customWidth="1"/>
    <col min="12298" max="12298" width="9.28515625" style="669" customWidth="1"/>
    <col min="12299" max="12299" width="11.28515625" style="669" customWidth="1"/>
    <col min="12300" max="12300" width="9.28515625" style="669" customWidth="1"/>
    <col min="12301" max="12301" width="11.28515625" style="669" customWidth="1"/>
    <col min="12302" max="12302" width="9.28515625" style="669" customWidth="1"/>
    <col min="12303" max="12303" width="11.28515625" style="669" customWidth="1"/>
    <col min="12304" max="12544" width="9.140625" style="669"/>
    <col min="12545" max="12545" width="1.7109375" style="669" customWidth="1"/>
    <col min="12546" max="12546" width="16.7109375" style="669" customWidth="1"/>
    <col min="12547" max="12547" width="45.7109375" style="669" customWidth="1"/>
    <col min="12548" max="12550" width="10.7109375" style="669" customWidth="1"/>
    <col min="12551" max="12553" width="1.7109375" style="669" customWidth="1"/>
    <col min="12554" max="12554" width="9.28515625" style="669" customWidth="1"/>
    <col min="12555" max="12555" width="11.28515625" style="669" customWidth="1"/>
    <col min="12556" max="12556" width="9.28515625" style="669" customWidth="1"/>
    <col min="12557" max="12557" width="11.28515625" style="669" customWidth="1"/>
    <col min="12558" max="12558" width="9.28515625" style="669" customWidth="1"/>
    <col min="12559" max="12559" width="11.28515625" style="669" customWidth="1"/>
    <col min="12560" max="12800" width="9.140625" style="669"/>
    <col min="12801" max="12801" width="1.7109375" style="669" customWidth="1"/>
    <col min="12802" max="12802" width="16.7109375" style="669" customWidth="1"/>
    <col min="12803" max="12803" width="45.7109375" style="669" customWidth="1"/>
    <col min="12804" max="12806" width="10.7109375" style="669" customWidth="1"/>
    <col min="12807" max="12809" width="1.7109375" style="669" customWidth="1"/>
    <col min="12810" max="12810" width="9.28515625" style="669" customWidth="1"/>
    <col min="12811" max="12811" width="11.28515625" style="669" customWidth="1"/>
    <col min="12812" max="12812" width="9.28515625" style="669" customWidth="1"/>
    <col min="12813" max="12813" width="11.28515625" style="669" customWidth="1"/>
    <col min="12814" max="12814" width="9.28515625" style="669" customWidth="1"/>
    <col min="12815" max="12815" width="11.28515625" style="669" customWidth="1"/>
    <col min="12816" max="13056" width="9.140625" style="669"/>
    <col min="13057" max="13057" width="1.7109375" style="669" customWidth="1"/>
    <col min="13058" max="13058" width="16.7109375" style="669" customWidth="1"/>
    <col min="13059" max="13059" width="45.7109375" style="669" customWidth="1"/>
    <col min="13060" max="13062" width="10.7109375" style="669" customWidth="1"/>
    <col min="13063" max="13065" width="1.7109375" style="669" customWidth="1"/>
    <col min="13066" max="13066" width="9.28515625" style="669" customWidth="1"/>
    <col min="13067" max="13067" width="11.28515625" style="669" customWidth="1"/>
    <col min="13068" max="13068" width="9.28515625" style="669" customWidth="1"/>
    <col min="13069" max="13069" width="11.28515625" style="669" customWidth="1"/>
    <col min="13070" max="13070" width="9.28515625" style="669" customWidth="1"/>
    <col min="13071" max="13071" width="11.28515625" style="669" customWidth="1"/>
    <col min="13072" max="13312" width="9.140625" style="669"/>
    <col min="13313" max="13313" width="1.7109375" style="669" customWidth="1"/>
    <col min="13314" max="13314" width="16.7109375" style="669" customWidth="1"/>
    <col min="13315" max="13315" width="45.7109375" style="669" customWidth="1"/>
    <col min="13316" max="13318" width="10.7109375" style="669" customWidth="1"/>
    <col min="13319" max="13321" width="1.7109375" style="669" customWidth="1"/>
    <col min="13322" max="13322" width="9.28515625" style="669" customWidth="1"/>
    <col min="13323" max="13323" width="11.28515625" style="669" customWidth="1"/>
    <col min="13324" max="13324" width="9.28515625" style="669" customWidth="1"/>
    <col min="13325" max="13325" width="11.28515625" style="669" customWidth="1"/>
    <col min="13326" max="13326" width="9.28515625" style="669" customWidth="1"/>
    <col min="13327" max="13327" width="11.28515625" style="669" customWidth="1"/>
    <col min="13328" max="13568" width="9.140625" style="669"/>
    <col min="13569" max="13569" width="1.7109375" style="669" customWidth="1"/>
    <col min="13570" max="13570" width="16.7109375" style="669" customWidth="1"/>
    <col min="13571" max="13571" width="45.7109375" style="669" customWidth="1"/>
    <col min="13572" max="13574" width="10.7109375" style="669" customWidth="1"/>
    <col min="13575" max="13577" width="1.7109375" style="669" customWidth="1"/>
    <col min="13578" max="13578" width="9.28515625" style="669" customWidth="1"/>
    <col min="13579" max="13579" width="11.28515625" style="669" customWidth="1"/>
    <col min="13580" max="13580" width="9.28515625" style="669" customWidth="1"/>
    <col min="13581" max="13581" width="11.28515625" style="669" customWidth="1"/>
    <col min="13582" max="13582" width="9.28515625" style="669" customWidth="1"/>
    <col min="13583" max="13583" width="11.28515625" style="669" customWidth="1"/>
    <col min="13584" max="13824" width="9.140625" style="669"/>
    <col min="13825" max="13825" width="1.7109375" style="669" customWidth="1"/>
    <col min="13826" max="13826" width="16.7109375" style="669" customWidth="1"/>
    <col min="13827" max="13827" width="45.7109375" style="669" customWidth="1"/>
    <col min="13828" max="13830" width="10.7109375" style="669" customWidth="1"/>
    <col min="13831" max="13833" width="1.7109375" style="669" customWidth="1"/>
    <col min="13834" max="13834" width="9.28515625" style="669" customWidth="1"/>
    <col min="13835" max="13835" width="11.28515625" style="669" customWidth="1"/>
    <col min="13836" max="13836" width="9.28515625" style="669" customWidth="1"/>
    <col min="13837" max="13837" width="11.28515625" style="669" customWidth="1"/>
    <col min="13838" max="13838" width="9.28515625" style="669" customWidth="1"/>
    <col min="13839" max="13839" width="11.28515625" style="669" customWidth="1"/>
    <col min="13840" max="14080" width="9.140625" style="669"/>
    <col min="14081" max="14081" width="1.7109375" style="669" customWidth="1"/>
    <col min="14082" max="14082" width="16.7109375" style="669" customWidth="1"/>
    <col min="14083" max="14083" width="45.7109375" style="669" customWidth="1"/>
    <col min="14084" max="14086" width="10.7109375" style="669" customWidth="1"/>
    <col min="14087" max="14089" width="1.7109375" style="669" customWidth="1"/>
    <col min="14090" max="14090" width="9.28515625" style="669" customWidth="1"/>
    <col min="14091" max="14091" width="11.28515625" style="669" customWidth="1"/>
    <col min="14092" max="14092" width="9.28515625" style="669" customWidth="1"/>
    <col min="14093" max="14093" width="11.28515625" style="669" customWidth="1"/>
    <col min="14094" max="14094" width="9.28515625" style="669" customWidth="1"/>
    <col min="14095" max="14095" width="11.28515625" style="669" customWidth="1"/>
    <col min="14096" max="14336" width="9.140625" style="669"/>
    <col min="14337" max="14337" width="1.7109375" style="669" customWidth="1"/>
    <col min="14338" max="14338" width="16.7109375" style="669" customWidth="1"/>
    <col min="14339" max="14339" width="45.7109375" style="669" customWidth="1"/>
    <col min="14340" max="14342" width="10.7109375" style="669" customWidth="1"/>
    <col min="14343" max="14345" width="1.7109375" style="669" customWidth="1"/>
    <col min="14346" max="14346" width="9.28515625" style="669" customWidth="1"/>
    <col min="14347" max="14347" width="11.28515625" style="669" customWidth="1"/>
    <col min="14348" max="14348" width="9.28515625" style="669" customWidth="1"/>
    <col min="14349" max="14349" width="11.28515625" style="669" customWidth="1"/>
    <col min="14350" max="14350" width="9.28515625" style="669" customWidth="1"/>
    <col min="14351" max="14351" width="11.28515625" style="669" customWidth="1"/>
    <col min="14352" max="14592" width="9.140625" style="669"/>
    <col min="14593" max="14593" width="1.7109375" style="669" customWidth="1"/>
    <col min="14594" max="14594" width="16.7109375" style="669" customWidth="1"/>
    <col min="14595" max="14595" width="45.7109375" style="669" customWidth="1"/>
    <col min="14596" max="14598" width="10.7109375" style="669" customWidth="1"/>
    <col min="14599" max="14601" width="1.7109375" style="669" customWidth="1"/>
    <col min="14602" max="14602" width="9.28515625" style="669" customWidth="1"/>
    <col min="14603" max="14603" width="11.28515625" style="669" customWidth="1"/>
    <col min="14604" max="14604" width="9.28515625" style="669" customWidth="1"/>
    <col min="14605" max="14605" width="11.28515625" style="669" customWidth="1"/>
    <col min="14606" max="14606" width="9.28515625" style="669" customWidth="1"/>
    <col min="14607" max="14607" width="11.28515625" style="669" customWidth="1"/>
    <col min="14608" max="14848" width="9.140625" style="669"/>
    <col min="14849" max="14849" width="1.7109375" style="669" customWidth="1"/>
    <col min="14850" max="14850" width="16.7109375" style="669" customWidth="1"/>
    <col min="14851" max="14851" width="45.7109375" style="669" customWidth="1"/>
    <col min="14852" max="14854" width="10.7109375" style="669" customWidth="1"/>
    <col min="14855" max="14857" width="1.7109375" style="669" customWidth="1"/>
    <col min="14858" max="14858" width="9.28515625" style="669" customWidth="1"/>
    <col min="14859" max="14859" width="11.28515625" style="669" customWidth="1"/>
    <col min="14860" max="14860" width="9.28515625" style="669" customWidth="1"/>
    <col min="14861" max="14861" width="11.28515625" style="669" customWidth="1"/>
    <col min="14862" max="14862" width="9.28515625" style="669" customWidth="1"/>
    <col min="14863" max="14863" width="11.28515625" style="669" customWidth="1"/>
    <col min="14864" max="15104" width="9.140625" style="669"/>
    <col min="15105" max="15105" width="1.7109375" style="669" customWidth="1"/>
    <col min="15106" max="15106" width="16.7109375" style="669" customWidth="1"/>
    <col min="15107" max="15107" width="45.7109375" style="669" customWidth="1"/>
    <col min="15108" max="15110" width="10.7109375" style="669" customWidth="1"/>
    <col min="15111" max="15113" width="1.7109375" style="669" customWidth="1"/>
    <col min="15114" max="15114" width="9.28515625" style="669" customWidth="1"/>
    <col min="15115" max="15115" width="11.28515625" style="669" customWidth="1"/>
    <col min="15116" max="15116" width="9.28515625" style="669" customWidth="1"/>
    <col min="15117" max="15117" width="11.28515625" style="669" customWidth="1"/>
    <col min="15118" max="15118" width="9.28515625" style="669" customWidth="1"/>
    <col min="15119" max="15119" width="11.28515625" style="669" customWidth="1"/>
    <col min="15120" max="15360" width="9.140625" style="669"/>
    <col min="15361" max="15361" width="1.7109375" style="669" customWidth="1"/>
    <col min="15362" max="15362" width="16.7109375" style="669" customWidth="1"/>
    <col min="15363" max="15363" width="45.7109375" style="669" customWidth="1"/>
    <col min="15364" max="15366" width="10.7109375" style="669" customWidth="1"/>
    <col min="15367" max="15369" width="1.7109375" style="669" customWidth="1"/>
    <col min="15370" max="15370" width="9.28515625" style="669" customWidth="1"/>
    <col min="15371" max="15371" width="11.28515625" style="669" customWidth="1"/>
    <col min="15372" max="15372" width="9.28515625" style="669" customWidth="1"/>
    <col min="15373" max="15373" width="11.28515625" style="669" customWidth="1"/>
    <col min="15374" max="15374" width="9.28515625" style="669" customWidth="1"/>
    <col min="15375" max="15375" width="11.28515625" style="669" customWidth="1"/>
    <col min="15376" max="15616" width="9.140625" style="669"/>
    <col min="15617" max="15617" width="1.7109375" style="669" customWidth="1"/>
    <col min="15618" max="15618" width="16.7109375" style="669" customWidth="1"/>
    <col min="15619" max="15619" width="45.7109375" style="669" customWidth="1"/>
    <col min="15620" max="15622" width="10.7109375" style="669" customWidth="1"/>
    <col min="15623" max="15625" width="1.7109375" style="669" customWidth="1"/>
    <col min="15626" max="15626" width="9.28515625" style="669" customWidth="1"/>
    <col min="15627" max="15627" width="11.28515625" style="669" customWidth="1"/>
    <col min="15628" max="15628" width="9.28515625" style="669" customWidth="1"/>
    <col min="15629" max="15629" width="11.28515625" style="669" customWidth="1"/>
    <col min="15630" max="15630" width="9.28515625" style="669" customWidth="1"/>
    <col min="15631" max="15631" width="11.28515625" style="669" customWidth="1"/>
    <col min="15632" max="15872" width="9.140625" style="669"/>
    <col min="15873" max="15873" width="1.7109375" style="669" customWidth="1"/>
    <col min="15874" max="15874" width="16.7109375" style="669" customWidth="1"/>
    <col min="15875" max="15875" width="45.7109375" style="669" customWidth="1"/>
    <col min="15876" max="15878" width="10.7109375" style="669" customWidth="1"/>
    <col min="15879" max="15881" width="1.7109375" style="669" customWidth="1"/>
    <col min="15882" max="15882" width="9.28515625" style="669" customWidth="1"/>
    <col min="15883" max="15883" width="11.28515625" style="669" customWidth="1"/>
    <col min="15884" max="15884" width="9.28515625" style="669" customWidth="1"/>
    <col min="15885" max="15885" width="11.28515625" style="669" customWidth="1"/>
    <col min="15886" max="15886" width="9.28515625" style="669" customWidth="1"/>
    <col min="15887" max="15887" width="11.28515625" style="669" customWidth="1"/>
    <col min="15888" max="16128" width="9.140625" style="669"/>
    <col min="16129" max="16129" width="1.7109375" style="669" customWidth="1"/>
    <col min="16130" max="16130" width="16.7109375" style="669" customWidth="1"/>
    <col min="16131" max="16131" width="45.7109375" style="669" customWidth="1"/>
    <col min="16132" max="16134" width="10.7109375" style="669" customWidth="1"/>
    <col min="16135" max="16137" width="1.7109375" style="669" customWidth="1"/>
    <col min="16138" max="16138" width="9.28515625" style="669" customWidth="1"/>
    <col min="16139" max="16139" width="11.28515625" style="669" customWidth="1"/>
    <col min="16140" max="16140" width="9.28515625" style="669" customWidth="1"/>
    <col min="16141" max="16141" width="11.28515625" style="669" customWidth="1"/>
    <col min="16142" max="16142" width="9.28515625" style="669" customWidth="1"/>
    <col min="16143" max="16143" width="11.28515625" style="669" customWidth="1"/>
    <col min="16144" max="16384" width="9.140625" style="669"/>
  </cols>
  <sheetData>
    <row r="1" spans="2:15" ht="12.75" customHeight="1">
      <c r="B1" s="969" t="s">
        <v>535</v>
      </c>
      <c r="C1" s="969"/>
      <c r="D1" s="969"/>
      <c r="E1" s="969"/>
      <c r="F1" s="969"/>
      <c r="G1" s="969"/>
      <c r="H1" s="969"/>
      <c r="I1" s="969"/>
      <c r="J1" s="969"/>
      <c r="K1" s="985" t="s">
        <v>45</v>
      </c>
      <c r="L1" s="1107"/>
      <c r="M1" s="72"/>
      <c r="N1" s="72"/>
      <c r="O1" s="72"/>
    </row>
    <row r="2" spans="2:15" ht="12.75" customHeight="1">
      <c r="B2" s="969"/>
      <c r="C2" s="969"/>
      <c r="D2" s="969"/>
      <c r="E2" s="969"/>
      <c r="F2" s="969"/>
      <c r="G2" s="969"/>
      <c r="H2" s="969"/>
      <c r="I2" s="969"/>
      <c r="J2" s="969"/>
      <c r="K2" s="1107"/>
      <c r="L2" s="1107"/>
      <c r="O2" s="72"/>
    </row>
    <row r="3" spans="2:15" ht="12.75" customHeight="1">
      <c r="B3" s="1044" t="s">
        <v>493</v>
      </c>
      <c r="C3" s="1044"/>
      <c r="D3" s="1044"/>
      <c r="E3" s="1044"/>
      <c r="F3" s="1044"/>
      <c r="G3" s="1044"/>
      <c r="H3" s="1044"/>
      <c r="I3" s="1044"/>
      <c r="J3" s="665"/>
      <c r="K3" s="673"/>
      <c r="L3" s="673"/>
      <c r="O3" s="72"/>
    </row>
    <row r="4" spans="2:15" ht="12.75" customHeight="1">
      <c r="B4" s="1044"/>
      <c r="C4" s="1044"/>
      <c r="D4" s="1044"/>
      <c r="E4" s="1044"/>
      <c r="F4" s="1044"/>
      <c r="G4" s="1044"/>
      <c r="H4" s="1044"/>
      <c r="I4" s="1044"/>
      <c r="J4" s="665"/>
      <c r="K4" s="673"/>
      <c r="L4" s="673"/>
      <c r="O4" s="72"/>
    </row>
    <row r="5" spans="2:15">
      <c r="B5" s="1044"/>
      <c r="C5" s="1044"/>
      <c r="D5" s="1044"/>
      <c r="E5" s="1044"/>
      <c r="F5" s="1044"/>
      <c r="G5" s="1044"/>
      <c r="H5" s="1044"/>
      <c r="I5" s="1044"/>
      <c r="J5" s="280"/>
      <c r="K5" s="280"/>
      <c r="L5" s="280"/>
      <c r="M5" s="280"/>
      <c r="N5" s="280"/>
    </row>
    <row r="31" spans="2:10">
      <c r="B31" s="661"/>
      <c r="C31" s="661"/>
      <c r="D31" s="661"/>
      <c r="E31" s="661"/>
      <c r="F31" s="661"/>
      <c r="G31" s="661"/>
      <c r="H31" s="661"/>
      <c r="I31" s="661"/>
      <c r="J31" s="661"/>
    </row>
    <row r="32" spans="2:10">
      <c r="D32" s="34"/>
      <c r="E32" s="34"/>
      <c r="F32" s="34"/>
      <c r="G32" s="34"/>
      <c r="H32" s="34"/>
    </row>
    <row r="33" spans="1:19">
      <c r="D33" s="34"/>
      <c r="E33" s="34"/>
      <c r="F33" s="34"/>
      <c r="G33" s="34"/>
      <c r="H33" s="34"/>
    </row>
    <row r="34" spans="1:19">
      <c r="B34" s="78"/>
      <c r="C34" s="78"/>
      <c r="D34" s="78"/>
      <c r="E34" s="78"/>
      <c r="F34" s="78"/>
      <c r="G34" s="78"/>
      <c r="H34" s="78"/>
      <c r="I34" s="78"/>
      <c r="J34" s="78"/>
    </row>
    <row r="35" spans="1:19">
      <c r="B35" s="77" t="s">
        <v>536</v>
      </c>
      <c r="C35" s="662"/>
      <c r="D35" s="662"/>
      <c r="E35" s="662"/>
      <c r="F35" s="662"/>
      <c r="G35" s="662"/>
      <c r="H35" s="662"/>
      <c r="I35" s="662"/>
      <c r="J35" s="662"/>
    </row>
    <row r="36" spans="1:19" ht="24.75" customHeight="1">
      <c r="B36" s="1108" t="s">
        <v>564</v>
      </c>
      <c r="C36" s="971"/>
      <c r="D36" s="971"/>
      <c r="E36" s="971"/>
      <c r="F36" s="971"/>
      <c r="G36" s="971"/>
      <c r="H36" s="971"/>
      <c r="I36" s="971"/>
      <c r="J36" s="971"/>
      <c r="K36" s="971"/>
      <c r="L36" s="971"/>
    </row>
    <row r="37" spans="1:19">
      <c r="B37" s="50" t="s">
        <v>1</v>
      </c>
      <c r="C37" s="662"/>
      <c r="D37" s="662"/>
      <c r="E37" s="662"/>
      <c r="F37" s="662"/>
      <c r="G37" s="662"/>
      <c r="H37" s="662"/>
      <c r="I37" s="662"/>
      <c r="J37" s="662"/>
      <c r="K37" s="208"/>
      <c r="L37" s="208"/>
    </row>
    <row r="38" spans="1:19" ht="15">
      <c r="B38" s="1108" t="s">
        <v>456</v>
      </c>
      <c r="C38" s="1109"/>
      <c r="D38" s="1109"/>
      <c r="E38" s="1109"/>
      <c r="F38" s="1109"/>
      <c r="G38" s="1109"/>
      <c r="H38" s="1109"/>
      <c r="I38" s="1109"/>
      <c r="J38" s="1109"/>
      <c r="K38" s="1109"/>
      <c r="L38" s="1109"/>
    </row>
    <row r="39" spans="1:19" ht="24.95" customHeight="1">
      <c r="B39" s="1106" t="s">
        <v>2</v>
      </c>
      <c r="C39" s="1106"/>
      <c r="D39" s="1106"/>
      <c r="E39" s="1106"/>
      <c r="F39" s="1106"/>
      <c r="G39" s="1106"/>
      <c r="H39" s="1106"/>
      <c r="I39" s="1106"/>
      <c r="J39" s="1106"/>
      <c r="K39" s="1106"/>
      <c r="L39" s="1106"/>
    </row>
    <row r="40" spans="1:19" ht="24.95" customHeight="1">
      <c r="B40" s="1106" t="s">
        <v>6</v>
      </c>
      <c r="C40" s="1106"/>
      <c r="D40" s="1106"/>
      <c r="E40" s="1106"/>
      <c r="F40" s="1106"/>
      <c r="G40" s="1106"/>
      <c r="H40" s="1106"/>
      <c r="I40" s="1106"/>
      <c r="J40" s="1106"/>
      <c r="K40" s="1106"/>
      <c r="L40" s="1106"/>
    </row>
    <row r="41" spans="1:19" ht="24.95" customHeight="1">
      <c r="B41" s="1106" t="s">
        <v>565</v>
      </c>
      <c r="C41" s="1106"/>
      <c r="D41" s="1106"/>
      <c r="E41" s="1106"/>
      <c r="F41" s="1106"/>
      <c r="G41" s="1106"/>
      <c r="H41" s="1106"/>
      <c r="I41" s="1106"/>
      <c r="J41" s="1106"/>
      <c r="K41" s="1106"/>
      <c r="L41" s="1106"/>
    </row>
    <row r="42" spans="1:19" ht="24.95" customHeight="1">
      <c r="B42" s="1106"/>
      <c r="C42" s="1106"/>
      <c r="D42" s="1106"/>
      <c r="E42" s="1106"/>
      <c r="F42" s="1106"/>
      <c r="G42" s="1106"/>
      <c r="H42" s="1106"/>
      <c r="I42" s="1106"/>
      <c r="J42" s="1106"/>
      <c r="K42" s="1106"/>
      <c r="L42" s="1106"/>
    </row>
    <row r="43" spans="1:19">
      <c r="B43" s="972" t="s">
        <v>580</v>
      </c>
      <c r="C43" s="972"/>
      <c r="D43" s="972"/>
      <c r="E43" s="972"/>
      <c r="F43" s="972"/>
      <c r="G43" s="972"/>
      <c r="H43" s="972"/>
      <c r="I43" s="972"/>
      <c r="J43" s="972"/>
      <c r="K43" s="972"/>
      <c r="L43" s="972"/>
    </row>
    <row r="44" spans="1:19" ht="26.1" customHeight="1">
      <c r="B44" s="972" t="s">
        <v>779</v>
      </c>
      <c r="C44" s="972"/>
      <c r="D44" s="972"/>
      <c r="E44" s="972"/>
      <c r="F44" s="972"/>
      <c r="G44" s="972"/>
      <c r="H44" s="972"/>
      <c r="I44" s="972"/>
      <c r="J44" s="972"/>
      <c r="K44" s="972"/>
      <c r="L44" s="972"/>
    </row>
    <row r="45" spans="1:19">
      <c r="B45" s="662"/>
      <c r="C45" s="662"/>
      <c r="D45" s="662"/>
      <c r="E45" s="662"/>
      <c r="F45" s="662"/>
      <c r="G45" s="662"/>
      <c r="H45" s="662"/>
      <c r="I45" s="662"/>
      <c r="J45" s="662"/>
    </row>
    <row r="46" spans="1:19" ht="25.5" customHeight="1">
      <c r="B46" s="1038">
        <v>2015</v>
      </c>
      <c r="C46" s="1039"/>
      <c r="D46" s="1015" t="s">
        <v>42</v>
      </c>
      <c r="E46" s="1016"/>
      <c r="F46" s="1017"/>
      <c r="G46" s="79"/>
      <c r="H46" s="79"/>
      <c r="I46" s="79"/>
      <c r="J46" s="1015" t="s">
        <v>488</v>
      </c>
      <c r="K46" s="1017"/>
      <c r="L46" s="1015" t="s">
        <v>489</v>
      </c>
      <c r="M46" s="1017"/>
      <c r="N46" s="1015" t="s">
        <v>490</v>
      </c>
      <c r="O46" s="1017"/>
      <c r="P46" s="464"/>
      <c r="Q46" s="464"/>
      <c r="R46" s="464"/>
      <c r="S46" s="464"/>
    </row>
    <row r="47" spans="1:19" ht="45" customHeight="1">
      <c r="B47" s="80" t="s">
        <v>24</v>
      </c>
      <c r="C47" s="53" t="s">
        <v>25</v>
      </c>
      <c r="D47" s="40" t="s">
        <v>491</v>
      </c>
      <c r="E47" s="40" t="s">
        <v>181</v>
      </c>
      <c r="F47" s="40" t="s">
        <v>182</v>
      </c>
      <c r="G47" s="82" t="s">
        <v>492</v>
      </c>
      <c r="H47" s="82" t="s">
        <v>3</v>
      </c>
      <c r="I47" s="82" t="s">
        <v>21</v>
      </c>
      <c r="J47" s="43" t="s">
        <v>26</v>
      </c>
      <c r="K47" s="43" t="s">
        <v>27</v>
      </c>
      <c r="L47" s="43" t="s">
        <v>26</v>
      </c>
      <c r="M47" s="43" t="s">
        <v>27</v>
      </c>
      <c r="N47" s="43" t="s">
        <v>26</v>
      </c>
      <c r="O47" s="43" t="s">
        <v>27</v>
      </c>
      <c r="P47" s="464"/>
      <c r="Q47" s="464"/>
      <c r="R47" s="464"/>
      <c r="S47" s="464"/>
    </row>
    <row r="48" spans="1:19">
      <c r="A48" s="822"/>
      <c r="B48" s="341" t="str">
        <f t="shared" ref="B48" si="0">VLOOKUP(C48,Hospitals,3,FALSE)</f>
        <v>Scotland</v>
      </c>
      <c r="C48" s="45" t="s">
        <v>280</v>
      </c>
      <c r="D48" s="46">
        <f t="shared" ref="D48:D75" si="1">IF(ISERROR(J48/K48*100),"-",J48/K48*100)</f>
        <v>9.32475884244373</v>
      </c>
      <c r="E48" s="46">
        <f t="shared" ref="E48:E75" si="2">IF(ISERROR((J48+L48)/M48*100),"-",(J48+L48)/M48*100)</f>
        <v>50.91103965702036</v>
      </c>
      <c r="F48" s="46">
        <f t="shared" ref="F48:F75" si="3">IF(ISERROR((J48+L48+N48)/O48*100),"-",(J48+L48+N48)/O48*100)</f>
        <v>65.058949624866031</v>
      </c>
      <c r="G48" s="49">
        <f t="shared" ref="G48:H48" si="4">E48-D48</f>
        <v>41.586280814576632</v>
      </c>
      <c r="H48" s="88">
        <f t="shared" si="4"/>
        <v>14.147909967845671</v>
      </c>
      <c r="I48" s="94">
        <v>80</v>
      </c>
      <c r="J48" s="409">
        <f>SUM(J49:J75)</f>
        <v>87</v>
      </c>
      <c r="K48" s="409">
        <f t="shared" ref="K48:O48" si="5">SUM(K49:K75)</f>
        <v>933</v>
      </c>
      <c r="L48" s="409">
        <f t="shared" si="5"/>
        <v>388</v>
      </c>
      <c r="M48" s="409">
        <f t="shared" si="5"/>
        <v>933</v>
      </c>
      <c r="N48" s="409">
        <f t="shared" si="5"/>
        <v>132</v>
      </c>
      <c r="O48" s="405">
        <f t="shared" si="5"/>
        <v>933</v>
      </c>
      <c r="P48" s="464" t="str">
        <f t="shared" ref="P48:P75" si="6">B48&amp;" (n="&amp;O48&amp;")"</f>
        <v>Scotland (n=933)</v>
      </c>
      <c r="Q48" s="464"/>
      <c r="R48" s="464"/>
      <c r="S48" s="464"/>
    </row>
    <row r="49" spans="1:19">
      <c r="A49" s="822"/>
      <c r="B49" s="341" t="s">
        <v>101</v>
      </c>
      <c r="C49" s="45" t="s">
        <v>102</v>
      </c>
      <c r="D49" s="46">
        <f t="shared" si="1"/>
        <v>3.8461538461538463</v>
      </c>
      <c r="E49" s="46">
        <f t="shared" si="2"/>
        <v>73.076923076923066</v>
      </c>
      <c r="F49" s="46">
        <f t="shared" si="3"/>
        <v>88.461538461538453</v>
      </c>
      <c r="G49" s="47">
        <f t="shared" ref="G49:G75" si="7">E49-D49</f>
        <v>69.230769230769226</v>
      </c>
      <c r="H49" s="84">
        <f t="shared" ref="H49:H75" si="8">F49-E49</f>
        <v>15.384615384615387</v>
      </c>
      <c r="I49" s="93">
        <v>80</v>
      </c>
      <c r="J49" s="409">
        <v>1</v>
      </c>
      <c r="K49" s="409">
        <v>26</v>
      </c>
      <c r="L49" s="409">
        <v>18</v>
      </c>
      <c r="M49" s="409">
        <v>26</v>
      </c>
      <c r="N49" s="409">
        <v>4</v>
      </c>
      <c r="O49" s="405">
        <v>26</v>
      </c>
      <c r="P49" s="464" t="str">
        <f t="shared" si="6"/>
        <v>Hairmyres (n=26)</v>
      </c>
      <c r="Q49" s="464"/>
      <c r="R49" s="464"/>
      <c r="S49" s="464"/>
    </row>
    <row r="50" spans="1:19">
      <c r="A50" s="822"/>
      <c r="B50" s="341" t="s">
        <v>175</v>
      </c>
      <c r="C50" s="45" t="s">
        <v>75</v>
      </c>
      <c r="D50" s="46">
        <f t="shared" si="1"/>
        <v>21.710526315789476</v>
      </c>
      <c r="E50" s="46">
        <f t="shared" si="2"/>
        <v>75.657894736842096</v>
      </c>
      <c r="F50" s="46">
        <f t="shared" si="3"/>
        <v>84.210526315789465</v>
      </c>
      <c r="G50" s="47">
        <f t="shared" si="7"/>
        <v>53.947368421052616</v>
      </c>
      <c r="H50" s="84">
        <f t="shared" si="8"/>
        <v>8.5526315789473699</v>
      </c>
      <c r="I50" s="93">
        <v>80</v>
      </c>
      <c r="J50" s="409">
        <v>33</v>
      </c>
      <c r="K50" s="409">
        <v>152</v>
      </c>
      <c r="L50" s="409">
        <v>82</v>
      </c>
      <c r="M50" s="409">
        <v>152</v>
      </c>
      <c r="N50" s="409">
        <v>13</v>
      </c>
      <c r="O50" s="405">
        <v>152</v>
      </c>
      <c r="P50" s="464" t="str">
        <f t="shared" si="6"/>
        <v>ARI (n=152)</v>
      </c>
      <c r="Q50" s="464"/>
      <c r="R50" s="464"/>
      <c r="S50" s="464"/>
    </row>
    <row r="51" spans="1:19">
      <c r="A51" s="822"/>
      <c r="B51" s="341" t="s">
        <v>60</v>
      </c>
      <c r="C51" s="45" t="s">
        <v>61</v>
      </c>
      <c r="D51" s="46">
        <f t="shared" si="1"/>
        <v>3.225806451612903</v>
      </c>
      <c r="E51" s="46">
        <f t="shared" si="2"/>
        <v>70.967741935483872</v>
      </c>
      <c r="F51" s="46">
        <f t="shared" si="3"/>
        <v>83.870967741935488</v>
      </c>
      <c r="G51" s="48">
        <f t="shared" si="7"/>
        <v>67.741935483870975</v>
      </c>
      <c r="H51" s="85">
        <f t="shared" si="8"/>
        <v>12.903225806451616</v>
      </c>
      <c r="I51" s="93">
        <v>80</v>
      </c>
      <c r="J51" s="409">
        <v>1</v>
      </c>
      <c r="K51" s="409">
        <v>31</v>
      </c>
      <c r="L51" s="409">
        <v>21</v>
      </c>
      <c r="M51" s="409">
        <v>31</v>
      </c>
      <c r="N51" s="409">
        <v>4</v>
      </c>
      <c r="O51" s="405">
        <v>31</v>
      </c>
      <c r="P51" s="464" t="str">
        <f t="shared" si="6"/>
        <v>Crosshouse (n=31)</v>
      </c>
      <c r="Q51" s="464"/>
      <c r="R51" s="464"/>
      <c r="S51" s="464"/>
    </row>
    <row r="52" spans="1:19">
      <c r="A52" s="822"/>
      <c r="B52" s="341" t="s">
        <v>109</v>
      </c>
      <c r="C52" s="45" t="s">
        <v>110</v>
      </c>
      <c r="D52" s="46">
        <f t="shared" si="1"/>
        <v>12.941176470588237</v>
      </c>
      <c r="E52" s="46">
        <f t="shared" si="2"/>
        <v>71.764705882352942</v>
      </c>
      <c r="F52" s="46">
        <f t="shared" si="3"/>
        <v>78.82352941176471</v>
      </c>
      <c r="G52" s="48">
        <f t="shared" si="7"/>
        <v>58.823529411764703</v>
      </c>
      <c r="H52" s="85">
        <f t="shared" si="8"/>
        <v>7.058823529411768</v>
      </c>
      <c r="I52" s="93">
        <v>80</v>
      </c>
      <c r="J52" s="409">
        <v>11</v>
      </c>
      <c r="K52" s="409">
        <v>85</v>
      </c>
      <c r="L52" s="409">
        <v>50</v>
      </c>
      <c r="M52" s="409">
        <v>85</v>
      </c>
      <c r="N52" s="409">
        <v>6</v>
      </c>
      <c r="O52" s="405">
        <v>85</v>
      </c>
      <c r="P52" s="464" t="str">
        <f t="shared" si="6"/>
        <v>RIE (n=85)</v>
      </c>
      <c r="Q52" s="464"/>
      <c r="R52" s="464"/>
      <c r="S52" s="464"/>
    </row>
    <row r="53" spans="1:19">
      <c r="A53" s="822"/>
      <c r="B53" s="341" t="s">
        <v>112</v>
      </c>
      <c r="C53" s="45" t="s">
        <v>113</v>
      </c>
      <c r="D53" s="46">
        <f t="shared" si="1"/>
        <v>3.8461538461538463</v>
      </c>
      <c r="E53" s="46">
        <f t="shared" si="2"/>
        <v>65.384615384615387</v>
      </c>
      <c r="F53" s="46">
        <f t="shared" si="3"/>
        <v>76.923076923076934</v>
      </c>
      <c r="G53" s="48">
        <f t="shared" si="7"/>
        <v>61.53846153846154</v>
      </c>
      <c r="H53" s="85">
        <f t="shared" si="8"/>
        <v>11.538461538461547</v>
      </c>
      <c r="I53" s="93">
        <v>80</v>
      </c>
      <c r="J53" s="409">
        <v>1</v>
      </c>
      <c r="K53" s="409">
        <v>26</v>
      </c>
      <c r="L53" s="409">
        <v>16</v>
      </c>
      <c r="M53" s="409">
        <v>26</v>
      </c>
      <c r="N53" s="409">
        <v>3</v>
      </c>
      <c r="O53" s="405">
        <v>26</v>
      </c>
      <c r="P53" s="464" t="str">
        <f t="shared" si="6"/>
        <v>SJH (n=26)</v>
      </c>
      <c r="Q53" s="464"/>
      <c r="R53" s="464"/>
      <c r="S53" s="464"/>
    </row>
    <row r="54" spans="1:19">
      <c r="A54" s="822"/>
      <c r="B54" s="341" t="s">
        <v>107</v>
      </c>
      <c r="C54" s="45" t="s">
        <v>106</v>
      </c>
      <c r="D54" s="46">
        <f t="shared" si="1"/>
        <v>12.76595744680851</v>
      </c>
      <c r="E54" s="46">
        <f t="shared" si="2"/>
        <v>65.957446808510639</v>
      </c>
      <c r="F54" s="46">
        <f t="shared" si="3"/>
        <v>76.59574468085107</v>
      </c>
      <c r="G54" s="48">
        <f t="shared" si="7"/>
        <v>53.191489361702125</v>
      </c>
      <c r="H54" s="85">
        <f t="shared" si="8"/>
        <v>10.638297872340431</v>
      </c>
      <c r="I54" s="93">
        <v>80</v>
      </c>
      <c r="J54" s="409">
        <v>6</v>
      </c>
      <c r="K54" s="409">
        <v>47</v>
      </c>
      <c r="L54" s="409">
        <v>25</v>
      </c>
      <c r="M54" s="409">
        <v>47</v>
      </c>
      <c r="N54" s="409">
        <v>5</v>
      </c>
      <c r="O54" s="405">
        <v>47</v>
      </c>
      <c r="P54" s="464" t="str">
        <f t="shared" si="6"/>
        <v>Wishaw (n=47)</v>
      </c>
      <c r="Q54" s="464"/>
      <c r="R54" s="464"/>
      <c r="S54" s="464"/>
    </row>
    <row r="55" spans="1:19">
      <c r="A55" s="822"/>
      <c r="B55" s="341" t="s">
        <v>104</v>
      </c>
      <c r="C55" s="45" t="s">
        <v>105</v>
      </c>
      <c r="D55" s="46">
        <f t="shared" si="1"/>
        <v>10.256410256410255</v>
      </c>
      <c r="E55" s="46">
        <f t="shared" si="2"/>
        <v>58.974358974358978</v>
      </c>
      <c r="F55" s="46">
        <f t="shared" si="3"/>
        <v>74.358974358974365</v>
      </c>
      <c r="G55" s="48">
        <f t="shared" si="7"/>
        <v>48.717948717948723</v>
      </c>
      <c r="H55" s="85">
        <f t="shared" si="8"/>
        <v>15.384615384615387</v>
      </c>
      <c r="I55" s="93">
        <v>80</v>
      </c>
      <c r="J55" s="409">
        <v>4</v>
      </c>
      <c r="K55" s="409">
        <v>39</v>
      </c>
      <c r="L55" s="409">
        <v>19</v>
      </c>
      <c r="M55" s="409">
        <v>39</v>
      </c>
      <c r="N55" s="409">
        <v>6</v>
      </c>
      <c r="O55" s="405">
        <v>39</v>
      </c>
      <c r="P55" s="464" t="str">
        <f t="shared" si="6"/>
        <v>Monklands (n=39)</v>
      </c>
      <c r="Q55" s="464"/>
      <c r="R55" s="464"/>
      <c r="S55" s="464"/>
    </row>
    <row r="56" spans="1:19">
      <c r="A56" s="822"/>
      <c r="B56" s="341" t="s">
        <v>124</v>
      </c>
      <c r="C56" s="45" t="s">
        <v>125</v>
      </c>
      <c r="D56" s="46">
        <f t="shared" si="1"/>
        <v>7.6923076923076925</v>
      </c>
      <c r="E56" s="46">
        <f t="shared" si="2"/>
        <v>63.46153846153846</v>
      </c>
      <c r="F56" s="46">
        <f t="shared" si="3"/>
        <v>73.076923076923066</v>
      </c>
      <c r="G56" s="48">
        <f t="shared" si="7"/>
        <v>55.769230769230766</v>
      </c>
      <c r="H56" s="85">
        <f t="shared" si="8"/>
        <v>9.6153846153846061</v>
      </c>
      <c r="I56" s="93">
        <v>80</v>
      </c>
      <c r="J56" s="409">
        <v>4</v>
      </c>
      <c r="K56" s="409">
        <v>52</v>
      </c>
      <c r="L56" s="409">
        <v>29</v>
      </c>
      <c r="M56" s="409">
        <v>52</v>
      </c>
      <c r="N56" s="409">
        <v>5</v>
      </c>
      <c r="O56" s="405">
        <v>52</v>
      </c>
      <c r="P56" s="464" t="str">
        <f t="shared" si="6"/>
        <v>Ninewells (n=52)</v>
      </c>
      <c r="Q56" s="464"/>
      <c r="R56" s="464"/>
      <c r="S56" s="464"/>
    </row>
    <row r="57" spans="1:19">
      <c r="A57" s="822"/>
      <c r="B57" s="341" t="s">
        <v>58</v>
      </c>
      <c r="C57" s="341" t="s">
        <v>57</v>
      </c>
      <c r="D57" s="46">
        <f t="shared" si="1"/>
        <v>0</v>
      </c>
      <c r="E57" s="46">
        <f t="shared" si="2"/>
        <v>54.54545454545454</v>
      </c>
      <c r="F57" s="46">
        <f t="shared" si="3"/>
        <v>72.727272727272734</v>
      </c>
      <c r="G57" s="48">
        <f t="shared" si="7"/>
        <v>54.54545454545454</v>
      </c>
      <c r="H57" s="85">
        <f t="shared" si="8"/>
        <v>18.181818181818194</v>
      </c>
      <c r="I57" s="93">
        <v>80</v>
      </c>
      <c r="J57" s="409">
        <v>0</v>
      </c>
      <c r="K57" s="409">
        <v>11</v>
      </c>
      <c r="L57" s="409">
        <v>6</v>
      </c>
      <c r="M57" s="409">
        <v>11</v>
      </c>
      <c r="N57" s="409">
        <v>2</v>
      </c>
      <c r="O57" s="405">
        <v>11</v>
      </c>
      <c r="P57" s="464" t="str">
        <f t="shared" si="6"/>
        <v>Ayr (n=11)</v>
      </c>
      <c r="Q57" s="464"/>
      <c r="R57" s="464"/>
      <c r="S57" s="464"/>
    </row>
    <row r="58" spans="1:19">
      <c r="A58" s="822"/>
      <c r="B58" s="341" t="s">
        <v>65</v>
      </c>
      <c r="C58" s="45" t="s">
        <v>66</v>
      </c>
      <c r="D58" s="46">
        <f t="shared" si="1"/>
        <v>19.230769230769234</v>
      </c>
      <c r="E58" s="46">
        <f t="shared" si="2"/>
        <v>50</v>
      </c>
      <c r="F58" s="46">
        <f t="shared" si="3"/>
        <v>65.384615384615387</v>
      </c>
      <c r="G58" s="48">
        <f t="shared" si="7"/>
        <v>30.769230769230766</v>
      </c>
      <c r="H58" s="85">
        <f t="shared" si="8"/>
        <v>15.384615384615387</v>
      </c>
      <c r="I58" s="93">
        <v>80</v>
      </c>
      <c r="J58" s="409">
        <v>5</v>
      </c>
      <c r="K58" s="409">
        <v>26</v>
      </c>
      <c r="L58" s="409">
        <v>8</v>
      </c>
      <c r="M58" s="409">
        <v>26</v>
      </c>
      <c r="N58" s="409">
        <v>4</v>
      </c>
      <c r="O58" s="405">
        <v>26</v>
      </c>
      <c r="P58" s="464" t="str">
        <f t="shared" si="6"/>
        <v>DGRI (n=26)</v>
      </c>
      <c r="Q58" s="464"/>
      <c r="R58" s="464"/>
      <c r="S58" s="464"/>
    </row>
    <row r="59" spans="1:19">
      <c r="A59" s="822"/>
      <c r="B59" s="341" t="s">
        <v>127</v>
      </c>
      <c r="C59" s="45" t="s">
        <v>128</v>
      </c>
      <c r="D59" s="46">
        <f t="shared" si="1"/>
        <v>11.538461538461538</v>
      </c>
      <c r="E59" s="46">
        <f t="shared" si="2"/>
        <v>53.846153846153847</v>
      </c>
      <c r="F59" s="46">
        <f t="shared" si="3"/>
        <v>65.384615384615387</v>
      </c>
      <c r="G59" s="48">
        <f t="shared" si="7"/>
        <v>42.307692307692307</v>
      </c>
      <c r="H59" s="85">
        <f t="shared" si="8"/>
        <v>11.53846153846154</v>
      </c>
      <c r="I59" s="93">
        <v>80</v>
      </c>
      <c r="J59" s="409">
        <v>3</v>
      </c>
      <c r="K59" s="409">
        <v>26</v>
      </c>
      <c r="L59" s="409">
        <v>11</v>
      </c>
      <c r="M59" s="409">
        <v>26</v>
      </c>
      <c r="N59" s="409">
        <v>3</v>
      </c>
      <c r="O59" s="405">
        <v>26</v>
      </c>
      <c r="P59" s="464" t="str">
        <f t="shared" si="6"/>
        <v>PRI (n=26)</v>
      </c>
      <c r="Q59" s="464"/>
      <c r="R59" s="464"/>
      <c r="S59" s="464"/>
    </row>
    <row r="60" spans="1:19">
      <c r="A60" s="822"/>
      <c r="B60" s="341" t="s">
        <v>174</v>
      </c>
      <c r="C60" s="45" t="s">
        <v>71</v>
      </c>
      <c r="D60" s="46">
        <f t="shared" si="1"/>
        <v>5.2631578947368416</v>
      </c>
      <c r="E60" s="46">
        <f t="shared" si="2"/>
        <v>49.122807017543856</v>
      </c>
      <c r="F60" s="46">
        <f t="shared" si="3"/>
        <v>64.912280701754383</v>
      </c>
      <c r="G60" s="48">
        <f t="shared" si="7"/>
        <v>43.859649122807014</v>
      </c>
      <c r="H60" s="85">
        <f t="shared" si="8"/>
        <v>15.789473684210527</v>
      </c>
      <c r="I60" s="93">
        <v>80</v>
      </c>
      <c r="J60" s="409">
        <v>3</v>
      </c>
      <c r="K60" s="409">
        <v>57</v>
      </c>
      <c r="L60" s="409">
        <v>25</v>
      </c>
      <c r="M60" s="409">
        <v>57</v>
      </c>
      <c r="N60" s="409">
        <v>9</v>
      </c>
      <c r="O60" s="405">
        <v>57</v>
      </c>
      <c r="P60" s="464" t="str">
        <f t="shared" si="6"/>
        <v>VHK (n=57)</v>
      </c>
      <c r="Q60" s="464"/>
      <c r="R60" s="464"/>
      <c r="S60" s="464"/>
    </row>
    <row r="61" spans="1:19">
      <c r="A61" s="822"/>
      <c r="B61" s="341" t="s">
        <v>37</v>
      </c>
      <c r="C61" s="45" t="s">
        <v>133</v>
      </c>
      <c r="D61" s="46">
        <f t="shared" si="1"/>
        <v>0</v>
      </c>
      <c r="E61" s="46">
        <f t="shared" si="2"/>
        <v>50</v>
      </c>
      <c r="F61" s="46">
        <f t="shared" si="3"/>
        <v>62.5</v>
      </c>
      <c r="G61" s="828">
        <f t="shared" si="7"/>
        <v>50</v>
      </c>
      <c r="H61" s="829">
        <f t="shared" si="8"/>
        <v>12.5</v>
      </c>
      <c r="I61" s="342">
        <v>80</v>
      </c>
      <c r="J61" s="409">
        <v>0</v>
      </c>
      <c r="K61" s="409">
        <v>8</v>
      </c>
      <c r="L61" s="409">
        <v>4</v>
      </c>
      <c r="M61" s="409">
        <v>8</v>
      </c>
      <c r="N61" s="409">
        <v>1</v>
      </c>
      <c r="O61" s="405">
        <v>8</v>
      </c>
      <c r="P61" s="464" t="str">
        <f t="shared" si="6"/>
        <v>Western Isles (n=8)</v>
      </c>
      <c r="Q61" s="464"/>
      <c r="R61" s="464"/>
      <c r="S61" s="464"/>
    </row>
    <row r="62" spans="1:19">
      <c r="A62" s="822"/>
      <c r="B62" s="341" t="s">
        <v>92</v>
      </c>
      <c r="C62" s="45" t="s">
        <v>93</v>
      </c>
      <c r="D62" s="46">
        <f t="shared" si="1"/>
        <v>0</v>
      </c>
      <c r="E62" s="46">
        <f t="shared" si="2"/>
        <v>27.27272727272727</v>
      </c>
      <c r="F62" s="46">
        <f t="shared" si="3"/>
        <v>54.54545454545454</v>
      </c>
      <c r="G62" s="48">
        <f t="shared" si="7"/>
        <v>27.27272727272727</v>
      </c>
      <c r="H62" s="85">
        <f t="shared" si="8"/>
        <v>27.27272727272727</v>
      </c>
      <c r="I62" s="93">
        <v>80</v>
      </c>
      <c r="J62" s="409">
        <v>0</v>
      </c>
      <c r="K62" s="409">
        <v>11</v>
      </c>
      <c r="L62" s="409">
        <v>3</v>
      </c>
      <c r="M62" s="409">
        <v>11</v>
      </c>
      <c r="N62" s="409">
        <v>3</v>
      </c>
      <c r="O62" s="405">
        <v>11</v>
      </c>
      <c r="P62" s="464" t="str">
        <f t="shared" si="6"/>
        <v>Caithness (n=11)</v>
      </c>
      <c r="Q62" s="464"/>
      <c r="R62" s="464"/>
      <c r="S62" s="464"/>
    </row>
    <row r="63" spans="1:19">
      <c r="A63" s="822"/>
      <c r="B63" s="341" t="s">
        <v>183</v>
      </c>
      <c r="C63" s="45" t="s">
        <v>73</v>
      </c>
      <c r="D63" s="46">
        <f t="shared" si="1"/>
        <v>0</v>
      </c>
      <c r="E63" s="46">
        <f t="shared" si="2"/>
        <v>30.76923076923077</v>
      </c>
      <c r="F63" s="46">
        <f t="shared" si="3"/>
        <v>53.846153846153847</v>
      </c>
      <c r="G63" s="48">
        <f t="shared" si="7"/>
        <v>30.76923076923077</v>
      </c>
      <c r="H63" s="85">
        <f t="shared" si="8"/>
        <v>23.076923076923077</v>
      </c>
      <c r="I63" s="93">
        <v>80</v>
      </c>
      <c r="J63" s="409">
        <v>0</v>
      </c>
      <c r="K63" s="409">
        <v>39</v>
      </c>
      <c r="L63" s="409">
        <v>12</v>
      </c>
      <c r="M63" s="409">
        <v>39</v>
      </c>
      <c r="N63" s="409">
        <v>9</v>
      </c>
      <c r="O63" s="405">
        <v>39</v>
      </c>
      <c r="P63" s="464" t="str">
        <f t="shared" si="6"/>
        <v>FVRH (n=39)</v>
      </c>
      <c r="Q63" s="464"/>
      <c r="R63" s="464"/>
      <c r="S63" s="464"/>
    </row>
    <row r="64" spans="1:19">
      <c r="A64" s="822"/>
      <c r="B64" s="341" t="s">
        <v>68</v>
      </c>
      <c r="C64" s="45" t="s">
        <v>69</v>
      </c>
      <c r="D64" s="46">
        <f t="shared" si="1"/>
        <v>0</v>
      </c>
      <c r="E64" s="46">
        <f t="shared" si="2"/>
        <v>0</v>
      </c>
      <c r="F64" s="46">
        <f t="shared" si="3"/>
        <v>50</v>
      </c>
      <c r="G64" s="48">
        <f t="shared" si="7"/>
        <v>0</v>
      </c>
      <c r="H64" s="85">
        <f t="shared" si="8"/>
        <v>50</v>
      </c>
      <c r="I64" s="93">
        <v>80</v>
      </c>
      <c r="J64" s="409">
        <v>0</v>
      </c>
      <c r="K64" s="409">
        <v>8</v>
      </c>
      <c r="L64" s="409">
        <v>0</v>
      </c>
      <c r="M64" s="409">
        <v>8</v>
      </c>
      <c r="N64" s="409">
        <v>4</v>
      </c>
      <c r="O64" s="405">
        <v>8</v>
      </c>
      <c r="P64" s="464" t="str">
        <f t="shared" si="6"/>
        <v>GCH (n=8)</v>
      </c>
      <c r="Q64" s="464"/>
      <c r="R64" s="464"/>
      <c r="S64" s="464"/>
    </row>
    <row r="65" spans="1:19">
      <c r="A65" s="822"/>
      <c r="B65" s="341" t="s">
        <v>98</v>
      </c>
      <c r="C65" s="45" t="s">
        <v>99</v>
      </c>
      <c r="D65" s="46">
        <f t="shared" si="1"/>
        <v>0</v>
      </c>
      <c r="E65" s="46">
        <f t="shared" si="2"/>
        <v>19.047619047619047</v>
      </c>
      <c r="F65" s="46">
        <f t="shared" si="3"/>
        <v>47.619047619047613</v>
      </c>
      <c r="G65" s="48">
        <f t="shared" si="7"/>
        <v>19.047619047619047</v>
      </c>
      <c r="H65" s="85">
        <f t="shared" si="8"/>
        <v>28.571428571428566</v>
      </c>
      <c r="I65" s="93">
        <v>80</v>
      </c>
      <c r="J65" s="409">
        <v>0</v>
      </c>
      <c r="K65" s="409">
        <v>21</v>
      </c>
      <c r="L65" s="409">
        <v>4</v>
      </c>
      <c r="M65" s="409">
        <v>21</v>
      </c>
      <c r="N65" s="409">
        <v>6</v>
      </c>
      <c r="O65" s="405">
        <v>21</v>
      </c>
      <c r="P65" s="464" t="str">
        <f t="shared" si="6"/>
        <v>Raigmore (n=21)</v>
      </c>
      <c r="Q65" s="464"/>
      <c r="R65" s="464"/>
      <c r="S65" s="464"/>
    </row>
    <row r="66" spans="1:19">
      <c r="A66" s="822"/>
      <c r="B66" s="341" t="s">
        <v>459</v>
      </c>
      <c r="C66" s="45" t="s">
        <v>470</v>
      </c>
      <c r="D66" s="46">
        <f t="shared" si="1"/>
        <v>5.7522123893805306</v>
      </c>
      <c r="E66" s="46">
        <f t="shared" si="2"/>
        <v>28.761061946902654</v>
      </c>
      <c r="F66" s="46">
        <f t="shared" si="3"/>
        <v>46.902654867256636</v>
      </c>
      <c r="G66" s="48">
        <f t="shared" si="7"/>
        <v>23.008849557522122</v>
      </c>
      <c r="H66" s="85">
        <f t="shared" si="8"/>
        <v>18.141592920353983</v>
      </c>
      <c r="I66" s="93">
        <v>80</v>
      </c>
      <c r="J66" s="409">
        <v>13</v>
      </c>
      <c r="K66" s="409">
        <v>226</v>
      </c>
      <c r="L66" s="409">
        <v>52</v>
      </c>
      <c r="M66" s="409">
        <v>226</v>
      </c>
      <c r="N66" s="409">
        <v>41</v>
      </c>
      <c r="O66" s="405">
        <v>226</v>
      </c>
      <c r="P66" s="464" t="str">
        <f t="shared" si="6"/>
        <v>QEUH (n=226)</v>
      </c>
      <c r="Q66" s="464"/>
      <c r="R66" s="464"/>
      <c r="S66" s="464"/>
    </row>
    <row r="67" spans="1:19">
      <c r="A67" s="822"/>
      <c r="B67" s="341" t="s">
        <v>28</v>
      </c>
      <c r="C67" s="45" t="s">
        <v>63</v>
      </c>
      <c r="D67" s="46">
        <f t="shared" si="1"/>
        <v>0</v>
      </c>
      <c r="E67" s="46">
        <f t="shared" si="2"/>
        <v>0</v>
      </c>
      <c r="F67" s="46">
        <f t="shared" si="3"/>
        <v>40</v>
      </c>
      <c r="G67" s="48">
        <f t="shared" si="7"/>
        <v>0</v>
      </c>
      <c r="H67" s="85">
        <f t="shared" si="8"/>
        <v>40</v>
      </c>
      <c r="I67" s="93">
        <v>80</v>
      </c>
      <c r="J67" s="409">
        <v>0</v>
      </c>
      <c r="K67" s="409">
        <v>10</v>
      </c>
      <c r="L67" s="409">
        <v>0</v>
      </c>
      <c r="M67" s="409">
        <v>10</v>
      </c>
      <c r="N67" s="409">
        <v>4</v>
      </c>
      <c r="O67" s="405">
        <v>10</v>
      </c>
      <c r="P67" s="464" t="str">
        <f t="shared" si="6"/>
        <v>Borders (n=10)</v>
      </c>
      <c r="Q67" s="464"/>
      <c r="R67" s="464"/>
      <c r="S67" s="464"/>
    </row>
    <row r="68" spans="1:19">
      <c r="A68" s="822"/>
      <c r="B68" s="341" t="s">
        <v>115</v>
      </c>
      <c r="C68" s="45" t="s">
        <v>116</v>
      </c>
      <c r="D68" s="46">
        <f t="shared" si="1"/>
        <v>18.181818181818183</v>
      </c>
      <c r="E68" s="46">
        <f t="shared" si="2"/>
        <v>27.27272727272727</v>
      </c>
      <c r="F68" s="46">
        <f t="shared" si="3"/>
        <v>27.27272727272727</v>
      </c>
      <c r="G68" s="48">
        <f t="shared" si="7"/>
        <v>9.0909090909090864</v>
      </c>
      <c r="H68" s="85">
        <f t="shared" si="8"/>
        <v>0</v>
      </c>
      <c r="I68" s="93">
        <v>80</v>
      </c>
      <c r="J68" s="409">
        <v>2</v>
      </c>
      <c r="K68" s="409">
        <v>11</v>
      </c>
      <c r="L68" s="409">
        <v>1</v>
      </c>
      <c r="M68" s="409">
        <v>11</v>
      </c>
      <c r="N68" s="409">
        <v>0</v>
      </c>
      <c r="O68" s="405">
        <v>11</v>
      </c>
      <c r="P68" s="464" t="str">
        <f t="shared" si="6"/>
        <v>WGH (n=11)</v>
      </c>
      <c r="Q68" s="464"/>
      <c r="R68" s="464"/>
      <c r="S68" s="464"/>
    </row>
    <row r="69" spans="1:19">
      <c r="A69" s="822"/>
      <c r="B69" s="341" t="s">
        <v>77</v>
      </c>
      <c r="C69" s="45" t="s">
        <v>78</v>
      </c>
      <c r="D69" s="46">
        <f t="shared" si="1"/>
        <v>0</v>
      </c>
      <c r="E69" s="46">
        <f t="shared" si="2"/>
        <v>25</v>
      </c>
      <c r="F69" s="46">
        <f t="shared" si="3"/>
        <v>25</v>
      </c>
      <c r="G69" s="48">
        <f t="shared" si="7"/>
        <v>25</v>
      </c>
      <c r="H69" s="85">
        <f t="shared" si="8"/>
        <v>0</v>
      </c>
      <c r="I69" s="93">
        <v>80</v>
      </c>
      <c r="J69" s="409">
        <v>0</v>
      </c>
      <c r="K69" s="409">
        <v>8</v>
      </c>
      <c r="L69" s="409">
        <v>2</v>
      </c>
      <c r="M69" s="409">
        <v>8</v>
      </c>
      <c r="N69" s="409">
        <v>0</v>
      </c>
      <c r="O69" s="405">
        <v>8</v>
      </c>
      <c r="P69" s="464" t="str">
        <f t="shared" si="6"/>
        <v>Dr Grays (n=8)</v>
      </c>
      <c r="Q69" s="464"/>
      <c r="R69" s="464"/>
      <c r="S69" s="464"/>
    </row>
    <row r="70" spans="1:19">
      <c r="A70" s="822"/>
      <c r="B70" s="341" t="s">
        <v>184</v>
      </c>
      <c r="C70" s="45" t="s">
        <v>80</v>
      </c>
      <c r="D70" s="46">
        <f t="shared" si="1"/>
        <v>0</v>
      </c>
      <c r="E70" s="46">
        <f t="shared" si="2"/>
        <v>0</v>
      </c>
      <c r="F70" s="46">
        <f t="shared" si="3"/>
        <v>0</v>
      </c>
      <c r="G70" s="48">
        <f t="shared" si="7"/>
        <v>0</v>
      </c>
      <c r="H70" s="85">
        <f t="shared" si="8"/>
        <v>0</v>
      </c>
      <c r="I70" s="93">
        <v>80</v>
      </c>
      <c r="J70" s="409">
        <v>0</v>
      </c>
      <c r="K70" s="409">
        <v>1</v>
      </c>
      <c r="L70" s="409">
        <v>0</v>
      </c>
      <c r="M70" s="409">
        <v>1</v>
      </c>
      <c r="N70" s="409">
        <v>0</v>
      </c>
      <c r="O70" s="405">
        <v>1</v>
      </c>
      <c r="P70" s="464" t="str">
        <f t="shared" si="6"/>
        <v>GRI (n=1)</v>
      </c>
      <c r="Q70" s="464"/>
      <c r="R70" s="464"/>
      <c r="S70" s="464"/>
    </row>
    <row r="71" spans="1:19">
      <c r="A71" s="822"/>
      <c r="B71" s="341" t="s">
        <v>185</v>
      </c>
      <c r="C71" s="45" t="s">
        <v>85</v>
      </c>
      <c r="D71" s="46">
        <f t="shared" si="1"/>
        <v>0</v>
      </c>
      <c r="E71" s="46">
        <f t="shared" si="2"/>
        <v>0</v>
      </c>
      <c r="F71" s="46">
        <f t="shared" si="3"/>
        <v>0</v>
      </c>
      <c r="G71" s="48">
        <f t="shared" si="7"/>
        <v>0</v>
      </c>
      <c r="H71" s="85">
        <f t="shared" si="8"/>
        <v>0</v>
      </c>
      <c r="I71" s="93">
        <v>80</v>
      </c>
      <c r="J71" s="409">
        <v>0</v>
      </c>
      <c r="K71" s="409">
        <v>2</v>
      </c>
      <c r="L71" s="409">
        <v>0</v>
      </c>
      <c r="M71" s="409">
        <v>2</v>
      </c>
      <c r="N71" s="409">
        <v>0</v>
      </c>
      <c r="O71" s="405">
        <v>2</v>
      </c>
      <c r="P71" s="464" t="str">
        <f t="shared" si="6"/>
        <v>RAH (n=2)</v>
      </c>
      <c r="Q71" s="464"/>
      <c r="R71" s="464"/>
      <c r="S71" s="464"/>
    </row>
    <row r="72" spans="1:19">
      <c r="A72" s="822"/>
      <c r="B72" s="341" t="s">
        <v>89</v>
      </c>
      <c r="C72" s="45" t="s">
        <v>90</v>
      </c>
      <c r="D72" s="46">
        <f t="shared" si="1"/>
        <v>0</v>
      </c>
      <c r="E72" s="46">
        <f t="shared" si="2"/>
        <v>0</v>
      </c>
      <c r="F72" s="46">
        <f t="shared" si="3"/>
        <v>0</v>
      </c>
      <c r="G72" s="48">
        <f t="shared" si="7"/>
        <v>0</v>
      </c>
      <c r="H72" s="85">
        <f t="shared" si="8"/>
        <v>0</v>
      </c>
      <c r="I72" s="93">
        <v>80</v>
      </c>
      <c r="J72" s="409">
        <v>0</v>
      </c>
      <c r="K72" s="409">
        <v>3</v>
      </c>
      <c r="L72" s="409">
        <v>0</v>
      </c>
      <c r="M72" s="409">
        <v>3</v>
      </c>
      <c r="N72" s="409">
        <v>0</v>
      </c>
      <c r="O72" s="405">
        <v>3</v>
      </c>
      <c r="P72" s="464" t="str">
        <f t="shared" si="6"/>
        <v>Belford (n=3)</v>
      </c>
      <c r="Q72" s="464"/>
      <c r="R72" s="464"/>
      <c r="S72" s="464"/>
    </row>
    <row r="73" spans="1:19">
      <c r="A73" s="822"/>
      <c r="B73" s="341" t="s">
        <v>95</v>
      </c>
      <c r="C73" s="45" t="s">
        <v>96</v>
      </c>
      <c r="D73" s="46">
        <f t="shared" si="1"/>
        <v>0</v>
      </c>
      <c r="E73" s="46">
        <f t="shared" si="2"/>
        <v>0</v>
      </c>
      <c r="F73" s="46">
        <f t="shared" si="3"/>
        <v>0</v>
      </c>
      <c r="G73" s="48">
        <f t="shared" si="7"/>
        <v>0</v>
      </c>
      <c r="H73" s="85">
        <f t="shared" si="8"/>
        <v>0</v>
      </c>
      <c r="I73" s="93">
        <v>80</v>
      </c>
      <c r="J73" s="409">
        <v>0</v>
      </c>
      <c r="K73" s="409">
        <v>3</v>
      </c>
      <c r="L73" s="409">
        <v>0</v>
      </c>
      <c r="M73" s="409">
        <v>3</v>
      </c>
      <c r="N73" s="409">
        <v>0</v>
      </c>
      <c r="O73" s="405">
        <v>3</v>
      </c>
      <c r="P73" s="464" t="str">
        <f t="shared" si="6"/>
        <v>L&amp;I (n=3)</v>
      </c>
      <c r="Q73" s="464"/>
      <c r="R73" s="464"/>
      <c r="S73" s="464"/>
    </row>
    <row r="74" spans="1:19">
      <c r="A74" s="822"/>
      <c r="B74" s="341" t="s">
        <v>118</v>
      </c>
      <c r="C74" s="45" t="s">
        <v>119</v>
      </c>
      <c r="D74" s="46">
        <f t="shared" si="1"/>
        <v>0</v>
      </c>
      <c r="E74" s="46">
        <f t="shared" si="2"/>
        <v>0</v>
      </c>
      <c r="F74" s="46">
        <f t="shared" si="3"/>
        <v>0</v>
      </c>
      <c r="G74" s="86">
        <f t="shared" si="7"/>
        <v>0</v>
      </c>
      <c r="H74" s="87">
        <f t="shared" si="8"/>
        <v>0</v>
      </c>
      <c r="I74" s="93">
        <v>80</v>
      </c>
      <c r="J74" s="409">
        <v>0</v>
      </c>
      <c r="K74" s="409">
        <v>2</v>
      </c>
      <c r="L74" s="409">
        <v>0</v>
      </c>
      <c r="M74" s="409">
        <v>2</v>
      </c>
      <c r="N74" s="409">
        <v>0</v>
      </c>
      <c r="O74" s="405">
        <v>2</v>
      </c>
      <c r="P74" s="464" t="str">
        <f t="shared" si="6"/>
        <v>Balfour (n=2)</v>
      </c>
      <c r="Q74" s="464"/>
      <c r="R74" s="464"/>
      <c r="S74" s="464"/>
    </row>
    <row r="75" spans="1:19">
      <c r="A75" s="822"/>
      <c r="B75" s="341" t="s">
        <v>121</v>
      </c>
      <c r="C75" s="45" t="s">
        <v>122</v>
      </c>
      <c r="D75" s="46">
        <f t="shared" si="1"/>
        <v>0</v>
      </c>
      <c r="E75" s="46">
        <f t="shared" si="2"/>
        <v>0</v>
      </c>
      <c r="F75" s="46">
        <f t="shared" si="3"/>
        <v>0</v>
      </c>
      <c r="G75" s="86">
        <f t="shared" si="7"/>
        <v>0</v>
      </c>
      <c r="H75" s="87">
        <f t="shared" si="8"/>
        <v>0</v>
      </c>
      <c r="I75" s="93">
        <v>80</v>
      </c>
      <c r="J75" s="409">
        <v>0</v>
      </c>
      <c r="K75" s="409">
        <v>2</v>
      </c>
      <c r="L75" s="409">
        <v>0</v>
      </c>
      <c r="M75" s="409">
        <v>2</v>
      </c>
      <c r="N75" s="409">
        <v>0</v>
      </c>
      <c r="O75" s="405">
        <v>2</v>
      </c>
      <c r="P75" s="464" t="str">
        <f t="shared" si="6"/>
        <v>Gilbert Bain (n=2)</v>
      </c>
      <c r="Q75" s="464"/>
      <c r="R75" s="464"/>
      <c r="S75" s="464"/>
    </row>
    <row r="76" spans="1:19" ht="15">
      <c r="B76" s="51"/>
      <c r="D76"/>
      <c r="E76"/>
      <c r="F76"/>
      <c r="G76"/>
      <c r="H76"/>
      <c r="I76"/>
      <c r="J76"/>
    </row>
    <row r="77" spans="1:19" ht="15">
      <c r="B77" s="51"/>
      <c r="D77"/>
      <c r="E77"/>
      <c r="F77"/>
      <c r="G77"/>
      <c r="H77"/>
      <c r="I77"/>
      <c r="J77"/>
    </row>
    <row r="78" spans="1:19" ht="15">
      <c r="D78"/>
      <c r="E78"/>
      <c r="F78"/>
      <c r="G78"/>
      <c r="H78"/>
      <c r="I78"/>
      <c r="J78"/>
    </row>
    <row r="79" spans="1:19" ht="15">
      <c r="B79" s="51"/>
      <c r="D79"/>
      <c r="E79"/>
      <c r="F79"/>
      <c r="G79"/>
      <c r="H79"/>
      <c r="I79"/>
      <c r="J79"/>
    </row>
    <row r="80" spans="1:19" ht="15">
      <c r="B80" s="51"/>
      <c r="D80"/>
      <c r="E80"/>
      <c r="F80"/>
      <c r="G80"/>
      <c r="H80"/>
      <c r="I80"/>
      <c r="J80"/>
    </row>
    <row r="81" spans="1:16" ht="15">
      <c r="B81" s="51"/>
      <c r="D81"/>
      <c r="E81"/>
      <c r="F81"/>
      <c r="G81"/>
      <c r="H81"/>
      <c r="I81"/>
      <c r="J81"/>
    </row>
    <row r="82" spans="1:16" s="663" customFormat="1" ht="15">
      <c r="A82" s="669"/>
      <c r="B82" s="51"/>
      <c r="C82" s="669"/>
      <c r="D82"/>
      <c r="E82"/>
      <c r="F82"/>
      <c r="G82"/>
      <c r="H82"/>
      <c r="I82"/>
      <c r="J82"/>
      <c r="K82" s="669"/>
      <c r="L82" s="669"/>
      <c r="M82" s="669"/>
      <c r="N82" s="669"/>
      <c r="O82" s="669"/>
      <c r="P82" s="669"/>
    </row>
    <row r="83" spans="1:16" s="663" customFormat="1" ht="15">
      <c r="A83" s="669"/>
      <c r="B83" s="51"/>
      <c r="C83" s="669"/>
      <c r="D83"/>
      <c r="E83"/>
      <c r="F83"/>
      <c r="G83"/>
      <c r="H83"/>
      <c r="I83"/>
      <c r="J83"/>
      <c r="K83" s="669"/>
      <c r="L83" s="669"/>
      <c r="M83" s="669"/>
      <c r="N83" s="669"/>
      <c r="O83" s="669"/>
      <c r="P83" s="669"/>
    </row>
    <row r="84" spans="1:16" s="663" customFormat="1" ht="15">
      <c r="A84" s="669"/>
      <c r="B84" s="51"/>
      <c r="C84" s="669"/>
      <c r="D84"/>
      <c r="E84"/>
      <c r="F84"/>
      <c r="G84"/>
      <c r="H84"/>
      <c r="I84"/>
      <c r="J84"/>
      <c r="K84" s="669"/>
      <c r="L84" s="669"/>
      <c r="M84" s="669"/>
      <c r="N84" s="669"/>
      <c r="O84" s="669"/>
      <c r="P84" s="669"/>
    </row>
    <row r="85" spans="1:16" ht="15">
      <c r="B85" s="51"/>
      <c r="D85"/>
      <c r="E85"/>
      <c r="F85"/>
      <c r="G85"/>
      <c r="H85"/>
      <c r="I85"/>
      <c r="J85"/>
    </row>
    <row r="86" spans="1:16" ht="15">
      <c r="D86"/>
      <c r="E86"/>
      <c r="F86"/>
      <c r="G86"/>
      <c r="H86"/>
      <c r="I86"/>
      <c r="J86"/>
    </row>
    <row r="87" spans="1:16" ht="15">
      <c r="D87"/>
      <c r="E87"/>
      <c r="F87"/>
      <c r="G87"/>
      <c r="H87"/>
      <c r="I87"/>
      <c r="J87"/>
    </row>
    <row r="88" spans="1:16" ht="15">
      <c r="D88"/>
      <c r="E88"/>
      <c r="F88"/>
      <c r="G88"/>
      <c r="H88"/>
      <c r="I88"/>
      <c r="J88"/>
    </row>
    <row r="89" spans="1:16" ht="15">
      <c r="D89"/>
      <c r="E89"/>
      <c r="F89"/>
      <c r="G89"/>
      <c r="H89"/>
      <c r="I89"/>
      <c r="J89"/>
    </row>
    <row r="90" spans="1:16" ht="15">
      <c r="D90"/>
      <c r="E90"/>
      <c r="F90"/>
      <c r="G90"/>
      <c r="H90"/>
      <c r="I90"/>
      <c r="J90"/>
    </row>
    <row r="91" spans="1:16" ht="15">
      <c r="D91"/>
      <c r="E91"/>
      <c r="F91"/>
      <c r="G91"/>
      <c r="H91"/>
      <c r="I91"/>
      <c r="J91"/>
    </row>
    <row r="92" spans="1:16" ht="15">
      <c r="D92"/>
      <c r="E92"/>
      <c r="F92"/>
      <c r="G92"/>
      <c r="H92"/>
      <c r="I92"/>
      <c r="J92"/>
    </row>
    <row r="93" spans="1:16" ht="15">
      <c r="D93"/>
      <c r="E93"/>
      <c r="F93"/>
      <c r="G93"/>
      <c r="H93"/>
      <c r="I93"/>
      <c r="J93"/>
    </row>
    <row r="94" spans="1:16" ht="15">
      <c r="D94"/>
      <c r="E94"/>
      <c r="F94"/>
      <c r="G94"/>
      <c r="H94"/>
      <c r="I94"/>
      <c r="J94"/>
    </row>
    <row r="95" spans="1:16" ht="15">
      <c r="D95"/>
      <c r="E95"/>
      <c r="F95"/>
      <c r="G95"/>
      <c r="H95"/>
      <c r="I95"/>
      <c r="J95"/>
    </row>
    <row r="96" spans="1:16" ht="15">
      <c r="D96"/>
      <c r="E96"/>
      <c r="F96"/>
      <c r="G96"/>
      <c r="H96"/>
      <c r="I96"/>
      <c r="J96"/>
    </row>
    <row r="97" spans="4:10" ht="15">
      <c r="D97"/>
      <c r="E97"/>
      <c r="F97"/>
      <c r="G97"/>
      <c r="H97"/>
      <c r="I97"/>
      <c r="J97"/>
    </row>
    <row r="98" spans="4:10" ht="15">
      <c r="D98"/>
      <c r="E98"/>
      <c r="F98"/>
      <c r="G98"/>
      <c r="H98"/>
      <c r="I98"/>
      <c r="J98"/>
    </row>
    <row r="99" spans="4:10" ht="15">
      <c r="D99"/>
      <c r="E99"/>
      <c r="F99"/>
      <c r="G99"/>
      <c r="H99"/>
      <c r="I99"/>
      <c r="J99"/>
    </row>
    <row r="100" spans="4:10" ht="15">
      <c r="D100"/>
      <c r="E100"/>
      <c r="F100"/>
      <c r="G100"/>
      <c r="H100"/>
      <c r="I100"/>
      <c r="J100"/>
    </row>
    <row r="101" spans="4:10" ht="15">
      <c r="D101"/>
      <c r="E101"/>
      <c r="F101"/>
      <c r="G101"/>
      <c r="H101"/>
      <c r="I101"/>
      <c r="J101"/>
    </row>
    <row r="102" spans="4:10" ht="15">
      <c r="D102"/>
      <c r="E102"/>
      <c r="F102"/>
      <c r="G102"/>
      <c r="H102"/>
      <c r="I102"/>
      <c r="J102"/>
    </row>
    <row r="103" spans="4:10" ht="15">
      <c r="D103"/>
      <c r="E103"/>
      <c r="F103"/>
      <c r="G103"/>
      <c r="H103"/>
      <c r="I103"/>
      <c r="J103"/>
    </row>
    <row r="104" spans="4:10" ht="15">
      <c r="D104"/>
      <c r="E104"/>
      <c r="F104"/>
      <c r="G104"/>
      <c r="H104"/>
      <c r="I104"/>
      <c r="J104"/>
    </row>
    <row r="105" spans="4:10" ht="15">
      <c r="D105"/>
      <c r="E105"/>
      <c r="F105"/>
      <c r="G105"/>
      <c r="H105"/>
      <c r="I105"/>
      <c r="J105"/>
    </row>
  </sheetData>
  <sheetProtection password="B8D9" sheet="1" objects="1" scenarios="1"/>
  <sortState ref="A49:P75">
    <sortCondition ref="A49:A75"/>
  </sortState>
  <mergeCells count="15">
    <mergeCell ref="N46:O46"/>
    <mergeCell ref="B40:L40"/>
    <mergeCell ref="B41:L42"/>
    <mergeCell ref="B43:L43"/>
    <mergeCell ref="B44:L44"/>
    <mergeCell ref="B46:C46"/>
    <mergeCell ref="D46:F46"/>
    <mergeCell ref="J46:K46"/>
    <mergeCell ref="L46:M46"/>
    <mergeCell ref="B39:L39"/>
    <mergeCell ref="B1:J2"/>
    <mergeCell ref="K1:L2"/>
    <mergeCell ref="B3:I5"/>
    <mergeCell ref="B36:L36"/>
    <mergeCell ref="B38:L38"/>
  </mergeCells>
  <hyperlinks>
    <hyperlink ref="K1:L2" location="'List of Tables &amp; Charts'!A1" display="return to List of Tables &amp; Charts"/>
  </hyperlinks>
  <pageMargins left="0.70866141732283472" right="0.70866141732283472" top="0.74803149606299213" bottom="0.74803149606299213" header="0.31496062992125984" footer="0.31496062992125984"/>
  <pageSetup paperSize="9" scale="46" orientation="landscape" r:id="rId1"/>
  <headerFooter>
    <oddFooter>&amp;L&amp;8Scottish Stroke Care Audit 2017 National Report
Stroke Services in Scottish Hospitals, Data relating to 2016&amp;R&amp;8© NHS National Services Scotland/Crown Copyright</oddFooter>
  </headerFooter>
  <rowBreaks count="1" manualBreakCount="1">
    <brk id="44" max="16383" man="1"/>
  </rowBreaks>
  <drawing r:id="rId2"/>
</worksheet>
</file>

<file path=xl/worksheets/sheet52.xml><?xml version="1.0" encoding="utf-8"?>
<worksheet xmlns="http://schemas.openxmlformats.org/spreadsheetml/2006/main" xmlns:r="http://schemas.openxmlformats.org/officeDocument/2006/relationships">
  <sheetPr codeName="Sheet33">
    <pageSetUpPr fitToPage="1"/>
  </sheetPr>
  <dimension ref="B1:Z78"/>
  <sheetViews>
    <sheetView workbookViewId="0"/>
  </sheetViews>
  <sheetFormatPr defaultRowHeight="15"/>
  <cols>
    <col min="1" max="1" width="1.7109375" customWidth="1"/>
    <col min="3" max="5" width="12" bestFit="1" customWidth="1"/>
    <col min="7" max="16" width="12" bestFit="1" customWidth="1"/>
    <col min="19" max="20" width="12" bestFit="1" customWidth="1"/>
    <col min="24" max="24" width="12" bestFit="1" customWidth="1"/>
  </cols>
  <sheetData>
    <row r="1" spans="2:19" ht="35.1" customHeight="1">
      <c r="B1" s="1111" t="s">
        <v>632</v>
      </c>
      <c r="C1" s="1111"/>
      <c r="D1" s="1111"/>
      <c r="E1" s="1111"/>
      <c r="F1" s="1111"/>
      <c r="G1" s="1111"/>
      <c r="H1" s="1111"/>
      <c r="I1" s="1111"/>
      <c r="K1" s="398" t="s">
        <v>45</v>
      </c>
      <c r="L1" s="410"/>
      <c r="M1" s="410"/>
      <c r="N1" s="410"/>
      <c r="O1" s="410"/>
    </row>
    <row r="2" spans="2:19">
      <c r="B2" s="334"/>
      <c r="C2" s="334"/>
      <c r="D2" s="334"/>
      <c r="E2" s="334"/>
      <c r="F2" s="334"/>
      <c r="G2" s="334"/>
      <c r="H2" s="334"/>
      <c r="I2" s="334"/>
      <c r="J2" s="92"/>
      <c r="K2" s="92"/>
      <c r="L2" s="334"/>
      <c r="M2" s="334"/>
      <c r="N2" s="334"/>
      <c r="O2" s="334"/>
    </row>
    <row r="3" spans="2:19">
      <c r="B3" s="76"/>
    </row>
    <row r="7" spans="2:19">
      <c r="R7" s="272"/>
      <c r="S7" s="273"/>
    </row>
    <row r="29" spans="14:15">
      <c r="N29" s="425"/>
      <c r="O29" s="285"/>
    </row>
    <row r="30" spans="14:15">
      <c r="N30" s="415"/>
      <c r="O30" s="285"/>
    </row>
    <row r="51" spans="2:17">
      <c r="B51" s="281" t="s">
        <v>537</v>
      </c>
    </row>
    <row r="52" spans="2:17" ht="15" customHeight="1">
      <c r="B52" s="1112" t="s">
        <v>563</v>
      </c>
      <c r="C52" s="1112"/>
      <c r="D52" s="1112"/>
      <c r="E52" s="1112"/>
      <c r="F52" s="1112"/>
      <c r="G52" s="1112"/>
      <c r="H52" s="1112"/>
      <c r="I52" s="1112"/>
      <c r="J52" s="1112"/>
      <c r="K52" s="1112"/>
      <c r="L52" s="1112"/>
      <c r="M52" s="425"/>
      <c r="P52" s="285"/>
      <c r="Q52" s="285"/>
    </row>
    <row r="53" spans="2:17">
      <c r="B53" s="1112"/>
      <c r="C53" s="1112"/>
      <c r="D53" s="1112"/>
      <c r="E53" s="1112"/>
      <c r="F53" s="1112"/>
      <c r="G53" s="1112"/>
      <c r="H53" s="1112"/>
      <c r="I53" s="1112"/>
      <c r="J53" s="1112"/>
      <c r="K53" s="1112"/>
      <c r="L53" s="1112"/>
      <c r="M53" s="425"/>
      <c r="P53" s="285"/>
      <c r="Q53" s="285"/>
    </row>
    <row r="54" spans="2:17">
      <c r="B54" s="1112"/>
      <c r="C54" s="1112"/>
      <c r="D54" s="1112"/>
      <c r="E54" s="1112"/>
      <c r="F54" s="1112"/>
      <c r="G54" s="1112"/>
      <c r="H54" s="1112"/>
      <c r="I54" s="1112"/>
      <c r="J54" s="1112"/>
      <c r="K54" s="1112"/>
      <c r="L54" s="1112"/>
      <c r="M54" s="415"/>
      <c r="N54" s="425"/>
      <c r="O54" s="285"/>
      <c r="P54" s="285"/>
      <c r="Q54" s="285"/>
    </row>
    <row r="55" spans="2:17">
      <c r="B55" s="1110" t="s">
        <v>633</v>
      </c>
      <c r="C55" s="1110"/>
      <c r="D55" s="1110"/>
      <c r="E55" s="1110"/>
      <c r="F55" s="1110"/>
      <c r="G55" s="1110"/>
      <c r="H55" s="1110"/>
      <c r="I55" s="1110"/>
      <c r="J55" s="1110"/>
      <c r="K55" s="1110"/>
      <c r="L55" s="1110"/>
    </row>
    <row r="56" spans="2:17">
      <c r="B56" s="1110"/>
      <c r="C56" s="1110"/>
      <c r="D56" s="1110"/>
      <c r="E56" s="1110"/>
      <c r="F56" s="1110"/>
      <c r="G56" s="1110"/>
      <c r="H56" s="1110"/>
      <c r="I56" s="1110"/>
      <c r="J56" s="1110"/>
      <c r="K56" s="1110"/>
      <c r="L56" s="1110"/>
      <c r="M56" s="415"/>
      <c r="N56" s="415"/>
      <c r="O56" s="285"/>
      <c r="P56" s="285"/>
      <c r="Q56" s="285"/>
    </row>
    <row r="57" spans="2:17">
      <c r="B57" s="972" t="s">
        <v>516</v>
      </c>
      <c r="C57" s="972"/>
      <c r="D57" s="972"/>
      <c r="E57" s="972"/>
      <c r="F57" s="972"/>
      <c r="G57" s="972"/>
      <c r="H57" s="972"/>
      <c r="I57" s="972"/>
      <c r="J57" s="972"/>
      <c r="K57" s="972"/>
      <c r="L57" s="972"/>
      <c r="M57" s="413"/>
      <c r="N57" s="413"/>
      <c r="O57" s="276"/>
      <c r="P57" s="276"/>
      <c r="Q57" s="276"/>
    </row>
    <row r="58" spans="2:17">
      <c r="B58" s="972"/>
      <c r="C58" s="972"/>
      <c r="D58" s="972"/>
      <c r="E58" s="972"/>
      <c r="F58" s="972"/>
      <c r="G58" s="972"/>
      <c r="H58" s="972"/>
      <c r="I58" s="972"/>
      <c r="J58" s="972"/>
      <c r="K58" s="972"/>
      <c r="L58" s="972"/>
      <c r="M58" s="413"/>
      <c r="N58" s="413"/>
      <c r="O58" s="276"/>
      <c r="P58" s="276"/>
      <c r="Q58" s="276"/>
    </row>
    <row r="59" spans="2:17">
      <c r="B59" s="972" t="s">
        <v>517</v>
      </c>
      <c r="C59" s="972"/>
      <c r="D59" s="972"/>
      <c r="E59" s="972"/>
      <c r="F59" s="972"/>
      <c r="G59" s="972"/>
      <c r="H59" s="972"/>
      <c r="I59" s="972"/>
      <c r="J59" s="972"/>
      <c r="K59" s="972"/>
      <c r="L59" s="972"/>
    </row>
    <row r="60" spans="2:17">
      <c r="B60" s="972"/>
      <c r="C60" s="972"/>
      <c r="D60" s="972"/>
      <c r="E60" s="972"/>
      <c r="F60" s="972"/>
      <c r="G60" s="972"/>
      <c r="H60" s="972"/>
      <c r="I60" s="972"/>
      <c r="J60" s="972"/>
      <c r="K60" s="972"/>
      <c r="L60" s="972"/>
    </row>
    <row r="61" spans="2:17" ht="24.75" customHeight="1">
      <c r="B61" s="972" t="s">
        <v>634</v>
      </c>
      <c r="C61" s="972"/>
      <c r="D61" s="972"/>
      <c r="E61" s="972"/>
      <c r="F61" s="972"/>
      <c r="G61" s="972"/>
      <c r="H61" s="972"/>
      <c r="I61" s="972"/>
      <c r="J61" s="972"/>
      <c r="K61" s="972"/>
      <c r="L61" s="972"/>
    </row>
    <row r="62" spans="2:17">
      <c r="B62" s="1110" t="s">
        <v>518</v>
      </c>
      <c r="C62" s="1110"/>
      <c r="D62" s="1110"/>
      <c r="E62" s="1110"/>
      <c r="F62" s="1110"/>
      <c r="G62" s="1110"/>
      <c r="H62" s="1110"/>
      <c r="I62" s="1110"/>
      <c r="J62" s="1110"/>
      <c r="K62" s="1110"/>
      <c r="L62" s="1110"/>
      <c r="M62" s="426"/>
      <c r="N62" s="426"/>
      <c r="O62" s="286"/>
      <c r="P62" s="286"/>
      <c r="Q62" s="286"/>
    </row>
    <row r="63" spans="2:17">
      <c r="B63" s="1110"/>
      <c r="C63" s="1110"/>
      <c r="D63" s="1110"/>
      <c r="E63" s="1110"/>
      <c r="F63" s="1110"/>
      <c r="G63" s="1110"/>
      <c r="H63" s="1110"/>
      <c r="I63" s="1110"/>
      <c r="J63" s="1110"/>
      <c r="K63" s="1110"/>
      <c r="L63" s="1110"/>
      <c r="M63" s="426"/>
      <c r="N63" s="426"/>
      <c r="O63" s="286"/>
      <c r="P63" s="286"/>
      <c r="Q63" s="286"/>
    </row>
    <row r="64" spans="2:17">
      <c r="B64" s="1110"/>
      <c r="C64" s="1110"/>
      <c r="D64" s="1110"/>
      <c r="E64" s="1110"/>
      <c r="F64" s="1110"/>
      <c r="G64" s="1110"/>
      <c r="H64" s="1110"/>
      <c r="I64" s="1110"/>
      <c r="J64" s="1110"/>
      <c r="K64" s="1110"/>
      <c r="L64" s="1110"/>
    </row>
    <row r="65" spans="2:26">
      <c r="B65" s="343"/>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row>
    <row r="66" spans="2:26">
      <c r="B66" s="343"/>
      <c r="C66" s="343"/>
      <c r="D66" s="343"/>
      <c r="E66" s="343"/>
      <c r="F66" s="343"/>
      <c r="G66" s="343"/>
      <c r="H66" s="343"/>
      <c r="I66" s="343"/>
      <c r="J66" s="343"/>
      <c r="K66" s="343"/>
      <c r="L66" s="343"/>
      <c r="M66" s="343"/>
      <c r="N66" s="343"/>
      <c r="O66" s="343"/>
      <c r="P66" s="343"/>
      <c r="Q66" s="343"/>
      <c r="R66" s="343"/>
      <c r="S66" s="343"/>
      <c r="T66" s="343"/>
      <c r="U66" s="343"/>
      <c r="V66" s="343"/>
      <c r="W66" s="343"/>
      <c r="X66" s="343"/>
      <c r="Y66" s="343"/>
      <c r="Z66" s="343"/>
    </row>
    <row r="67" spans="2:26">
      <c r="B67" s="343"/>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spans="2:26">
      <c r="B68" s="343"/>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spans="2:26">
      <c r="B69" s="343"/>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row>
    <row r="70" spans="2:26">
      <c r="B70" s="343"/>
      <c r="C70" s="343"/>
      <c r="D70" s="345"/>
      <c r="E70" s="345"/>
      <c r="F70" s="343"/>
      <c r="G70" s="345"/>
      <c r="H70" s="345"/>
      <c r="I70" s="343"/>
      <c r="J70" s="345"/>
      <c r="K70" s="345"/>
      <c r="L70" s="345"/>
      <c r="M70" s="343"/>
      <c r="N70" s="345"/>
      <c r="O70" s="343"/>
      <c r="P70" s="343"/>
      <c r="Q70" s="346"/>
      <c r="R70" s="343"/>
      <c r="S70" s="343"/>
      <c r="T70" s="343"/>
      <c r="U70" s="343"/>
      <c r="V70" s="343"/>
      <c r="W70" s="343"/>
      <c r="X70" s="343"/>
      <c r="Y70" s="345"/>
      <c r="Z70" s="343"/>
    </row>
    <row r="71" spans="2:26">
      <c r="B71" s="343"/>
      <c r="C71" s="345"/>
      <c r="D71" s="345"/>
      <c r="E71" s="345"/>
      <c r="F71" s="343"/>
      <c r="G71" s="343"/>
      <c r="H71" s="343"/>
      <c r="I71" s="343"/>
      <c r="J71" s="345"/>
      <c r="K71" s="345"/>
      <c r="L71" s="345"/>
      <c r="M71" s="343"/>
      <c r="N71" s="345"/>
      <c r="O71" s="343"/>
      <c r="P71" s="343"/>
      <c r="Q71" s="346"/>
      <c r="R71" s="343"/>
      <c r="S71" s="345"/>
      <c r="T71" s="343"/>
      <c r="U71" s="343"/>
      <c r="V71" s="345"/>
      <c r="W71" s="343"/>
      <c r="X71" s="343"/>
      <c r="Y71" s="345"/>
      <c r="Z71" s="343"/>
    </row>
    <row r="72" spans="2:26">
      <c r="B72" s="343"/>
      <c r="C72" s="345"/>
      <c r="D72" s="345"/>
      <c r="E72" s="345"/>
      <c r="F72" s="345"/>
      <c r="G72" s="343"/>
      <c r="H72" s="343"/>
      <c r="I72" s="343"/>
      <c r="J72" s="345"/>
      <c r="K72" s="345"/>
      <c r="L72" s="345"/>
      <c r="M72" s="343"/>
      <c r="N72" s="345"/>
      <c r="O72" s="345"/>
      <c r="P72" s="345"/>
      <c r="Q72" s="346"/>
      <c r="R72" s="343"/>
      <c r="S72" s="345"/>
      <c r="T72" s="343"/>
      <c r="U72" s="343"/>
      <c r="V72" s="345"/>
      <c r="W72" s="343"/>
      <c r="X72" s="343"/>
      <c r="Y72" s="345"/>
      <c r="Z72" s="343"/>
    </row>
    <row r="73" spans="2:26">
      <c r="B73" s="343"/>
      <c r="C73" s="343"/>
      <c r="D73" s="343"/>
      <c r="E73" s="343"/>
      <c r="F73" s="343"/>
      <c r="G73" s="343"/>
      <c r="H73" s="343"/>
      <c r="I73" s="343"/>
      <c r="J73" s="345"/>
      <c r="K73" s="345"/>
      <c r="L73" s="345"/>
      <c r="M73" s="343"/>
      <c r="N73" s="345"/>
      <c r="O73" s="345"/>
      <c r="P73" s="345"/>
      <c r="Q73" s="346"/>
      <c r="R73" s="343"/>
      <c r="S73" s="345"/>
      <c r="T73" s="343"/>
      <c r="U73" s="343"/>
      <c r="V73" s="345"/>
      <c r="W73" s="343"/>
      <c r="X73" s="343"/>
      <c r="Y73" s="345"/>
      <c r="Z73" s="343"/>
    </row>
    <row r="74" spans="2:26">
      <c r="B74" s="343"/>
      <c r="C74" s="343"/>
      <c r="D74" s="345"/>
      <c r="E74" s="345"/>
      <c r="F74" s="343"/>
      <c r="G74" s="345"/>
      <c r="H74" s="345"/>
      <c r="I74" s="343"/>
      <c r="J74" s="345"/>
      <c r="K74" s="345"/>
      <c r="L74" s="345"/>
      <c r="M74" s="343"/>
      <c r="N74" s="345"/>
      <c r="O74" s="345"/>
      <c r="P74" s="345"/>
      <c r="Q74" s="346"/>
      <c r="R74" s="343"/>
      <c r="S74" s="345"/>
      <c r="T74" s="343"/>
      <c r="U74" s="343"/>
      <c r="V74" s="345"/>
      <c r="W74" s="343"/>
      <c r="X74" s="343"/>
      <c r="Y74" s="345"/>
      <c r="Z74" s="343"/>
    </row>
    <row r="75" spans="2:26">
      <c r="B75" s="343"/>
      <c r="C75" s="345"/>
      <c r="D75" s="343"/>
      <c r="E75" s="345"/>
      <c r="F75" s="343"/>
      <c r="G75" s="343"/>
      <c r="H75" s="343"/>
      <c r="I75" s="343"/>
      <c r="J75" s="345"/>
      <c r="K75" s="345"/>
      <c r="L75" s="345"/>
      <c r="M75" s="343"/>
      <c r="N75" s="345"/>
      <c r="O75" s="345"/>
      <c r="P75" s="345"/>
      <c r="Q75" s="346"/>
      <c r="R75" s="343"/>
      <c r="S75" s="345"/>
      <c r="T75" s="343"/>
      <c r="U75" s="343"/>
      <c r="V75" s="345"/>
      <c r="W75" s="343"/>
      <c r="X75" s="343"/>
      <c r="Y75" s="345"/>
      <c r="Z75" s="343"/>
    </row>
    <row r="76" spans="2:26">
      <c r="B76" s="343"/>
      <c r="C76" s="345"/>
      <c r="D76" s="345"/>
      <c r="E76" s="345"/>
      <c r="F76" s="345"/>
      <c r="G76" s="343"/>
      <c r="H76" s="343"/>
      <c r="I76" s="343"/>
      <c r="J76" s="345"/>
      <c r="K76" s="345"/>
      <c r="L76" s="345"/>
      <c r="M76" s="343"/>
      <c r="N76" s="345"/>
      <c r="O76" s="345"/>
      <c r="P76" s="345"/>
      <c r="Q76" s="346"/>
      <c r="R76" s="343"/>
      <c r="S76" s="345"/>
      <c r="T76" s="343"/>
      <c r="U76" s="343"/>
      <c r="V76" s="345"/>
      <c r="W76" s="343"/>
      <c r="X76" s="343"/>
      <c r="Y76" s="345"/>
      <c r="Z76" s="343"/>
    </row>
    <row r="77" spans="2:26">
      <c r="B77" s="343"/>
      <c r="C77" s="345"/>
      <c r="D77" s="345"/>
      <c r="E77" s="345"/>
      <c r="F77" s="345"/>
      <c r="G77" s="345"/>
      <c r="H77" s="345"/>
      <c r="I77" s="343"/>
      <c r="J77" s="345"/>
      <c r="K77" s="345"/>
      <c r="L77" s="345"/>
      <c r="M77" s="343"/>
      <c r="N77" s="345"/>
      <c r="O77" s="345"/>
      <c r="P77" s="345"/>
      <c r="Q77" s="346"/>
      <c r="R77" s="343"/>
      <c r="S77" s="345"/>
      <c r="T77" s="343"/>
      <c r="U77" s="343"/>
      <c r="V77" s="345"/>
      <c r="W77" s="343"/>
      <c r="X77" s="343"/>
      <c r="Y77" s="345"/>
      <c r="Z77" s="343"/>
    </row>
    <row r="78" spans="2:26">
      <c r="B78" s="343"/>
      <c r="C78" s="345"/>
      <c r="D78" s="345"/>
      <c r="E78" s="345"/>
      <c r="F78" s="345"/>
      <c r="G78" s="343"/>
      <c r="H78" s="343"/>
      <c r="I78" s="343"/>
      <c r="J78" s="345"/>
      <c r="K78" s="345"/>
      <c r="L78" s="345"/>
      <c r="M78" s="343"/>
      <c r="N78" s="345"/>
      <c r="O78" s="345"/>
      <c r="P78" s="345"/>
      <c r="Q78" s="346"/>
      <c r="R78" s="343"/>
      <c r="S78" s="345"/>
      <c r="T78" s="343"/>
      <c r="U78" s="343"/>
      <c r="V78" s="345"/>
      <c r="W78" s="343"/>
      <c r="X78" s="343"/>
      <c r="Y78" s="343"/>
      <c r="Z78" s="343"/>
    </row>
  </sheetData>
  <sheetProtection password="B8D9" sheet="1" objects="1" scenarios="1"/>
  <sortState ref="N4:O55">
    <sortCondition ref="N4:N55"/>
  </sortState>
  <mergeCells count="7">
    <mergeCell ref="B62:L64"/>
    <mergeCell ref="B1:I1"/>
    <mergeCell ref="B52:L54"/>
    <mergeCell ref="B55:L56"/>
    <mergeCell ref="B57:L58"/>
    <mergeCell ref="B59:L60"/>
    <mergeCell ref="B61:L61"/>
  </mergeCells>
  <phoneticPr fontId="62" type="noConversion"/>
  <hyperlinks>
    <hyperlink ref="K1" location="'List of Tables &amp; Charts'!A1" display="return to List of Tables &amp; Charts"/>
  </hyperlinks>
  <pageMargins left="0.70866141732283472" right="0.70866141732283472" top="0.74803149606299213" bottom="0.74803149606299213" header="0.31496062992125984" footer="0.31496062992125984"/>
  <pageSetup paperSize="9" scale="50" orientation="landscape" r:id="rId1"/>
  <headerFooter>
    <oddFooter>&amp;L&amp;8Scottish Stroke Care Audit 2017 National Report
Stroke Services in Scottish Hospitals, Data relating to 2016&amp;R&amp;8© NHS National Services Scotland/Crown Copyright</oddFooter>
  </headerFooter>
  <rowBreaks count="1" manualBreakCount="1">
    <brk id="46" max="16383" man="1"/>
  </rowBreaks>
  <drawing r:id="rId2"/>
</worksheet>
</file>

<file path=xl/worksheets/sheet53.xml><?xml version="1.0" encoding="utf-8"?>
<worksheet xmlns="http://schemas.openxmlformats.org/spreadsheetml/2006/main" xmlns:r="http://schemas.openxmlformats.org/officeDocument/2006/relationships">
  <sheetPr codeName="Sheet34">
    <pageSetUpPr fitToPage="1"/>
  </sheetPr>
  <dimension ref="A1:R119"/>
  <sheetViews>
    <sheetView showGridLines="0" zoomScaleNormal="100" workbookViewId="0">
      <pane ySplit="5" topLeftCell="A6" activePane="bottomLeft" state="frozen"/>
      <selection activeCell="L1" sqref="L1:L4"/>
      <selection pane="bottomLeft" activeCell="A6" sqref="A6"/>
    </sheetView>
  </sheetViews>
  <sheetFormatPr defaultRowHeight="12.75"/>
  <cols>
    <col min="1" max="1" width="1.7109375" style="2" customWidth="1"/>
    <col min="2" max="2" width="12.7109375" style="2" customWidth="1"/>
    <col min="3" max="3" width="1.7109375" style="2" customWidth="1"/>
    <col min="4" max="4" width="50.7109375" style="2" customWidth="1"/>
    <col min="5" max="6" width="9.7109375" style="31" customWidth="1"/>
    <col min="7" max="7" width="9" style="31" customWidth="1"/>
    <col min="8" max="8" width="10.42578125" style="2" customWidth="1"/>
    <col min="9" max="9" width="11.7109375" style="2" customWidth="1"/>
    <col min="10" max="10" width="9.140625" style="2"/>
    <col min="11" max="11" width="11" style="2" customWidth="1"/>
    <col min="12" max="12" width="9.7109375" style="2" customWidth="1"/>
    <col min="13" max="13" width="11.5703125" style="2" customWidth="1"/>
    <col min="14" max="14" width="12.140625" style="2" bestFit="1" customWidth="1"/>
    <col min="15" max="15" width="11.140625" style="2" customWidth="1"/>
    <col min="16" max="17" width="9.140625" style="2"/>
    <col min="18" max="19" width="9.28515625" style="2" bestFit="1" customWidth="1"/>
    <col min="20" max="16384" width="9.140625" style="2"/>
  </cols>
  <sheetData>
    <row r="1" spans="2:13" ht="26.1" customHeight="1">
      <c r="B1" s="969" t="s">
        <v>618</v>
      </c>
      <c r="C1" s="969"/>
      <c r="D1" s="969"/>
      <c r="E1" s="969"/>
      <c r="F1" s="969"/>
      <c r="G1" s="969"/>
      <c r="H1" s="969"/>
      <c r="I1" s="969"/>
      <c r="J1" s="969"/>
      <c r="K1" s="985" t="s">
        <v>45</v>
      </c>
    </row>
    <row r="2" spans="2:13" ht="12.75" customHeight="1">
      <c r="B2" s="95"/>
      <c r="C2" s="95"/>
      <c r="D2" s="29"/>
      <c r="E2" s="29"/>
      <c r="F2" s="29"/>
      <c r="G2" s="29"/>
      <c r="H2" s="29"/>
      <c r="I2" s="29"/>
      <c r="J2" s="29"/>
      <c r="K2" s="985"/>
    </row>
    <row r="3" spans="2:13" ht="12.75" customHeight="1">
      <c r="B3" s="1043" t="s">
        <v>186</v>
      </c>
      <c r="C3" s="1043"/>
      <c r="D3" s="1043"/>
      <c r="E3" s="1043"/>
      <c r="F3" s="1043"/>
      <c r="G3" s="1043"/>
      <c r="H3" s="1043"/>
      <c r="I3" s="1043"/>
      <c r="J3" s="1043"/>
      <c r="K3" s="985"/>
    </row>
    <row r="4" spans="2:13" ht="12.75" customHeight="1">
      <c r="B4" s="1043"/>
      <c r="C4" s="1043"/>
      <c r="D4" s="1043"/>
      <c r="E4" s="1043"/>
      <c r="F4" s="1043"/>
      <c r="G4" s="1043"/>
      <c r="H4" s="1043"/>
      <c r="I4" s="1043"/>
      <c r="J4" s="1043"/>
      <c r="K4" s="985"/>
    </row>
    <row r="5" spans="2:13" ht="32.25" customHeight="1">
      <c r="B5" s="1120" t="s">
        <v>623</v>
      </c>
      <c r="C5" s="1120"/>
      <c r="D5" s="1120"/>
      <c r="E5" s="1120"/>
      <c r="F5" s="1120"/>
      <c r="G5" s="1120"/>
      <c r="H5" s="1120"/>
      <c r="I5" s="1120"/>
      <c r="J5" s="1120"/>
      <c r="K5" s="385"/>
      <c r="L5" s="385"/>
      <c r="M5" s="385"/>
    </row>
    <row r="6" spans="2:13">
      <c r="B6" s="385"/>
      <c r="C6" s="385"/>
      <c r="D6" s="385"/>
      <c r="E6" s="385"/>
      <c r="F6" s="385"/>
      <c r="G6" s="385"/>
      <c r="H6" s="385"/>
      <c r="I6" s="385"/>
      <c r="J6" s="385"/>
      <c r="K6" s="385"/>
      <c r="L6" s="385"/>
      <c r="M6" s="385"/>
    </row>
    <row r="7" spans="2:13" ht="12.75" customHeight="1"/>
    <row r="36" spans="1:18">
      <c r="B36" s="32" t="s">
        <v>538</v>
      </c>
      <c r="C36" s="32"/>
      <c r="D36" s="33"/>
      <c r="E36" s="34"/>
      <c r="F36" s="34"/>
      <c r="G36" s="34"/>
      <c r="H36" s="34"/>
      <c r="I36" s="34"/>
      <c r="J36" s="34"/>
      <c r="K36" s="34"/>
      <c r="L36" s="34"/>
      <c r="M36" s="31"/>
      <c r="N36" s="31"/>
      <c r="O36" s="35"/>
      <c r="P36" s="35"/>
      <c r="Q36" s="35"/>
      <c r="R36" s="35"/>
    </row>
    <row r="37" spans="1:18">
      <c r="B37" s="61" t="s">
        <v>624</v>
      </c>
      <c r="C37" s="32"/>
      <c r="D37" s="33"/>
      <c r="E37" s="34"/>
      <c r="F37" s="34"/>
      <c r="G37" s="34"/>
      <c r="H37" s="34"/>
      <c r="I37" s="34"/>
      <c r="J37" s="34"/>
      <c r="K37" s="34"/>
      <c r="L37" s="34"/>
      <c r="M37" s="31"/>
      <c r="N37" s="31"/>
      <c r="O37" s="35"/>
      <c r="P37" s="35"/>
      <c r="Q37" s="35"/>
      <c r="R37" s="35"/>
    </row>
    <row r="38" spans="1:18">
      <c r="B38" s="1121" t="s">
        <v>625</v>
      </c>
      <c r="C38" s="1121"/>
      <c r="D38" s="1121"/>
      <c r="E38" s="1121"/>
      <c r="F38" s="1121"/>
      <c r="G38" s="1121"/>
      <c r="H38" s="1121"/>
      <c r="I38" s="1121"/>
      <c r="J38" s="1121"/>
      <c r="K38" s="31"/>
      <c r="L38" s="31"/>
      <c r="M38" s="31"/>
      <c r="N38" s="31"/>
    </row>
    <row r="39" spans="1:18">
      <c r="B39" s="50" t="s">
        <v>11</v>
      </c>
      <c r="C39" s="50"/>
      <c r="E39" s="34"/>
      <c r="F39" s="34"/>
      <c r="G39" s="34"/>
      <c r="H39" s="34"/>
      <c r="I39" s="34"/>
      <c r="J39" s="34"/>
      <c r="K39" s="34"/>
      <c r="L39" s="34"/>
      <c r="M39" s="31"/>
      <c r="N39" s="31"/>
    </row>
    <row r="40" spans="1:18" ht="60" customHeight="1">
      <c r="B40" s="1125" t="s">
        <v>539</v>
      </c>
      <c r="C40" s="1125"/>
      <c r="D40" s="1125"/>
      <c r="E40" s="1125"/>
      <c r="F40" s="1125"/>
      <c r="G40" s="1125"/>
      <c r="H40" s="1125"/>
      <c r="I40" s="1125"/>
      <c r="J40" s="1125"/>
    </row>
    <row r="41" spans="1:18" ht="25.5" customHeight="1">
      <c r="B41" s="1038" t="s">
        <v>617</v>
      </c>
      <c r="C41" s="1122"/>
      <c r="D41" s="1039"/>
      <c r="E41" s="1062" t="s">
        <v>42</v>
      </c>
      <c r="F41" s="1063"/>
      <c r="G41" s="1063"/>
      <c r="H41" s="1063"/>
      <c r="I41" s="1064"/>
      <c r="J41" s="1015" t="s">
        <v>187</v>
      </c>
      <c r="K41" s="1016"/>
      <c r="L41" s="1016"/>
      <c r="M41" s="1017"/>
      <c r="N41" s="1119"/>
      <c r="O41" s="1118"/>
      <c r="P41" s="1118"/>
      <c r="Q41" s="1118"/>
    </row>
    <row r="42" spans="1:18" ht="45" customHeight="1">
      <c r="B42" s="268" t="s">
        <v>24</v>
      </c>
      <c r="C42" s="269"/>
      <c r="D42" s="266" t="s">
        <v>25</v>
      </c>
      <c r="E42" s="40" t="s">
        <v>453</v>
      </c>
      <c r="F42" s="81" t="s">
        <v>619</v>
      </c>
      <c r="G42" s="96" t="s">
        <v>188</v>
      </c>
      <c r="H42" s="40" t="s">
        <v>454</v>
      </c>
      <c r="I42" s="40" t="s">
        <v>620</v>
      </c>
      <c r="J42" s="40" t="s">
        <v>451</v>
      </c>
      <c r="K42" s="40" t="s">
        <v>452</v>
      </c>
      <c r="L42" s="40" t="s">
        <v>621</v>
      </c>
      <c r="M42" s="40" t="s">
        <v>622</v>
      </c>
      <c r="N42" s="255" t="s">
        <v>189</v>
      </c>
      <c r="O42" s="255" t="s">
        <v>190</v>
      </c>
      <c r="P42" s="255" t="s">
        <v>189</v>
      </c>
      <c r="Q42" s="255" t="s">
        <v>190</v>
      </c>
    </row>
    <row r="43" spans="1:18">
      <c r="A43" s="44" t="s">
        <v>57</v>
      </c>
      <c r="B43" s="111" t="str">
        <f t="shared" ref="B43" si="0">VLOOKUP(D43,Hospitals,3,FALSE)</f>
        <v>Scotland</v>
      </c>
      <c r="C43" s="270" t="str">
        <f t="shared" ref="C43:C53" si="1">B43&amp;" (n="&amp;M43&amp;")"</f>
        <v>Scotland (n=387)</v>
      </c>
      <c r="D43" s="45" t="s">
        <v>280</v>
      </c>
      <c r="E43" s="46">
        <f t="shared" ref="E43:E53" si="2">IF(ISERR(J43/K43*100),"",J43/K43*100)</f>
        <v>41.414141414141412</v>
      </c>
      <c r="F43" s="46">
        <f t="shared" ref="F43:F53" si="3">IF(ISERR(L43/M43*100),"",L43/M43*100)</f>
        <v>45.478036175710592</v>
      </c>
      <c r="G43" s="46">
        <v>80</v>
      </c>
      <c r="H43" s="46" t="str">
        <f t="shared" ref="H43:H53" si="4">IF(AND(AND(K43&gt;0,J43&gt;0),ROUND(SUM(100*((2*J43+1.96^2)-(1.96*(SQRT(1.96^2+4*J43*(1-(J43/K43))))))/(2*(K43+1.96^2))),0)&lt;0),CONCATENATE(SUM(1*0)," - ",ROUND(SUM(100*((2*J43+1.96^2)+(1.96*(SQRT(1.96^2+4*J43*(1-(J43/K43))))))/(2*(K43+1.96^2))),0)),IF(AND(AND(K43&gt;0,J43&gt;0),ROUND(SUM(100*((2*J43+1.96^2)-(1.96*(SQRT(1.96^2+4*J43*(1-(J43/K43))))))/(2*(K43+1.96^2))),0)&gt;=0),CONCATENATE(ROUND(SUM(100*((2*J43+1.96^2)-(1.96*(SQRT(1.96^2+4*J43*(1-(J43/K43))))))/(2*(K43+1.96^2))),0)," - ",ROUND(SUM(100*((2*J43+1.96^2)+(1.96*(SQRT(1.96^2+4*J43*(1-(J43/K43))))))/(2*(K43+1.96^2))),0)),""))</f>
        <v>37 - 46</v>
      </c>
      <c r="I43" s="46" t="str">
        <f t="shared" ref="I43:I53" si="5">IF(AND(AND(M43&gt;0,L43&gt;0),ROUND(SUM(100*((2*L43+1.96^2)-(1.96*(SQRT(1.96^2+4*L43*(1-(L43/M43))))))/(2*(M43+1.96^2))),0)&lt;0),CONCATENATE(SUM(1*0)," - ",ROUND(SUM(100*((2*L43+1.96^2)+(1.96*(SQRT(1.96^2+4*L43*(1-(L43/M43))))))/(2*(M43+1.96^2))),0)),IF(AND(AND(M43&gt;0,L43&gt;0),ROUND(SUM(100*((2*L43+1.96^2)-(1.96*(SQRT(1.96^2+4*L43*(1-(L43/M43))))))/(2*(M43+1.96^2))),0)&gt;=0),CONCATENATE(ROUND(SUM(100*((2*L43+1.96^2)-(1.96*(SQRT(1.96^2+4*L43*(1-(L43/M43))))))/(2*(M43+1.96^2))),0)," - ",ROUND(SUM(100*((2*L43+1.96^2)+(1.96*(SQRT(1.96^2+4*L43*(1-(L43/M43))))))/(2*(M43+1.96^2))),0)),""))</f>
        <v>41 - 50</v>
      </c>
      <c r="J43" s="46">
        <f>SUM(J44:J53)</f>
        <v>164</v>
      </c>
      <c r="K43" s="46">
        <f t="shared" ref="K43:M43" si="6">SUM(K44:K53)</f>
        <v>396</v>
      </c>
      <c r="L43" s="46">
        <f t="shared" si="6"/>
        <v>176</v>
      </c>
      <c r="M43" s="46">
        <f t="shared" si="6"/>
        <v>387</v>
      </c>
      <c r="N43" s="255">
        <f>SUM(1*MID(H43,1,FIND(" - ",H43)-1))</f>
        <v>37</v>
      </c>
      <c r="O43" s="255">
        <f>SUM(1*MID(H43,FIND(" - ",H43)+2,LEN(H43)))</f>
        <v>46</v>
      </c>
      <c r="P43" s="255">
        <f>SUM(1*MID(I43,1,FIND(" - ",I43)-1))</f>
        <v>41</v>
      </c>
      <c r="Q43" s="255">
        <f>SUM(1*MID(I43,FIND(" - ",I43)+2,LEN(I43)))</f>
        <v>50</v>
      </c>
    </row>
    <row r="44" spans="1:18">
      <c r="A44" s="44" t="s">
        <v>64</v>
      </c>
      <c r="B44" s="111" t="str">
        <f t="shared" ref="B44:B53" si="7">VLOOKUP(D44,Hospitals,3,FALSE)</f>
        <v>ARI</v>
      </c>
      <c r="C44" s="270" t="str">
        <f t="shared" si="1"/>
        <v>ARI (n=36)</v>
      </c>
      <c r="D44" s="45" t="s">
        <v>74</v>
      </c>
      <c r="E44" s="46">
        <f t="shared" si="2"/>
        <v>53.333333333333336</v>
      </c>
      <c r="F44" s="46">
        <f t="shared" si="3"/>
        <v>80.555555555555557</v>
      </c>
      <c r="G44" s="46">
        <v>80</v>
      </c>
      <c r="H44" s="46" t="str">
        <f t="shared" si="4"/>
        <v>36 - 70</v>
      </c>
      <c r="I44" s="46" t="str">
        <f t="shared" si="5"/>
        <v>65 - 90</v>
      </c>
      <c r="J44" s="46">
        <f t="shared" ref="J44:J53" si="8">VLOOKUP($D44,$D$83:$G$93,3,FALSE)</f>
        <v>16</v>
      </c>
      <c r="K44" s="46">
        <f t="shared" ref="K44:K53" si="9">VLOOKUP($D44,$D$83:$G$93,4,FALSE)</f>
        <v>30</v>
      </c>
      <c r="L44" s="46">
        <f t="shared" ref="L44:L53" si="10">VLOOKUP($D44,$D$95:$G$105,3,FALSE)</f>
        <v>29</v>
      </c>
      <c r="M44" s="46">
        <f t="shared" ref="M44:M53" si="11">VLOOKUP($D44,$D$95:$G$105,4,FALSE)</f>
        <v>36</v>
      </c>
      <c r="N44" s="255">
        <f>L44/M44</f>
        <v>0.80555555555555558</v>
      </c>
      <c r="O44" s="255">
        <f t="shared" ref="O44:O53" si="12">SUM(1*MID(H44,FIND(" - ",H44)+2,LEN(H44)))</f>
        <v>70</v>
      </c>
      <c r="P44" s="255">
        <f t="shared" ref="P44:P53" si="13">SUM(1*MID(I44,1,FIND(" - ",I44)-1))</f>
        <v>65</v>
      </c>
      <c r="Q44" s="255">
        <f t="shared" ref="Q44:Q53" si="14">SUM(1*MID(I44,FIND(" - ",I44)+2,LEN(I44)))</f>
        <v>90</v>
      </c>
    </row>
    <row r="45" spans="1:18">
      <c r="A45" s="44" t="s">
        <v>70</v>
      </c>
      <c r="B45" s="111" t="str">
        <f t="shared" si="7"/>
        <v>RIE</v>
      </c>
      <c r="C45" s="270" t="str">
        <f t="shared" si="1"/>
        <v>RIE (n=58)</v>
      </c>
      <c r="D45" s="45" t="s">
        <v>108</v>
      </c>
      <c r="E45" s="46">
        <f t="shared" si="2"/>
        <v>57.407407407407405</v>
      </c>
      <c r="F45" s="46">
        <f t="shared" si="3"/>
        <v>60.344827586206897</v>
      </c>
      <c r="G45" s="46">
        <v>80</v>
      </c>
      <c r="H45" s="46" t="str">
        <f t="shared" si="4"/>
        <v>44 - 70</v>
      </c>
      <c r="I45" s="46" t="str">
        <f t="shared" si="5"/>
        <v>47 - 72</v>
      </c>
      <c r="J45" s="46">
        <f t="shared" si="8"/>
        <v>31</v>
      </c>
      <c r="K45" s="46">
        <f t="shared" si="9"/>
        <v>54</v>
      </c>
      <c r="L45" s="46">
        <f t="shared" si="10"/>
        <v>35</v>
      </c>
      <c r="M45" s="46">
        <f t="shared" si="11"/>
        <v>58</v>
      </c>
      <c r="N45" s="255">
        <f t="shared" ref="N45:N53" si="15">SUM(1*MID(H45,1,FIND(" - ",H45)-1))</f>
        <v>44</v>
      </c>
      <c r="O45" s="255">
        <f t="shared" si="12"/>
        <v>70</v>
      </c>
      <c r="P45" s="255">
        <f t="shared" si="13"/>
        <v>47</v>
      </c>
      <c r="Q45" s="255">
        <f t="shared" si="14"/>
        <v>72</v>
      </c>
    </row>
    <row r="46" spans="1:18">
      <c r="A46" s="44" t="s">
        <v>191</v>
      </c>
      <c r="B46" s="111" t="str">
        <f t="shared" si="7"/>
        <v>QEUH</v>
      </c>
      <c r="C46" s="270" t="str">
        <f t="shared" si="1"/>
        <v>QEUH (n=100)</v>
      </c>
      <c r="D46" s="45" t="s">
        <v>447</v>
      </c>
      <c r="E46" s="46">
        <f t="shared" si="2"/>
        <v>37.254901960784316</v>
      </c>
      <c r="F46" s="46">
        <f t="shared" si="3"/>
        <v>50</v>
      </c>
      <c r="G46" s="46">
        <v>80</v>
      </c>
      <c r="H46" s="46" t="str">
        <f t="shared" si="4"/>
        <v>28 - 47</v>
      </c>
      <c r="I46" s="46" t="str">
        <f t="shared" si="5"/>
        <v>40 - 60</v>
      </c>
      <c r="J46" s="46">
        <f t="shared" si="8"/>
        <v>38</v>
      </c>
      <c r="K46" s="46">
        <f t="shared" si="9"/>
        <v>102</v>
      </c>
      <c r="L46" s="46">
        <f t="shared" si="10"/>
        <v>50</v>
      </c>
      <c r="M46" s="46">
        <f t="shared" si="11"/>
        <v>100</v>
      </c>
      <c r="N46" s="255">
        <f t="shared" si="15"/>
        <v>28</v>
      </c>
      <c r="O46" s="255">
        <f t="shared" si="12"/>
        <v>47</v>
      </c>
      <c r="P46" s="255">
        <f t="shared" si="13"/>
        <v>40</v>
      </c>
      <c r="Q46" s="255">
        <f t="shared" si="14"/>
        <v>60</v>
      </c>
    </row>
    <row r="47" spans="1:18">
      <c r="A47" s="44"/>
      <c r="B47" s="111" t="str">
        <f t="shared" si="7"/>
        <v>Ayr</v>
      </c>
      <c r="C47" s="270" t="str">
        <f t="shared" si="1"/>
        <v>Ayr (n=37)</v>
      </c>
      <c r="D47" s="45" t="s">
        <v>57</v>
      </c>
      <c r="E47" s="46">
        <f t="shared" si="2"/>
        <v>52</v>
      </c>
      <c r="F47" s="46">
        <f t="shared" si="3"/>
        <v>48.648648648648653</v>
      </c>
      <c r="G47" s="46">
        <v>80</v>
      </c>
      <c r="H47" s="46" t="str">
        <f t="shared" si="4"/>
        <v>33 - 70</v>
      </c>
      <c r="I47" s="46" t="str">
        <f t="shared" si="5"/>
        <v>33 - 64</v>
      </c>
      <c r="J47" s="46">
        <f t="shared" si="8"/>
        <v>13</v>
      </c>
      <c r="K47" s="46">
        <f t="shared" si="9"/>
        <v>25</v>
      </c>
      <c r="L47" s="46">
        <f t="shared" si="10"/>
        <v>18</v>
      </c>
      <c r="M47" s="46">
        <f t="shared" si="11"/>
        <v>37</v>
      </c>
      <c r="N47" s="255"/>
      <c r="O47" s="255"/>
      <c r="P47" s="255"/>
      <c r="Q47" s="255"/>
    </row>
    <row r="48" spans="1:18">
      <c r="A48" s="44" t="s">
        <v>86</v>
      </c>
      <c r="B48" s="111" t="str">
        <f t="shared" si="7"/>
        <v>Ninewells</v>
      </c>
      <c r="C48" s="270" t="str">
        <f t="shared" si="1"/>
        <v>Ninewells (n=26)</v>
      </c>
      <c r="D48" s="45" t="s">
        <v>123</v>
      </c>
      <c r="E48" s="46">
        <f t="shared" si="2"/>
        <v>77.777777777777786</v>
      </c>
      <c r="F48" s="46">
        <f t="shared" si="3"/>
        <v>38.461538461538467</v>
      </c>
      <c r="G48" s="46">
        <v>80</v>
      </c>
      <c r="H48" s="46" t="str">
        <f t="shared" si="4"/>
        <v>59 - 89</v>
      </c>
      <c r="I48" s="46" t="str">
        <f t="shared" si="5"/>
        <v>22 - 57</v>
      </c>
      <c r="J48" s="46">
        <f t="shared" si="8"/>
        <v>21</v>
      </c>
      <c r="K48" s="46">
        <f t="shared" si="9"/>
        <v>27</v>
      </c>
      <c r="L48" s="46">
        <f t="shared" si="10"/>
        <v>10</v>
      </c>
      <c r="M48" s="46">
        <f t="shared" si="11"/>
        <v>26</v>
      </c>
      <c r="N48" s="255">
        <f t="shared" si="15"/>
        <v>59</v>
      </c>
      <c r="O48" s="255">
        <f t="shared" si="12"/>
        <v>89</v>
      </c>
      <c r="P48" s="255">
        <f t="shared" si="13"/>
        <v>22</v>
      </c>
      <c r="Q48" s="255">
        <f t="shared" si="14"/>
        <v>57</v>
      </c>
    </row>
    <row r="49" spans="1:17" s="332" customFormat="1">
      <c r="A49" s="44"/>
      <c r="B49" s="111" t="str">
        <f t="shared" si="7"/>
        <v>Hairmyres</v>
      </c>
      <c r="C49" s="270" t="str">
        <f t="shared" si="1"/>
        <v>Hairmyres (n=50)</v>
      </c>
      <c r="D49" s="45" t="s">
        <v>100</v>
      </c>
      <c r="E49" s="46">
        <f t="shared" si="2"/>
        <v>31.746031746031743</v>
      </c>
      <c r="F49" s="46">
        <f t="shared" si="3"/>
        <v>36</v>
      </c>
      <c r="G49" s="46">
        <v>80</v>
      </c>
      <c r="H49" s="46" t="str">
        <f t="shared" si="4"/>
        <v>22 - 44</v>
      </c>
      <c r="I49" s="46" t="str">
        <f t="shared" si="5"/>
        <v>24 - 50</v>
      </c>
      <c r="J49" s="46">
        <f t="shared" si="8"/>
        <v>20</v>
      </c>
      <c r="K49" s="46">
        <f t="shared" si="9"/>
        <v>63</v>
      </c>
      <c r="L49" s="46">
        <f t="shared" si="10"/>
        <v>18</v>
      </c>
      <c r="M49" s="46">
        <f t="shared" si="11"/>
        <v>50</v>
      </c>
      <c r="N49" s="333"/>
      <c r="O49" s="333"/>
      <c r="P49" s="333"/>
      <c r="Q49" s="333"/>
    </row>
    <row r="50" spans="1:17">
      <c r="A50" s="44" t="s">
        <v>100</v>
      </c>
      <c r="B50" s="111" t="str">
        <f t="shared" si="7"/>
        <v>FVRH</v>
      </c>
      <c r="C50" s="270" t="str">
        <f t="shared" si="1"/>
        <v>FVRH (n=26)</v>
      </c>
      <c r="D50" s="45" t="s">
        <v>72</v>
      </c>
      <c r="E50" s="46">
        <f t="shared" si="2"/>
        <v>35.483870967741936</v>
      </c>
      <c r="F50" s="46">
        <f t="shared" si="3"/>
        <v>34.615384615384613</v>
      </c>
      <c r="G50" s="46">
        <v>80</v>
      </c>
      <c r="H50" s="46" t="str">
        <f t="shared" si="4"/>
        <v>21 - 53</v>
      </c>
      <c r="I50" s="46" t="str">
        <f t="shared" si="5"/>
        <v>19 - 54</v>
      </c>
      <c r="J50" s="46">
        <f t="shared" si="8"/>
        <v>11</v>
      </c>
      <c r="K50" s="46">
        <f t="shared" si="9"/>
        <v>31</v>
      </c>
      <c r="L50" s="46">
        <f t="shared" si="10"/>
        <v>9</v>
      </c>
      <c r="M50" s="46">
        <f t="shared" si="11"/>
        <v>26</v>
      </c>
      <c r="N50" s="255">
        <f t="shared" si="15"/>
        <v>21</v>
      </c>
      <c r="O50" s="255">
        <f t="shared" si="12"/>
        <v>53</v>
      </c>
      <c r="P50" s="255">
        <f t="shared" si="13"/>
        <v>19</v>
      </c>
      <c r="Q50" s="255">
        <f t="shared" si="14"/>
        <v>54</v>
      </c>
    </row>
    <row r="51" spans="1:17">
      <c r="A51" s="44" t="s">
        <v>192</v>
      </c>
      <c r="B51" s="111" t="str">
        <f t="shared" si="7"/>
        <v>VHK</v>
      </c>
      <c r="C51" s="270" t="str">
        <f t="shared" si="1"/>
        <v>VHK (n=5)</v>
      </c>
      <c r="D51" s="45" t="s">
        <v>281</v>
      </c>
      <c r="E51" s="46">
        <f t="shared" si="2"/>
        <v>33.333333333333329</v>
      </c>
      <c r="F51" s="46">
        <f t="shared" si="3"/>
        <v>20</v>
      </c>
      <c r="G51" s="46">
        <v>80</v>
      </c>
      <c r="H51" s="46" t="str">
        <f t="shared" si="4"/>
        <v>12 - 65</v>
      </c>
      <c r="I51" s="46" t="str">
        <f t="shared" si="5"/>
        <v>4 - 62</v>
      </c>
      <c r="J51" s="46">
        <f t="shared" si="8"/>
        <v>3</v>
      </c>
      <c r="K51" s="46">
        <f t="shared" si="9"/>
        <v>9</v>
      </c>
      <c r="L51" s="46">
        <f t="shared" si="10"/>
        <v>1</v>
      </c>
      <c r="M51" s="46">
        <f t="shared" si="11"/>
        <v>5</v>
      </c>
      <c r="N51" s="255">
        <f t="shared" si="15"/>
        <v>12</v>
      </c>
      <c r="O51" s="255">
        <f t="shared" si="12"/>
        <v>65</v>
      </c>
      <c r="P51" s="255">
        <f t="shared" si="13"/>
        <v>4</v>
      </c>
      <c r="Q51" s="255">
        <f t="shared" si="14"/>
        <v>62</v>
      </c>
    </row>
    <row r="52" spans="1:17">
      <c r="A52" s="44" t="s">
        <v>123</v>
      </c>
      <c r="B52" s="111" t="str">
        <f t="shared" si="7"/>
        <v>Raigmore</v>
      </c>
      <c r="C52" s="270" t="str">
        <f t="shared" si="1"/>
        <v>Raigmore (n=27)</v>
      </c>
      <c r="D52" s="45" t="s">
        <v>97</v>
      </c>
      <c r="E52" s="46">
        <f t="shared" si="2"/>
        <v>3.8461538461538463</v>
      </c>
      <c r="F52" s="46">
        <f t="shared" si="3"/>
        <v>14.814814814814813</v>
      </c>
      <c r="G52" s="46">
        <v>80</v>
      </c>
      <c r="H52" s="46" t="str">
        <f t="shared" si="4"/>
        <v>1 - 19</v>
      </c>
      <c r="I52" s="46" t="str">
        <f t="shared" si="5"/>
        <v>6 - 32</v>
      </c>
      <c r="J52" s="46">
        <f t="shared" si="8"/>
        <v>1</v>
      </c>
      <c r="K52" s="46">
        <f t="shared" si="9"/>
        <v>26</v>
      </c>
      <c r="L52" s="46">
        <f t="shared" si="10"/>
        <v>4</v>
      </c>
      <c r="M52" s="46">
        <f t="shared" si="11"/>
        <v>27</v>
      </c>
      <c r="N52" s="255">
        <f t="shared" si="15"/>
        <v>1</v>
      </c>
      <c r="O52" s="255">
        <f t="shared" si="12"/>
        <v>19</v>
      </c>
      <c r="P52" s="255">
        <f t="shared" si="13"/>
        <v>6</v>
      </c>
      <c r="Q52" s="255">
        <f t="shared" si="14"/>
        <v>32</v>
      </c>
    </row>
    <row r="53" spans="1:17">
      <c r="A53" s="44" t="s">
        <v>134</v>
      </c>
      <c r="B53" s="111" t="str">
        <f t="shared" si="7"/>
        <v>DGRI</v>
      </c>
      <c r="C53" s="270" t="str">
        <f t="shared" si="1"/>
        <v>DGRI (n=22)</v>
      </c>
      <c r="D53" s="45" t="s">
        <v>64</v>
      </c>
      <c r="E53" s="46">
        <f t="shared" si="2"/>
        <v>34.482758620689658</v>
      </c>
      <c r="F53" s="46">
        <f t="shared" si="3"/>
        <v>9.0909090909090917</v>
      </c>
      <c r="G53" s="46">
        <v>80</v>
      </c>
      <c r="H53" s="46" t="str">
        <f t="shared" si="4"/>
        <v>20 - 53</v>
      </c>
      <c r="I53" s="46" t="str">
        <f t="shared" si="5"/>
        <v>3 - 28</v>
      </c>
      <c r="J53" s="46">
        <f t="shared" si="8"/>
        <v>10</v>
      </c>
      <c r="K53" s="46">
        <f t="shared" si="9"/>
        <v>29</v>
      </c>
      <c r="L53" s="46">
        <f t="shared" si="10"/>
        <v>2</v>
      </c>
      <c r="M53" s="46">
        <f t="shared" si="11"/>
        <v>22</v>
      </c>
      <c r="N53" s="255">
        <f t="shared" si="15"/>
        <v>20</v>
      </c>
      <c r="O53" s="255">
        <f t="shared" si="12"/>
        <v>53</v>
      </c>
      <c r="P53" s="255">
        <f t="shared" si="13"/>
        <v>3</v>
      </c>
      <c r="Q53" s="255">
        <f t="shared" si="14"/>
        <v>28</v>
      </c>
    </row>
    <row r="54" spans="1:17">
      <c r="B54" s="61"/>
      <c r="C54" s="61"/>
      <c r="G54" s="97"/>
    </row>
    <row r="55" spans="1:17">
      <c r="B55" s="51"/>
      <c r="C55" s="51"/>
      <c r="D55" s="66"/>
      <c r="E55" s="34"/>
      <c r="F55" s="34"/>
      <c r="G55" s="74"/>
      <c r="H55" s="66"/>
      <c r="I55" s="66"/>
    </row>
    <row r="56" spans="1:17" ht="30" customHeight="1">
      <c r="B56" s="1030" t="s">
        <v>135</v>
      </c>
      <c r="C56" s="1084"/>
      <c r="D56" s="1031"/>
      <c r="E56" s="976" t="str">
        <f>F42&amp;" (%)"</f>
        <v>2016 &lt;=14 days (%)</v>
      </c>
      <c r="F56" s="1056"/>
      <c r="G56" s="1058"/>
      <c r="H56" s="1039" t="s">
        <v>17</v>
      </c>
      <c r="I56" s="1046"/>
      <c r="J56" s="1119"/>
      <c r="K56" s="1118"/>
    </row>
    <row r="57" spans="1:17" ht="35.1" customHeight="1">
      <c r="B57" s="52"/>
      <c r="C57" s="267"/>
      <c r="D57" s="53" t="s">
        <v>137</v>
      </c>
      <c r="E57" s="54" t="s">
        <v>138</v>
      </c>
      <c r="F57" s="55" t="s">
        <v>52</v>
      </c>
      <c r="G57" s="1061"/>
      <c r="H57" s="57" t="s">
        <v>26</v>
      </c>
      <c r="I57" s="58" t="s">
        <v>27</v>
      </c>
      <c r="J57" s="256" t="s">
        <v>189</v>
      </c>
      <c r="K57" s="255" t="s">
        <v>190</v>
      </c>
    </row>
    <row r="58" spans="1:17">
      <c r="A58" s="44" t="str">
        <f>D58</f>
        <v>Ayrshire &amp; Arran</v>
      </c>
      <c r="B58" s="1048"/>
      <c r="C58" s="263"/>
      <c r="D58" s="99" t="s">
        <v>33</v>
      </c>
      <c r="E58" s="259">
        <f>IF(OR(ISERR(H58/I58*100),ISNA(H58/I58*100)),"",H58/I58*100)</f>
        <v>48.648648648648653</v>
      </c>
      <c r="F58" s="259" t="str">
        <f t="shared" ref="F58:F70" si="16">IF(AND(I58&gt;0,ROUND(SUM(100*((2*H58+1.96^2)-(1.96*(SQRT(1.96^2+4*H58*(1-(H58/I58))))))/(2*(I58+1.96^2))),0)&lt;0),CONCATENATE(SUM(1*0)," - ",ROUND(SUM(100*((2*H58+1.96^2)+(1.96*(SQRT(1.96^2+4*H58*(1-(H58/I58))))))/(2*(I58+1.96^2))),0)),IF(AND(I58&gt;0,ROUND(SUM(100*((2*H58+1.96^2)-(1.96*(SQRT(1.96^2+4*H58*(1-(H58/I58))))))/(2*(I58+1.96^2))),0)&gt;=0),CONCATENATE(ROUND(SUM(100*((2*H58+1.96^2)-(1.96*(SQRT(1.96^2+4*H58*(1-(H58/I58))))))/(2*(I58+1.96^2))),0)," - ",ROUND(SUM(100*((2*H58+1.96^2)+(1.96*(SQRT(1.96^2+4*H58*(1-(H58/I58))))))/(2*(I58+1.96^2))),0)),""))</f>
        <v>33 - 64</v>
      </c>
      <c r="G58" s="1123"/>
      <c r="H58" s="260">
        <f>L47</f>
        <v>18</v>
      </c>
      <c r="I58" s="260">
        <f>M47</f>
        <v>37</v>
      </c>
      <c r="J58" s="256">
        <f t="shared" ref="J58:J71" si="17">SUM(1*MID(F58,1,FIND(" - ",F58)-1))</f>
        <v>33</v>
      </c>
      <c r="K58" s="255">
        <f t="shared" ref="K58:K71" si="18">SUM(1*MID(F58,FIND(" - ",F58)+2,LEN(F58)))</f>
        <v>64</v>
      </c>
    </row>
    <row r="59" spans="1:17">
      <c r="A59" s="44" t="str">
        <f t="shared" ref="A59:A71" si="19">D59</f>
        <v>Borders*</v>
      </c>
      <c r="B59" s="1049"/>
      <c r="C59" s="264"/>
      <c r="D59" s="99" t="s">
        <v>193</v>
      </c>
      <c r="E59" s="259" t="str">
        <f t="shared" ref="E59:E70" si="20">IF(ISERR(H59/I59*100),"",H59/I59*100)</f>
        <v/>
      </c>
      <c r="F59" s="259"/>
      <c r="G59" s="1123"/>
      <c r="H59" s="260"/>
      <c r="I59" s="261"/>
      <c r="J59" s="257" t="e">
        <f t="shared" si="17"/>
        <v>#VALUE!</v>
      </c>
      <c r="K59" s="258" t="e">
        <f t="shared" si="18"/>
        <v>#VALUE!</v>
      </c>
    </row>
    <row r="60" spans="1:17">
      <c r="A60" s="44" t="str">
        <f t="shared" si="19"/>
        <v>Dumfries &amp; Galloway</v>
      </c>
      <c r="B60" s="1049"/>
      <c r="C60" s="264"/>
      <c r="D60" s="99" t="s">
        <v>31</v>
      </c>
      <c r="E60" s="259">
        <f t="shared" si="20"/>
        <v>9.0909090909090917</v>
      </c>
      <c r="F60" s="259" t="str">
        <f t="shared" si="16"/>
        <v>3 - 28</v>
      </c>
      <c r="G60" s="1123"/>
      <c r="H60" s="260">
        <f>L53</f>
        <v>2</v>
      </c>
      <c r="I60" s="260">
        <f>M53</f>
        <v>22</v>
      </c>
      <c r="J60" s="257">
        <f t="shared" si="17"/>
        <v>3</v>
      </c>
      <c r="K60" s="258">
        <f t="shared" si="18"/>
        <v>28</v>
      </c>
    </row>
    <row r="61" spans="1:17">
      <c r="A61" s="44" t="str">
        <f t="shared" si="19"/>
        <v>Fife</v>
      </c>
      <c r="B61" s="1049"/>
      <c r="C61" s="264"/>
      <c r="D61" s="99" t="s">
        <v>30</v>
      </c>
      <c r="E61" s="259">
        <f t="shared" si="20"/>
        <v>20</v>
      </c>
      <c r="F61" s="259" t="str">
        <f t="shared" si="16"/>
        <v>4 - 62</v>
      </c>
      <c r="G61" s="1123"/>
      <c r="H61" s="260">
        <f>L51</f>
        <v>1</v>
      </c>
      <c r="I61" s="260">
        <f>M51</f>
        <v>5</v>
      </c>
      <c r="J61" s="257">
        <f t="shared" si="17"/>
        <v>4</v>
      </c>
      <c r="K61" s="258">
        <f t="shared" si="18"/>
        <v>62</v>
      </c>
    </row>
    <row r="62" spans="1:17">
      <c r="A62" s="44" t="str">
        <f t="shared" si="19"/>
        <v>Forth Valley</v>
      </c>
      <c r="B62" s="1049"/>
      <c r="C62" s="264"/>
      <c r="D62" s="99" t="s">
        <v>35</v>
      </c>
      <c r="E62" s="259">
        <f t="shared" si="20"/>
        <v>34.615384615384613</v>
      </c>
      <c r="F62" s="259" t="str">
        <f t="shared" si="16"/>
        <v>19 - 54</v>
      </c>
      <c r="G62" s="1123"/>
      <c r="H62" s="260">
        <f>L50</f>
        <v>9</v>
      </c>
      <c r="I62" s="260">
        <f>M50</f>
        <v>26</v>
      </c>
      <c r="J62" s="257">
        <f t="shared" si="17"/>
        <v>19</v>
      </c>
      <c r="K62" s="258">
        <f t="shared" si="18"/>
        <v>54</v>
      </c>
    </row>
    <row r="63" spans="1:17">
      <c r="A63" s="44" t="str">
        <f>D63</f>
        <v>Grampian</v>
      </c>
      <c r="B63" s="1049"/>
      <c r="C63" s="264"/>
      <c r="D63" s="99" t="s">
        <v>34</v>
      </c>
      <c r="E63" s="259">
        <f>IF(ISERR(H63/I63*100),"",H63/I63*100)</f>
        <v>80.555555555555557</v>
      </c>
      <c r="F63" s="259" t="str">
        <f>IF(AND(I63&gt;0,ROUND(SUM(100*((2*H63+1.96^2)-(1.96*(SQRT(1.96^2+4*H63*(1-(H63/I63))))))/(2*(I63+1.96^2))),0)&lt;0),CONCATENATE(SUM(1*0)," - ",ROUND(SUM(100*((2*H63+1.96^2)+(1.96*(SQRT(1.96^2+4*H63*(1-(H63/I63))))))/(2*(I63+1.96^2))),0)),IF(AND(I63&gt;0,ROUND(SUM(100*((2*H63+1.96^2)-(1.96*(SQRT(1.96^2+4*H63*(1-(H63/I63))))))/(2*(I63+1.96^2))),0)&gt;=0),CONCATENATE(ROUND(SUM(100*((2*H63+1.96^2)-(1.96*(SQRT(1.96^2+4*H63*(1-(H63/I63))))))/(2*(I63+1.96^2))),0)," - ",ROUND(SUM(100*((2*H63+1.96^2)+(1.96*(SQRT(1.96^2+4*H63*(1-(H63/I63))))))/(2*(I63+1.96^2))),0)),""))</f>
        <v>65 - 90</v>
      </c>
      <c r="G63" s="1123"/>
      <c r="H63" s="260">
        <f>L44</f>
        <v>29</v>
      </c>
      <c r="I63" s="260">
        <f>M44</f>
        <v>36</v>
      </c>
      <c r="J63" s="257">
        <f>SUM(1*MID(F63,1,FIND(" - ",F63)-1))</f>
        <v>65</v>
      </c>
      <c r="K63" s="258">
        <f>SUM(1*MID(F63,FIND(" - ",F63)+2,LEN(F63)))</f>
        <v>90</v>
      </c>
    </row>
    <row r="64" spans="1:17">
      <c r="A64" s="44" t="str">
        <f t="shared" si="19"/>
        <v>Greater Glasgow &amp; Clyde</v>
      </c>
      <c r="B64" s="1049"/>
      <c r="C64" s="264"/>
      <c r="D64" s="99" t="s">
        <v>40</v>
      </c>
      <c r="E64" s="259">
        <f t="shared" si="20"/>
        <v>50</v>
      </c>
      <c r="F64" s="259" t="str">
        <f t="shared" si="16"/>
        <v>40 - 60</v>
      </c>
      <c r="G64" s="1123"/>
      <c r="H64" s="260">
        <f>L46</f>
        <v>50</v>
      </c>
      <c r="I64" s="260">
        <f>M46</f>
        <v>100</v>
      </c>
      <c r="J64" s="257">
        <f t="shared" si="17"/>
        <v>40</v>
      </c>
      <c r="K64" s="258">
        <f t="shared" si="18"/>
        <v>60</v>
      </c>
    </row>
    <row r="65" spans="1:14">
      <c r="A65" s="44" t="str">
        <f t="shared" si="19"/>
        <v>Highland</v>
      </c>
      <c r="B65" s="1049"/>
      <c r="C65" s="264"/>
      <c r="D65" s="99" t="s">
        <v>36</v>
      </c>
      <c r="E65" s="259">
        <f t="shared" si="20"/>
        <v>14.814814814814813</v>
      </c>
      <c r="F65" s="259" t="str">
        <f t="shared" si="16"/>
        <v>6 - 32</v>
      </c>
      <c r="G65" s="1123"/>
      <c r="H65" s="260">
        <f>L52</f>
        <v>4</v>
      </c>
      <c r="I65" s="260">
        <f>M52</f>
        <v>27</v>
      </c>
      <c r="J65" s="257">
        <f t="shared" si="17"/>
        <v>6</v>
      </c>
      <c r="K65" s="258">
        <f t="shared" si="18"/>
        <v>32</v>
      </c>
    </row>
    <row r="66" spans="1:14">
      <c r="A66" s="44" t="str">
        <f t="shared" si="19"/>
        <v>Lanarkshire</v>
      </c>
      <c r="B66" s="1049"/>
      <c r="C66" s="264"/>
      <c r="D66" s="99" t="s">
        <v>29</v>
      </c>
      <c r="E66" s="259">
        <f t="shared" si="20"/>
        <v>36</v>
      </c>
      <c r="F66" s="259" t="str">
        <f t="shared" si="16"/>
        <v>24 - 50</v>
      </c>
      <c r="G66" s="1123"/>
      <c r="H66" s="260">
        <f>L49</f>
        <v>18</v>
      </c>
      <c r="I66" s="260">
        <f>M49</f>
        <v>50</v>
      </c>
      <c r="J66" s="257">
        <f t="shared" si="17"/>
        <v>24</v>
      </c>
      <c r="K66" s="258">
        <f t="shared" si="18"/>
        <v>50</v>
      </c>
    </row>
    <row r="67" spans="1:14">
      <c r="A67" s="44" t="str">
        <f t="shared" si="19"/>
        <v>Lothian</v>
      </c>
      <c r="B67" s="1049"/>
      <c r="C67" s="264"/>
      <c r="D67" s="99" t="s">
        <v>38</v>
      </c>
      <c r="E67" s="259">
        <f t="shared" si="20"/>
        <v>60.344827586206897</v>
      </c>
      <c r="F67" s="259" t="str">
        <f t="shared" si="16"/>
        <v>47 - 72</v>
      </c>
      <c r="G67" s="1123"/>
      <c r="H67" s="260">
        <f>L45</f>
        <v>35</v>
      </c>
      <c r="I67" s="260">
        <f>M45</f>
        <v>58</v>
      </c>
      <c r="J67" s="257">
        <f t="shared" si="17"/>
        <v>47</v>
      </c>
      <c r="K67" s="258">
        <f t="shared" si="18"/>
        <v>72</v>
      </c>
    </row>
    <row r="68" spans="1:14">
      <c r="A68" s="44" t="str">
        <f t="shared" si="19"/>
        <v>Orkney*</v>
      </c>
      <c r="B68" s="1049"/>
      <c r="C68" s="264"/>
      <c r="D68" s="99" t="s">
        <v>194</v>
      </c>
      <c r="E68" s="259"/>
      <c r="F68" s="259"/>
      <c r="G68" s="1123"/>
      <c r="H68" s="260"/>
      <c r="I68" s="261"/>
      <c r="J68" s="257" t="e">
        <f t="shared" si="17"/>
        <v>#VALUE!</v>
      </c>
      <c r="K68" s="258" t="e">
        <f t="shared" si="18"/>
        <v>#VALUE!</v>
      </c>
    </row>
    <row r="69" spans="1:14">
      <c r="A69" s="44" t="str">
        <f t="shared" si="19"/>
        <v>Shetland*</v>
      </c>
      <c r="B69" s="1049"/>
      <c r="C69" s="264"/>
      <c r="D69" s="99" t="s">
        <v>195</v>
      </c>
      <c r="E69" s="259"/>
      <c r="F69" s="259"/>
      <c r="G69" s="1123"/>
      <c r="H69" s="260"/>
      <c r="I69" s="261"/>
      <c r="J69" s="257" t="e">
        <f t="shared" si="17"/>
        <v>#VALUE!</v>
      </c>
      <c r="K69" s="258" t="e">
        <f t="shared" si="18"/>
        <v>#VALUE!</v>
      </c>
    </row>
    <row r="70" spans="1:14">
      <c r="A70" s="44" t="str">
        <f t="shared" si="19"/>
        <v>Tayside</v>
      </c>
      <c r="B70" s="1049"/>
      <c r="C70" s="264"/>
      <c r="D70" s="99" t="s">
        <v>32</v>
      </c>
      <c r="E70" s="259">
        <f t="shared" si="20"/>
        <v>38.461538461538467</v>
      </c>
      <c r="F70" s="259" t="str">
        <f t="shared" si="16"/>
        <v>22 - 57</v>
      </c>
      <c r="G70" s="1123"/>
      <c r="H70" s="260">
        <f>L48</f>
        <v>10</v>
      </c>
      <c r="I70" s="260">
        <f>M48</f>
        <v>26</v>
      </c>
      <c r="J70" s="257">
        <f t="shared" si="17"/>
        <v>22</v>
      </c>
      <c r="K70" s="258">
        <f t="shared" si="18"/>
        <v>57</v>
      </c>
    </row>
    <row r="71" spans="1:14">
      <c r="A71" s="44" t="str">
        <f t="shared" si="19"/>
        <v>Western Isles*</v>
      </c>
      <c r="B71" s="1050"/>
      <c r="C71" s="265"/>
      <c r="D71" s="99" t="s">
        <v>196</v>
      </c>
      <c r="E71" s="259"/>
      <c r="F71" s="259"/>
      <c r="G71" s="1124"/>
      <c r="H71" s="260"/>
      <c r="I71" s="261"/>
      <c r="J71" s="257" t="e">
        <f t="shared" si="17"/>
        <v>#VALUE!</v>
      </c>
      <c r="K71" s="258" t="e">
        <f t="shared" si="18"/>
        <v>#VALUE!</v>
      </c>
    </row>
    <row r="72" spans="1:14">
      <c r="B72" s="51"/>
      <c r="C72" s="51"/>
      <c r="D72" s="33"/>
      <c r="E72" s="34"/>
      <c r="F72" s="34"/>
      <c r="H72" s="35"/>
      <c r="I72" s="35"/>
    </row>
    <row r="73" spans="1:14">
      <c r="B73" s="943" t="s">
        <v>197</v>
      </c>
      <c r="C73" s="943"/>
      <c r="D73" s="943"/>
      <c r="E73" s="943"/>
      <c r="F73" s="943"/>
      <c r="G73" s="943"/>
      <c r="H73" s="943"/>
      <c r="I73" s="943"/>
      <c r="J73" s="943"/>
      <c r="K73" s="34"/>
      <c r="L73" s="34"/>
      <c r="M73" s="31"/>
      <c r="N73" s="31"/>
    </row>
    <row r="74" spans="1:14">
      <c r="B74" s="73"/>
      <c r="C74" s="73"/>
      <c r="D74" s="73"/>
      <c r="E74" s="73"/>
      <c r="F74" s="73"/>
      <c r="G74" s="73"/>
      <c r="H74" s="73"/>
      <c r="I74" s="73"/>
      <c r="J74" s="73"/>
      <c r="K74" s="34"/>
      <c r="L74" s="34"/>
      <c r="M74" s="31"/>
      <c r="N74" s="31"/>
    </row>
    <row r="75" spans="1:14">
      <c r="B75" s="62" t="s">
        <v>139</v>
      </c>
      <c r="C75" s="62"/>
      <c r="E75" s="34"/>
      <c r="F75" s="34"/>
      <c r="G75" s="34"/>
      <c r="H75" s="34"/>
      <c r="I75" s="34"/>
      <c r="J75" s="34"/>
      <c r="K75" s="34"/>
      <c r="L75" s="34"/>
      <c r="M75" s="31"/>
      <c r="N75" s="31"/>
    </row>
    <row r="76" spans="1:14" ht="15">
      <c r="B76"/>
      <c r="C76"/>
      <c r="D76"/>
      <c r="E76"/>
      <c r="F76"/>
      <c r="G76"/>
      <c r="H76"/>
      <c r="I76"/>
      <c r="J76"/>
      <c r="K76"/>
    </row>
    <row r="77" spans="1:14" ht="15">
      <c r="B77"/>
      <c r="C77"/>
      <c r="D77"/>
      <c r="E77"/>
      <c r="F77"/>
      <c r="G77"/>
      <c r="H77"/>
      <c r="I77"/>
      <c r="J77"/>
      <c r="K77"/>
    </row>
    <row r="78" spans="1:14" ht="15">
      <c r="B78" s="925"/>
      <c r="C78" s="925"/>
      <c r="D78" s="925"/>
      <c r="E78" s="925"/>
      <c r="F78" s="925"/>
      <c r="G78" s="925"/>
      <c r="H78"/>
      <c r="I78"/>
      <c r="J78"/>
      <c r="K78"/>
    </row>
    <row r="79" spans="1:14" ht="15">
      <c r="B79" s="1115" t="s">
        <v>612</v>
      </c>
      <c r="C79" s="1115"/>
      <c r="D79" s="1115"/>
      <c r="E79" s="1115"/>
      <c r="F79" s="1115"/>
      <c r="G79" s="1115"/>
      <c r="H79" s="658"/>
      <c r="I79"/>
      <c r="J79"/>
      <c r="K79"/>
    </row>
    <row r="80" spans="1:14" ht="15">
      <c r="B80" s="926" t="s">
        <v>581</v>
      </c>
      <c r="C80" s="927"/>
      <c r="D80" s="927"/>
      <c r="E80" s="927"/>
      <c r="F80" s="927"/>
      <c r="G80" s="927"/>
      <c r="H80" s="658"/>
      <c r="I80"/>
      <c r="J80"/>
      <c r="K80"/>
    </row>
    <row r="81" spans="2:12" ht="15">
      <c r="B81" s="1116" t="s">
        <v>613</v>
      </c>
      <c r="C81" s="1116"/>
      <c r="D81" s="1116"/>
      <c r="E81" s="1117" t="s">
        <v>614</v>
      </c>
      <c r="F81" s="1117"/>
      <c r="G81" s="1117" t="s">
        <v>178</v>
      </c>
      <c r="H81" s="658"/>
      <c r="I81"/>
      <c r="J81"/>
      <c r="K81"/>
    </row>
    <row r="82" spans="2:12" ht="15">
      <c r="B82" s="1116"/>
      <c r="C82" s="1116"/>
      <c r="D82" s="1116"/>
      <c r="E82" s="928" t="s">
        <v>582</v>
      </c>
      <c r="F82" s="928" t="s">
        <v>583</v>
      </c>
      <c r="G82" s="1117"/>
      <c r="H82" s="658"/>
      <c r="I82"/>
      <c r="J82"/>
      <c r="K82"/>
    </row>
    <row r="83" spans="2:12" ht="15">
      <c r="B83" s="1113" t="s">
        <v>584</v>
      </c>
      <c r="C83" s="1114" t="s">
        <v>615</v>
      </c>
      <c r="D83" s="929" t="s">
        <v>74</v>
      </c>
      <c r="E83" s="930">
        <v>14</v>
      </c>
      <c r="F83" s="930">
        <v>16</v>
      </c>
      <c r="G83" s="930">
        <v>30</v>
      </c>
      <c r="H83" s="658"/>
      <c r="I83"/>
      <c r="J83"/>
      <c r="K83" s="659"/>
      <c r="L83" s="659"/>
    </row>
    <row r="84" spans="2:12" ht="15">
      <c r="B84" s="1114"/>
      <c r="C84" s="1114"/>
      <c r="D84" s="929" t="s">
        <v>57</v>
      </c>
      <c r="E84" s="930">
        <v>12</v>
      </c>
      <c r="F84" s="930">
        <v>13</v>
      </c>
      <c r="G84" s="930">
        <v>25</v>
      </c>
      <c r="H84" s="658"/>
      <c r="I84"/>
      <c r="J84"/>
      <c r="K84" s="659"/>
      <c r="L84" s="659"/>
    </row>
    <row r="85" spans="2:12" ht="15">
      <c r="B85" s="1114"/>
      <c r="C85" s="1114"/>
      <c r="D85" s="929" t="s">
        <v>64</v>
      </c>
      <c r="E85" s="930">
        <v>19</v>
      </c>
      <c r="F85" s="930">
        <v>10</v>
      </c>
      <c r="G85" s="930">
        <v>29</v>
      </c>
      <c r="H85" s="658"/>
      <c r="I85"/>
      <c r="J85"/>
      <c r="K85" s="659"/>
      <c r="L85" s="659"/>
    </row>
    <row r="86" spans="2:12" ht="15">
      <c r="B86" s="1114"/>
      <c r="C86" s="1114"/>
      <c r="D86" s="929" t="s">
        <v>72</v>
      </c>
      <c r="E86" s="930">
        <v>20</v>
      </c>
      <c r="F86" s="930">
        <v>11</v>
      </c>
      <c r="G86" s="930">
        <v>31</v>
      </c>
      <c r="H86" s="658"/>
      <c r="I86"/>
      <c r="J86"/>
      <c r="K86" s="659"/>
      <c r="L86" s="659"/>
    </row>
    <row r="87" spans="2:12" ht="15">
      <c r="B87" s="1114"/>
      <c r="C87" s="1114"/>
      <c r="D87" s="929" t="s">
        <v>100</v>
      </c>
      <c r="E87" s="930">
        <v>43</v>
      </c>
      <c r="F87" s="930">
        <v>20</v>
      </c>
      <c r="G87" s="930">
        <v>63</v>
      </c>
      <c r="H87" s="658"/>
      <c r="I87"/>
      <c r="J87"/>
      <c r="K87" s="659"/>
      <c r="L87" s="659"/>
    </row>
    <row r="88" spans="2:12" ht="15">
      <c r="B88" s="1114"/>
      <c r="C88" s="1114"/>
      <c r="D88" s="929" t="s">
        <v>616</v>
      </c>
      <c r="E88" s="930">
        <v>1</v>
      </c>
      <c r="F88" s="930">
        <v>0</v>
      </c>
      <c r="G88" s="930">
        <v>1</v>
      </c>
      <c r="H88" s="658"/>
      <c r="I88"/>
      <c r="J88"/>
      <c r="K88" s="659"/>
      <c r="L88" s="659"/>
    </row>
    <row r="89" spans="2:12" ht="15">
      <c r="B89" s="1114"/>
      <c r="C89" s="1114"/>
      <c r="D89" s="929" t="s">
        <v>123</v>
      </c>
      <c r="E89" s="930">
        <v>6</v>
      </c>
      <c r="F89" s="930">
        <v>21</v>
      </c>
      <c r="G89" s="930">
        <v>27</v>
      </c>
      <c r="H89" s="658"/>
      <c r="I89"/>
      <c r="J89"/>
      <c r="K89" s="659"/>
      <c r="L89" s="659"/>
    </row>
    <row r="90" spans="2:12" ht="15">
      <c r="B90" s="1114"/>
      <c r="C90" s="1114"/>
      <c r="D90" s="929" t="s">
        <v>447</v>
      </c>
      <c r="E90" s="930">
        <v>64</v>
      </c>
      <c r="F90" s="930">
        <v>38</v>
      </c>
      <c r="G90" s="930">
        <v>102</v>
      </c>
      <c r="H90" s="658"/>
      <c r="I90"/>
      <c r="J90"/>
      <c r="K90" s="659"/>
      <c r="L90" s="659"/>
    </row>
    <row r="91" spans="2:12" ht="15">
      <c r="B91" s="1114"/>
      <c r="C91" s="1114"/>
      <c r="D91" s="929" t="s">
        <v>97</v>
      </c>
      <c r="E91" s="930">
        <v>25</v>
      </c>
      <c r="F91" s="930">
        <v>1</v>
      </c>
      <c r="G91" s="930">
        <v>26</v>
      </c>
      <c r="H91" s="658"/>
      <c r="K91" s="659"/>
      <c r="L91" s="659"/>
    </row>
    <row r="92" spans="2:12" ht="15">
      <c r="B92" s="1114"/>
      <c r="C92" s="1114"/>
      <c r="D92" s="929" t="s">
        <v>108</v>
      </c>
      <c r="E92" s="930">
        <v>23</v>
      </c>
      <c r="F92" s="930">
        <v>31</v>
      </c>
      <c r="G92" s="930">
        <v>54</v>
      </c>
      <c r="H92" s="658"/>
      <c r="K92" s="659"/>
      <c r="L92" s="659"/>
    </row>
    <row r="93" spans="2:12" ht="15">
      <c r="B93" s="1114"/>
      <c r="C93" s="1114"/>
      <c r="D93" s="929" t="s">
        <v>281</v>
      </c>
      <c r="E93" s="930">
        <v>6</v>
      </c>
      <c r="F93" s="930">
        <v>3</v>
      </c>
      <c r="G93" s="930">
        <v>9</v>
      </c>
      <c r="H93" s="658"/>
      <c r="K93" s="659"/>
      <c r="L93" s="659"/>
    </row>
    <row r="94" spans="2:12">
      <c r="B94" s="1114"/>
      <c r="C94" s="1114" t="s">
        <v>178</v>
      </c>
      <c r="D94" s="1114"/>
      <c r="E94" s="930">
        <v>233</v>
      </c>
      <c r="F94" s="930">
        <v>164</v>
      </c>
      <c r="G94" s="930">
        <v>397</v>
      </c>
      <c r="H94" s="658"/>
    </row>
    <row r="95" spans="2:12">
      <c r="B95" s="1113" t="s">
        <v>585</v>
      </c>
      <c r="C95" s="1114" t="s">
        <v>615</v>
      </c>
      <c r="D95" s="929" t="s">
        <v>74</v>
      </c>
      <c r="E95" s="930">
        <v>7</v>
      </c>
      <c r="F95" s="930">
        <v>29</v>
      </c>
      <c r="G95" s="930">
        <v>36</v>
      </c>
      <c r="H95" s="658"/>
    </row>
    <row r="96" spans="2:12">
      <c r="B96" s="1114"/>
      <c r="C96" s="1114"/>
      <c r="D96" s="929" t="s">
        <v>57</v>
      </c>
      <c r="E96" s="930">
        <v>19</v>
      </c>
      <c r="F96" s="930">
        <v>18</v>
      </c>
      <c r="G96" s="930">
        <v>37</v>
      </c>
      <c r="H96" s="658"/>
    </row>
    <row r="97" spans="2:8">
      <c r="B97" s="1114"/>
      <c r="C97" s="1114"/>
      <c r="D97" s="929" t="s">
        <v>64</v>
      </c>
      <c r="E97" s="930">
        <v>20</v>
      </c>
      <c r="F97" s="930">
        <v>2</v>
      </c>
      <c r="G97" s="930">
        <v>22</v>
      </c>
      <c r="H97" s="658"/>
    </row>
    <row r="98" spans="2:8">
      <c r="B98" s="1114"/>
      <c r="C98" s="1114"/>
      <c r="D98" s="929" t="s">
        <v>72</v>
      </c>
      <c r="E98" s="930">
        <v>17</v>
      </c>
      <c r="F98" s="930">
        <v>9</v>
      </c>
      <c r="G98" s="930">
        <v>26</v>
      </c>
      <c r="H98" s="658"/>
    </row>
    <row r="99" spans="2:8">
      <c r="B99" s="1114"/>
      <c r="C99" s="1114"/>
      <c r="D99" s="929" t="s">
        <v>100</v>
      </c>
      <c r="E99" s="930">
        <v>32</v>
      </c>
      <c r="F99" s="930">
        <v>18</v>
      </c>
      <c r="G99" s="930">
        <v>50</v>
      </c>
      <c r="H99" s="658"/>
    </row>
    <row r="100" spans="2:8">
      <c r="B100" s="1114"/>
      <c r="C100" s="1114"/>
      <c r="D100" s="929" t="s">
        <v>616</v>
      </c>
      <c r="E100" s="930">
        <v>1</v>
      </c>
      <c r="F100" s="930">
        <v>0</v>
      </c>
      <c r="G100" s="930">
        <v>1</v>
      </c>
      <c r="H100" s="658"/>
    </row>
    <row r="101" spans="2:8">
      <c r="B101" s="1114"/>
      <c r="C101" s="1114"/>
      <c r="D101" s="929" t="s">
        <v>123</v>
      </c>
      <c r="E101" s="930">
        <v>16</v>
      </c>
      <c r="F101" s="930">
        <v>10</v>
      </c>
      <c r="G101" s="930">
        <v>26</v>
      </c>
      <c r="H101" s="658"/>
    </row>
    <row r="102" spans="2:8">
      <c r="B102" s="1114"/>
      <c r="C102" s="1114"/>
      <c r="D102" s="929" t="s">
        <v>447</v>
      </c>
      <c r="E102" s="930">
        <v>50</v>
      </c>
      <c r="F102" s="930">
        <v>50</v>
      </c>
      <c r="G102" s="930">
        <v>100</v>
      </c>
      <c r="H102" s="658"/>
    </row>
    <row r="103" spans="2:8">
      <c r="B103" s="1114"/>
      <c r="C103" s="1114"/>
      <c r="D103" s="929" t="s">
        <v>97</v>
      </c>
      <c r="E103" s="930">
        <v>23</v>
      </c>
      <c r="F103" s="930">
        <v>4</v>
      </c>
      <c r="G103" s="930">
        <v>27</v>
      </c>
      <c r="H103" s="658"/>
    </row>
    <row r="104" spans="2:8">
      <c r="B104" s="1114"/>
      <c r="C104" s="1114"/>
      <c r="D104" s="929" t="s">
        <v>108</v>
      </c>
      <c r="E104" s="930">
        <v>23</v>
      </c>
      <c r="F104" s="930">
        <v>35</v>
      </c>
      <c r="G104" s="930">
        <v>58</v>
      </c>
      <c r="H104" s="658"/>
    </row>
    <row r="105" spans="2:8">
      <c r="B105" s="1114"/>
      <c r="C105" s="1114"/>
      <c r="D105" s="929" t="s">
        <v>281</v>
      </c>
      <c r="E105" s="930">
        <v>4</v>
      </c>
      <c r="F105" s="930">
        <v>1</v>
      </c>
      <c r="G105" s="930">
        <v>5</v>
      </c>
      <c r="H105" s="658"/>
    </row>
    <row r="106" spans="2:8">
      <c r="B106" s="1114"/>
      <c r="C106" s="1114" t="s">
        <v>178</v>
      </c>
      <c r="D106" s="1114"/>
      <c r="E106" s="930">
        <v>212</v>
      </c>
      <c r="F106" s="930">
        <v>176</v>
      </c>
      <c r="G106" s="930">
        <v>388</v>
      </c>
      <c r="H106" s="658"/>
    </row>
    <row r="107" spans="2:8">
      <c r="B107" s="1114" t="s">
        <v>178</v>
      </c>
      <c r="C107" s="1114" t="s">
        <v>615</v>
      </c>
      <c r="D107" s="929" t="s">
        <v>74</v>
      </c>
      <c r="E107" s="930">
        <v>21</v>
      </c>
      <c r="F107" s="930">
        <v>45</v>
      </c>
      <c r="G107" s="930">
        <v>66</v>
      </c>
      <c r="H107" s="658"/>
    </row>
    <row r="108" spans="2:8">
      <c r="B108" s="1114"/>
      <c r="C108" s="1114"/>
      <c r="D108" s="929" t="s">
        <v>57</v>
      </c>
      <c r="E108" s="930">
        <v>31</v>
      </c>
      <c r="F108" s="930">
        <v>31</v>
      </c>
      <c r="G108" s="930">
        <v>62</v>
      </c>
      <c r="H108" s="658"/>
    </row>
    <row r="109" spans="2:8">
      <c r="B109" s="1114"/>
      <c r="C109" s="1114"/>
      <c r="D109" s="929" t="s">
        <v>64</v>
      </c>
      <c r="E109" s="930">
        <v>39</v>
      </c>
      <c r="F109" s="930">
        <v>12</v>
      </c>
      <c r="G109" s="930">
        <v>51</v>
      </c>
      <c r="H109" s="658"/>
    </row>
    <row r="110" spans="2:8">
      <c r="B110" s="1114"/>
      <c r="C110" s="1114"/>
      <c r="D110" s="929" t="s">
        <v>72</v>
      </c>
      <c r="E110" s="930">
        <v>37</v>
      </c>
      <c r="F110" s="930">
        <v>20</v>
      </c>
      <c r="G110" s="930">
        <v>57</v>
      </c>
      <c r="H110" s="658"/>
    </row>
    <row r="111" spans="2:8">
      <c r="B111" s="1114"/>
      <c r="C111" s="1114"/>
      <c r="D111" s="929" t="s">
        <v>100</v>
      </c>
      <c r="E111" s="930">
        <v>75</v>
      </c>
      <c r="F111" s="930">
        <v>38</v>
      </c>
      <c r="G111" s="930">
        <v>113</v>
      </c>
      <c r="H111" s="658"/>
    </row>
    <row r="112" spans="2:8">
      <c r="B112" s="1114"/>
      <c r="C112" s="1114"/>
      <c r="D112" s="929" t="s">
        <v>616</v>
      </c>
      <c r="E112" s="930">
        <v>2</v>
      </c>
      <c r="F112" s="930">
        <v>0</v>
      </c>
      <c r="G112" s="930">
        <v>2</v>
      </c>
      <c r="H112" s="658"/>
    </row>
    <row r="113" spans="2:8">
      <c r="B113" s="1114"/>
      <c r="C113" s="1114"/>
      <c r="D113" s="929" t="s">
        <v>123</v>
      </c>
      <c r="E113" s="930">
        <v>22</v>
      </c>
      <c r="F113" s="930">
        <v>31</v>
      </c>
      <c r="G113" s="930">
        <v>53</v>
      </c>
      <c r="H113" s="658"/>
    </row>
    <row r="114" spans="2:8">
      <c r="B114" s="1114"/>
      <c r="C114" s="1114"/>
      <c r="D114" s="929" t="s">
        <v>447</v>
      </c>
      <c r="E114" s="930">
        <v>114</v>
      </c>
      <c r="F114" s="930">
        <v>88</v>
      </c>
      <c r="G114" s="930">
        <v>202</v>
      </c>
      <c r="H114" s="658"/>
    </row>
    <row r="115" spans="2:8">
      <c r="B115" s="1114"/>
      <c r="C115" s="1114"/>
      <c r="D115" s="929" t="s">
        <v>97</v>
      </c>
      <c r="E115" s="930">
        <v>48</v>
      </c>
      <c r="F115" s="930">
        <v>5</v>
      </c>
      <c r="G115" s="930">
        <v>53</v>
      </c>
      <c r="H115" s="658"/>
    </row>
    <row r="116" spans="2:8">
      <c r="B116" s="1114"/>
      <c r="C116" s="1114"/>
      <c r="D116" s="929" t="s">
        <v>108</v>
      </c>
      <c r="E116" s="930">
        <v>46</v>
      </c>
      <c r="F116" s="930">
        <v>66</v>
      </c>
      <c r="G116" s="930">
        <v>112</v>
      </c>
      <c r="H116" s="658"/>
    </row>
    <row r="117" spans="2:8">
      <c r="B117" s="1114"/>
      <c r="C117" s="1114"/>
      <c r="D117" s="929" t="s">
        <v>281</v>
      </c>
      <c r="E117" s="930">
        <v>10</v>
      </c>
      <c r="F117" s="930">
        <v>4</v>
      </c>
      <c r="G117" s="930">
        <v>14</v>
      </c>
      <c r="H117" s="658"/>
    </row>
    <row r="118" spans="2:8">
      <c r="B118" s="1114"/>
      <c r="C118" s="1114" t="s">
        <v>178</v>
      </c>
      <c r="D118" s="1114"/>
      <c r="E118" s="930">
        <v>445</v>
      </c>
      <c r="F118" s="930">
        <v>340</v>
      </c>
      <c r="G118" s="930">
        <v>785</v>
      </c>
      <c r="H118" s="658"/>
    </row>
    <row r="119" spans="2:8">
      <c r="B119" s="931"/>
      <c r="C119" s="931"/>
      <c r="D119" s="931"/>
      <c r="E119" s="932"/>
      <c r="F119" s="932"/>
      <c r="G119" s="932"/>
    </row>
  </sheetData>
  <sheetProtection password="B8D9" sheet="1" objects="1" scenarios="1"/>
  <sortState ref="B44:M53">
    <sortCondition descending="1" ref="F44:F53"/>
  </sortState>
  <mergeCells count="32">
    <mergeCell ref="B73:J73"/>
    <mergeCell ref="B38:J38"/>
    <mergeCell ref="B41:D41"/>
    <mergeCell ref="E41:I41"/>
    <mergeCell ref="J41:M41"/>
    <mergeCell ref="B58:B71"/>
    <mergeCell ref="G58:G71"/>
    <mergeCell ref="J56:K56"/>
    <mergeCell ref="B40:J40"/>
    <mergeCell ref="B56:D56"/>
    <mergeCell ref="E56:F56"/>
    <mergeCell ref="G56:G57"/>
    <mergeCell ref="H56:I56"/>
    <mergeCell ref="P41:Q41"/>
    <mergeCell ref="N41:O41"/>
    <mergeCell ref="B1:J1"/>
    <mergeCell ref="K1:K4"/>
    <mergeCell ref="B3:J4"/>
    <mergeCell ref="B5:J5"/>
    <mergeCell ref="B79:G79"/>
    <mergeCell ref="B81:D82"/>
    <mergeCell ref="E81:F81"/>
    <mergeCell ref="G81:G82"/>
    <mergeCell ref="B83:B94"/>
    <mergeCell ref="C83:C93"/>
    <mergeCell ref="C94:D94"/>
    <mergeCell ref="B95:B106"/>
    <mergeCell ref="C95:C105"/>
    <mergeCell ref="C106:D106"/>
    <mergeCell ref="B107:B118"/>
    <mergeCell ref="C107:C117"/>
    <mergeCell ref="C118:D118"/>
  </mergeCells>
  <phoneticPr fontId="0" type="noConversion"/>
  <hyperlinks>
    <hyperlink ref="K1" location="'List of Tables &amp; Charts'!A1" display="return to List of Tables &amp; Charts"/>
  </hyperlinks>
  <pageMargins left="0.70866141732283472" right="0.70866141732283472" top="0.74803149606299213" bottom="0.74803149606299213" header="0.31496062992125984" footer="0.31496062992125984"/>
  <pageSetup paperSize="9" scale="43" orientation="portrait" r:id="rId1"/>
  <headerFooter>
    <oddFooter>&amp;L&amp;8Scottish Stroke Care Audit 2017 National Report
Stroke Services in Scottish Hospitals, Data relating to 2016&amp;R&amp;8© NHS National Services Scotland/Crown Copyright</oddFooter>
  </headerFooter>
  <rowBreaks count="1" manualBreakCount="1">
    <brk id="39" max="16383" man="1"/>
  </rowBreaks>
  <drawing r:id="rId2"/>
</worksheet>
</file>

<file path=xl/worksheets/sheet54.xml><?xml version="1.0" encoding="utf-8"?>
<worksheet xmlns="http://schemas.openxmlformats.org/spreadsheetml/2006/main" xmlns:r="http://schemas.openxmlformats.org/officeDocument/2006/relationships">
  <sheetPr codeName="Sheet53">
    <pageSetUpPr fitToPage="1"/>
  </sheetPr>
  <dimension ref="A1:X53"/>
  <sheetViews>
    <sheetView workbookViewId="0"/>
  </sheetViews>
  <sheetFormatPr defaultRowHeight="12.75"/>
  <cols>
    <col min="1" max="1" width="2.7109375" style="326" customWidth="1"/>
    <col min="2" max="16384" width="9.140625" style="326"/>
  </cols>
  <sheetData>
    <row r="1" spans="2:24" s="635" customFormat="1" ht="26.25" customHeight="1">
      <c r="B1" s="967" t="s">
        <v>707</v>
      </c>
      <c r="C1" s="967"/>
      <c r="D1" s="967"/>
      <c r="E1" s="967"/>
      <c r="F1" s="967"/>
      <c r="G1" s="967"/>
      <c r="H1" s="967"/>
      <c r="I1" s="967"/>
      <c r="J1" s="967"/>
      <c r="K1" s="967"/>
      <c r="L1" s="967"/>
      <c r="M1" s="967"/>
      <c r="N1" s="26"/>
      <c r="O1"/>
      <c r="P1" s="1107" t="s">
        <v>45</v>
      </c>
      <c r="Q1" s="26"/>
      <c r="R1" s="26"/>
      <c r="S1" s="26"/>
      <c r="T1" s="26"/>
      <c r="U1" s="26"/>
      <c r="V1" s="26"/>
      <c r="W1" s="26"/>
      <c r="X1" s="26"/>
    </row>
    <row r="2" spans="2:24" s="635" customFormat="1">
      <c r="B2" s="1126"/>
      <c r="C2" s="1126"/>
      <c r="D2" s="1126"/>
      <c r="E2" s="1126"/>
      <c r="F2" s="1126"/>
      <c r="G2" s="1126"/>
      <c r="H2" s="1126"/>
      <c r="I2" s="1126"/>
      <c r="J2" s="637"/>
      <c r="K2" s="28"/>
      <c r="L2" s="28"/>
      <c r="M2" s="28"/>
      <c r="N2" s="28"/>
      <c r="O2" s="28"/>
      <c r="P2" s="1107"/>
      <c r="Q2" s="28"/>
      <c r="R2" s="28"/>
      <c r="S2" s="28"/>
      <c r="T2" s="28"/>
      <c r="U2" s="987"/>
      <c r="V2" s="987"/>
      <c r="W2" s="987"/>
      <c r="X2" s="987"/>
    </row>
    <row r="3" spans="2:24" s="635" customFormat="1" ht="12.75" customHeight="1">
      <c r="B3" s="570" t="s">
        <v>221</v>
      </c>
      <c r="C3" s="105"/>
      <c r="D3" s="105"/>
      <c r="E3" s="105"/>
      <c r="F3" s="105"/>
      <c r="G3" s="105"/>
      <c r="H3" s="105"/>
      <c r="I3" s="105"/>
      <c r="J3" s="637"/>
      <c r="K3" s="29"/>
      <c r="L3" s="29"/>
      <c r="M3" s="29"/>
      <c r="N3" s="28"/>
      <c r="O3" s="28"/>
      <c r="P3" s="1107"/>
      <c r="Q3" s="28"/>
      <c r="R3" s="28"/>
      <c r="S3" s="28"/>
      <c r="T3" s="28"/>
      <c r="U3" s="633"/>
      <c r="V3" s="633"/>
      <c r="W3" s="633"/>
      <c r="X3" s="633"/>
    </row>
    <row r="4" spans="2:24" s="635" customFormat="1" ht="15" customHeight="1">
      <c r="B4" s="1044" t="s">
        <v>327</v>
      </c>
      <c r="C4" s="1044"/>
      <c r="D4" s="1044"/>
      <c r="E4" s="1044"/>
      <c r="F4" s="1044"/>
      <c r="G4" s="1044"/>
      <c r="H4" s="1044"/>
      <c r="I4" s="1044"/>
      <c r="J4" s="1044"/>
      <c r="K4" s="1044"/>
      <c r="L4" s="1044"/>
      <c r="M4" s="1044"/>
      <c r="N4" s="1044"/>
      <c r="O4" s="28"/>
      <c r="P4" s="28"/>
      <c r="Q4" s="28"/>
      <c r="R4" s="28"/>
      <c r="S4" s="28"/>
      <c r="T4" s="28"/>
      <c r="U4" s="633"/>
      <c r="V4" s="633"/>
      <c r="W4" s="633"/>
      <c r="X4" s="633"/>
    </row>
    <row r="5" spans="2:24" s="635" customFormat="1" ht="12.75" customHeight="1">
      <c r="B5" s="1044"/>
      <c r="C5" s="1044"/>
      <c r="D5" s="1044"/>
      <c r="E5" s="1044"/>
      <c r="F5" s="1044"/>
      <c r="G5" s="1044"/>
      <c r="H5" s="1044"/>
      <c r="I5" s="1044"/>
      <c r="J5" s="1044"/>
      <c r="K5" s="1044"/>
      <c r="L5" s="1044"/>
      <c r="M5" s="1044"/>
      <c r="N5" s="1044"/>
      <c r="O5" s="29"/>
      <c r="P5" s="29"/>
      <c r="Q5" s="637" t="s">
        <v>573</v>
      </c>
      <c r="R5" s="29"/>
      <c r="S5" s="29"/>
      <c r="T5" s="29"/>
      <c r="U5" s="633"/>
      <c r="V5" s="633"/>
      <c r="W5" s="633"/>
      <c r="X5" s="633"/>
    </row>
    <row r="6" spans="2:24" s="635" customFormat="1" ht="12.75" customHeight="1">
      <c r="B6" s="1044"/>
      <c r="C6" s="1044"/>
      <c r="D6" s="1044"/>
      <c r="E6" s="1044"/>
      <c r="F6" s="1044"/>
      <c r="G6" s="1044"/>
      <c r="H6" s="1044"/>
      <c r="I6" s="1044"/>
      <c r="J6" s="1044"/>
      <c r="K6" s="1044"/>
      <c r="L6" s="1044"/>
      <c r="M6" s="1044"/>
      <c r="N6" s="1044"/>
      <c r="O6" s="29"/>
      <c r="P6" s="29"/>
      <c r="Q6" s="29"/>
      <c r="R6" s="29"/>
      <c r="S6" s="29"/>
      <c r="T6" s="29"/>
      <c r="U6" s="633"/>
      <c r="V6" s="633"/>
      <c r="W6" s="633"/>
      <c r="X6" s="633"/>
    </row>
    <row r="7" spans="2:24" s="635" customFormat="1" ht="12.75" customHeight="1">
      <c r="B7" s="1044"/>
      <c r="C7" s="1044"/>
      <c r="D7" s="1044"/>
      <c r="E7" s="1044"/>
      <c r="F7" s="1044"/>
      <c r="G7" s="1044"/>
      <c r="H7" s="1044"/>
      <c r="I7" s="1044"/>
      <c r="J7" s="1044"/>
      <c r="K7" s="1044"/>
      <c r="L7" s="1044"/>
      <c r="M7" s="1044"/>
      <c r="N7" s="1044"/>
      <c r="O7" s="29"/>
      <c r="P7" s="29"/>
      <c r="Q7" s="29"/>
      <c r="R7" s="29"/>
      <c r="S7" s="29"/>
      <c r="T7" s="29"/>
      <c r="U7" s="633"/>
      <c r="V7" s="633"/>
      <c r="W7" s="633"/>
      <c r="X7" s="633"/>
    </row>
    <row r="8" spans="2:24" s="635" customFormat="1" ht="12.75" customHeight="1">
      <c r="B8" s="1044"/>
      <c r="C8" s="1044"/>
      <c r="D8" s="1044"/>
      <c r="E8" s="1044"/>
      <c r="F8" s="1044"/>
      <c r="G8" s="1044"/>
      <c r="H8" s="1044"/>
      <c r="I8" s="1044"/>
      <c r="J8" s="1044"/>
      <c r="K8" s="1044"/>
      <c r="L8" s="1044"/>
      <c r="M8" s="1044"/>
      <c r="N8" s="1044"/>
      <c r="O8" s="29"/>
      <c r="P8" s="29"/>
      <c r="Q8" s="29"/>
      <c r="R8" s="29"/>
      <c r="S8" s="29"/>
      <c r="T8" s="29"/>
      <c r="U8" s="633"/>
      <c r="V8" s="633"/>
      <c r="W8" s="633"/>
      <c r="X8" s="633"/>
    </row>
    <row r="9" spans="2:24" s="635" customFormat="1" ht="12.75" customHeight="1">
      <c r="B9" s="369"/>
      <c r="C9" s="369"/>
      <c r="D9" s="369"/>
      <c r="E9" s="369"/>
      <c r="F9" s="369"/>
      <c r="G9" s="369"/>
      <c r="H9" s="369"/>
      <c r="I9" s="369"/>
      <c r="J9" s="29"/>
      <c r="K9" s="29"/>
      <c r="L9" s="29"/>
      <c r="M9" s="29"/>
      <c r="N9" s="29"/>
      <c r="O9" s="29"/>
      <c r="P9" s="29"/>
      <c r="Q9" s="29"/>
      <c r="R9" s="29"/>
      <c r="S9" s="29"/>
      <c r="T9" s="29"/>
      <c r="U9" s="633"/>
      <c r="V9" s="633"/>
      <c r="W9" s="633"/>
      <c r="X9" s="633"/>
    </row>
    <row r="43" spans="2:21">
      <c r="B43" s="565"/>
      <c r="C43" s="565"/>
      <c r="D43" s="565"/>
      <c r="E43" s="565"/>
      <c r="F43" s="565"/>
      <c r="G43" s="565"/>
      <c r="H43" s="565"/>
      <c r="I43" s="565"/>
      <c r="J43" s="565"/>
      <c r="K43" s="565"/>
      <c r="L43" s="565"/>
      <c r="M43" s="565"/>
    </row>
    <row r="44" spans="2:21" s="635" customFormat="1">
      <c r="B44" s="32" t="s">
        <v>222</v>
      </c>
      <c r="C44" s="33"/>
      <c r="D44" s="34"/>
      <c r="E44" s="34"/>
      <c r="F44" s="34"/>
      <c r="G44" s="34"/>
      <c r="H44" s="34"/>
      <c r="I44" s="34"/>
      <c r="J44" s="34"/>
      <c r="K44" s="34"/>
      <c r="L44" s="632"/>
      <c r="M44" s="632"/>
      <c r="N44" s="35"/>
      <c r="O44" s="35"/>
      <c r="P44" s="35"/>
      <c r="Q44" s="35"/>
      <c r="R44" s="35"/>
      <c r="S44" s="35"/>
      <c r="T44" s="35"/>
      <c r="U44" s="35"/>
    </row>
    <row r="45" spans="2:21" s="635" customFormat="1">
      <c r="B45" s="67" t="s">
        <v>14</v>
      </c>
      <c r="D45" s="34"/>
      <c r="E45" s="34"/>
      <c r="F45" s="34"/>
      <c r="G45" s="34"/>
      <c r="H45" s="34"/>
      <c r="I45" s="34"/>
      <c r="J45" s="34"/>
      <c r="K45" s="34"/>
      <c r="L45" s="632"/>
      <c r="M45" s="632"/>
    </row>
    <row r="46" spans="2:21" s="635" customFormat="1">
      <c r="B46" s="67" t="s">
        <v>512</v>
      </c>
      <c r="D46" s="34"/>
      <c r="E46" s="34"/>
      <c r="F46" s="34"/>
      <c r="G46" s="34"/>
      <c r="H46" s="34"/>
      <c r="I46" s="34"/>
      <c r="J46" s="34"/>
      <c r="K46" s="34"/>
      <c r="L46" s="632"/>
      <c r="M46" s="632"/>
    </row>
    <row r="47" spans="2:21" s="635" customFormat="1">
      <c r="B47" s="62" t="s">
        <v>7</v>
      </c>
      <c r="D47" s="632"/>
      <c r="E47" s="632"/>
      <c r="F47" s="632"/>
      <c r="G47" s="632"/>
      <c r="H47" s="632"/>
      <c r="I47" s="632"/>
      <c r="J47" s="632"/>
      <c r="K47" s="632"/>
      <c r="L47" s="632"/>
      <c r="M47" s="632"/>
      <c r="N47" s="632"/>
      <c r="O47" s="632"/>
      <c r="P47" s="632"/>
      <c r="Q47" s="632"/>
      <c r="R47" s="632"/>
      <c r="S47" s="632"/>
      <c r="T47" s="632"/>
    </row>
    <row r="48" spans="2:21" s="635" customFormat="1">
      <c r="B48" s="62" t="s">
        <v>8</v>
      </c>
      <c r="D48" s="632"/>
      <c r="E48" s="632"/>
      <c r="F48" s="632"/>
      <c r="G48" s="632"/>
      <c r="H48" s="632"/>
      <c r="I48" s="632"/>
      <c r="J48" s="632"/>
      <c r="K48" s="632"/>
      <c r="L48" s="632"/>
      <c r="M48" s="632"/>
      <c r="N48" s="632"/>
      <c r="O48" s="632"/>
      <c r="P48" s="632"/>
      <c r="Q48" s="632"/>
      <c r="R48" s="632"/>
      <c r="S48" s="632"/>
      <c r="T48" s="632"/>
    </row>
    <row r="49" spans="1:23" s="635" customFormat="1">
      <c r="B49" s="67" t="s">
        <v>388</v>
      </c>
      <c r="D49" s="34"/>
      <c r="E49" s="34"/>
      <c r="F49" s="34"/>
      <c r="G49" s="34"/>
      <c r="H49" s="34"/>
      <c r="I49" s="34"/>
      <c r="J49" s="34"/>
      <c r="K49" s="34"/>
      <c r="L49" s="632"/>
      <c r="M49" s="632"/>
    </row>
    <row r="50" spans="1:23" s="635" customFormat="1">
      <c r="B50" s="67" t="s">
        <v>389</v>
      </c>
      <c r="D50" s="34"/>
      <c r="E50" s="34"/>
      <c r="F50" s="34"/>
      <c r="G50" s="34"/>
      <c r="H50" s="34"/>
      <c r="I50" s="34"/>
      <c r="J50" s="34"/>
      <c r="K50" s="34"/>
      <c r="L50" s="632"/>
      <c r="M50" s="632"/>
    </row>
    <row r="51" spans="1:23" s="635" customFormat="1">
      <c r="B51" s="67" t="s">
        <v>391</v>
      </c>
      <c r="D51" s="34"/>
      <c r="E51" s="34"/>
      <c r="F51" s="34"/>
      <c r="G51" s="34"/>
      <c r="H51" s="34"/>
      <c r="I51" s="34"/>
      <c r="J51" s="34"/>
      <c r="K51" s="34"/>
      <c r="L51" s="632"/>
      <c r="M51" s="632"/>
    </row>
    <row r="52" spans="1:23" s="635" customFormat="1">
      <c r="A52" s="105"/>
      <c r="B52" s="67" t="s">
        <v>390</v>
      </c>
      <c r="C52" s="105"/>
      <c r="D52" s="105"/>
      <c r="E52" s="105"/>
      <c r="F52" s="106" t="s">
        <v>223</v>
      </c>
      <c r="G52" s="105"/>
      <c r="H52" s="105"/>
      <c r="I52" s="105"/>
      <c r="J52" s="105"/>
      <c r="K52" s="105"/>
      <c r="L52" s="105"/>
      <c r="M52" s="106" t="s">
        <v>224</v>
      </c>
      <c r="N52" s="105"/>
      <c r="O52" s="107" t="s">
        <v>225</v>
      </c>
      <c r="P52" s="107"/>
      <c r="Q52" s="107" t="s">
        <v>226</v>
      </c>
      <c r="R52" s="107"/>
      <c r="S52" s="107" t="s">
        <v>227</v>
      </c>
      <c r="T52" s="105"/>
      <c r="U52" s="106" t="s">
        <v>228</v>
      </c>
      <c r="V52" s="1"/>
      <c r="W52" s="107" t="s">
        <v>229</v>
      </c>
    </row>
    <row r="53" spans="1:23" s="784" customFormat="1" ht="15">
      <c r="B53" s="205" t="s">
        <v>755</v>
      </c>
      <c r="C53" s="203"/>
      <c r="D53" s="204"/>
      <c r="E53" s="204"/>
      <c r="F53" s="204"/>
      <c r="G53" s="204"/>
      <c r="H53" s="204"/>
      <c r="I53" s="204"/>
      <c r="J53" s="203"/>
    </row>
  </sheetData>
  <sheetProtection password="B8D9" sheet="1" objects="1" scenarios="1"/>
  <mergeCells count="5">
    <mergeCell ref="B1:M1"/>
    <mergeCell ref="P1:P3"/>
    <mergeCell ref="B2:I2"/>
    <mergeCell ref="U2:X2"/>
    <mergeCell ref="B4:N8"/>
  </mergeCells>
  <hyperlinks>
    <hyperlink ref="P1:P3" location="'List of Tables &amp; Charts'!A1" display="return to List of Tables &amp; Charts"/>
    <hyperlink ref="Q5" location="'Chart 13 (2015) DATA'!A1" display="view Chart 13 data"/>
  </hyperlinks>
  <pageMargins left="0.70866141732283472" right="0.70866141732283472" top="0.74803149606299213" bottom="0.74803149606299213" header="0.31496062992125984" footer="0.31496062992125984"/>
  <pageSetup paperSize="9" scale="61"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55.xml><?xml version="1.0" encoding="utf-8"?>
<worksheet xmlns="http://schemas.openxmlformats.org/spreadsheetml/2006/main" xmlns:r="http://schemas.openxmlformats.org/officeDocument/2006/relationships">
  <sheetPr codeName="Sheet54">
    <pageSetUpPr fitToPage="1"/>
  </sheetPr>
  <dimension ref="A1:Y34"/>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1" max="1" width="16.7109375" style="635" customWidth="1"/>
    <col min="2" max="2" width="45.7109375" style="635" customWidth="1"/>
    <col min="3" max="3" width="10.7109375" style="632" customWidth="1"/>
    <col min="4" max="5" width="12.7109375" style="632" customWidth="1"/>
    <col min="6" max="6" width="1.7109375" style="632" customWidth="1"/>
    <col min="7" max="19" width="11.7109375" style="632" customWidth="1"/>
    <col min="20" max="22" width="11.7109375" style="635" customWidth="1"/>
    <col min="23" max="16384" width="9.140625" style="635"/>
  </cols>
  <sheetData>
    <row r="1" spans="1:25" ht="25.5" customHeight="1">
      <c r="A1" s="636">
        <v>2016</v>
      </c>
      <c r="B1" s="634"/>
      <c r="C1" s="1015" t="s">
        <v>709</v>
      </c>
      <c r="D1" s="1016"/>
      <c r="E1" s="1017"/>
      <c r="F1" s="108"/>
      <c r="G1" s="1127" t="s">
        <v>230</v>
      </c>
      <c r="H1" s="1128"/>
      <c r="I1" s="1128"/>
      <c r="J1" s="1128"/>
      <c r="K1" s="1128"/>
      <c r="L1" s="1128"/>
      <c r="M1" s="1128"/>
      <c r="N1" s="1128"/>
      <c r="O1" s="1128"/>
      <c r="P1" s="1128"/>
      <c r="Q1" s="1128"/>
      <c r="R1" s="1128"/>
      <c r="S1" s="1128"/>
      <c r="T1" s="1128"/>
      <c r="U1" s="1128"/>
      <c r="V1" s="1129"/>
    </row>
    <row r="2" spans="1:25" ht="76.5">
      <c r="A2" s="80" t="s">
        <v>24</v>
      </c>
      <c r="B2" s="53" t="s">
        <v>25</v>
      </c>
      <c r="C2" s="75" t="s">
        <v>178</v>
      </c>
      <c r="D2" s="75" t="s">
        <v>231</v>
      </c>
      <c r="E2" s="75" t="s">
        <v>232</v>
      </c>
      <c r="F2" s="109"/>
      <c r="G2" s="75" t="s">
        <v>233</v>
      </c>
      <c r="H2" s="75" t="s">
        <v>234</v>
      </c>
      <c r="I2" s="75" t="s">
        <v>235</v>
      </c>
      <c r="J2" s="75" t="s">
        <v>236</v>
      </c>
      <c r="K2" s="75" t="s">
        <v>237</v>
      </c>
      <c r="L2" s="110" t="s">
        <v>238</v>
      </c>
      <c r="M2" s="110" t="s">
        <v>239</v>
      </c>
      <c r="N2" s="110" t="s">
        <v>240</v>
      </c>
      <c r="O2" s="110" t="s">
        <v>241</v>
      </c>
      <c r="P2" s="110" t="s">
        <v>242</v>
      </c>
      <c r="Q2" s="110" t="s">
        <v>243</v>
      </c>
      <c r="R2" s="110" t="s">
        <v>244</v>
      </c>
      <c r="S2" s="110" t="s">
        <v>245</v>
      </c>
      <c r="T2" s="110" t="s">
        <v>246</v>
      </c>
      <c r="U2" s="110" t="s">
        <v>708</v>
      </c>
      <c r="V2" s="110" t="s">
        <v>247</v>
      </c>
    </row>
    <row r="3" spans="1:25">
      <c r="A3" s="45" t="s">
        <v>134</v>
      </c>
      <c r="B3" s="111" t="s">
        <v>134</v>
      </c>
      <c r="C3" s="411">
        <f>SUM(C4:C32)</f>
        <v>9386</v>
      </c>
      <c r="D3" s="411">
        <f t="shared" ref="D3" si="0">SUM(D4:D32)</f>
        <v>8444</v>
      </c>
      <c r="E3" s="411">
        <f>D3/C3*100</f>
        <v>89.963775836352013</v>
      </c>
      <c r="F3" s="370"/>
      <c r="G3" s="412">
        <f>SUM(G4:G32)</f>
        <v>226587</v>
      </c>
      <c r="H3" s="371">
        <f>G3/C3</f>
        <v>24.140954613253783</v>
      </c>
      <c r="I3" s="412">
        <f>SUM(I4:I32)</f>
        <v>202951</v>
      </c>
      <c r="J3" s="371">
        <f>I3/D3</f>
        <v>24.034936049265752</v>
      </c>
      <c r="K3" s="412">
        <f>SUM(K4:K32)</f>
        <v>12372</v>
      </c>
      <c r="L3" s="370">
        <f>K3/G3*100</f>
        <v>5.4601543777886636</v>
      </c>
      <c r="M3" s="371">
        <f>K3/C3</f>
        <v>1.3181333901555508</v>
      </c>
      <c r="N3" s="370">
        <f>I3/G3*100</f>
        <v>89.568686641334239</v>
      </c>
      <c r="O3" s="412">
        <f>SUM(O4:O32)</f>
        <v>144593</v>
      </c>
      <c r="P3" s="370">
        <f t="array" ref="P3">O3:O32/G3:G32*100</f>
        <v>63.813457965373118</v>
      </c>
      <c r="Q3" s="412">
        <f>SUM(Q4:Q32)</f>
        <v>58358</v>
      </c>
      <c r="R3" s="370">
        <f t="array" ref="R3">Q3:Q32/G3:G32*100</f>
        <v>25.75522867596111</v>
      </c>
      <c r="S3" s="412">
        <f>SUM(S4:S32)</f>
        <v>4618</v>
      </c>
      <c r="T3" s="370">
        <f>S3/G3*100</f>
        <v>2.0380692625790537</v>
      </c>
      <c r="U3" s="412">
        <f>SUM(U4:U32)</f>
        <v>6646</v>
      </c>
      <c r="V3" s="370">
        <f>U3/G3*100</f>
        <v>2.9330897182980489</v>
      </c>
      <c r="W3" s="112"/>
      <c r="X3" s="112"/>
    </row>
    <row r="4" spans="1:25">
      <c r="A4" s="45" t="s">
        <v>58</v>
      </c>
      <c r="B4" s="111" t="s">
        <v>57</v>
      </c>
      <c r="C4" s="411">
        <v>60</v>
      </c>
      <c r="D4" s="411">
        <v>52</v>
      </c>
      <c r="E4" s="411">
        <f>D4/C4*100</f>
        <v>86.666666666666671</v>
      </c>
      <c r="F4" s="370"/>
      <c r="G4" s="412">
        <v>2211</v>
      </c>
      <c r="H4" s="371">
        <f t="shared" ref="H4:H32" si="1">G4/C4</f>
        <v>36.85</v>
      </c>
      <c r="I4" s="412">
        <v>1813</v>
      </c>
      <c r="J4" s="371">
        <f t="shared" ref="J4:J32" si="2">I4/D4</f>
        <v>34.865384615384613</v>
      </c>
      <c r="K4" s="412">
        <v>279</v>
      </c>
      <c r="L4" s="370">
        <f t="shared" ref="L4:L32" si="3">K4/G4*100</f>
        <v>12.618724559023068</v>
      </c>
      <c r="M4" s="371">
        <f t="shared" ref="M4:M32" si="4">K4/C4</f>
        <v>4.6500000000000004</v>
      </c>
      <c r="N4" s="370">
        <f t="shared" ref="N4:N32" si="5">I4/G4*100</f>
        <v>81.999095431931252</v>
      </c>
      <c r="O4" s="412">
        <v>656</v>
      </c>
      <c r="P4" s="370">
        <f t="array" ref="P4">O4:O33/G4:G33*100</f>
        <v>29.669832654907282</v>
      </c>
      <c r="Q4" s="412">
        <v>1157</v>
      </c>
      <c r="R4" s="370">
        <f t="array" ref="R4">Q4:Q33/G4:G33*100</f>
        <v>52.329262777023963</v>
      </c>
      <c r="S4" s="412">
        <v>0</v>
      </c>
      <c r="T4" s="370">
        <f t="shared" ref="T4:T32" si="6">S4/G4*100</f>
        <v>0</v>
      </c>
      <c r="U4" s="412">
        <f>G4-(I4+K4+S4)</f>
        <v>119</v>
      </c>
      <c r="V4" s="370">
        <f t="shared" ref="V4:V32" si="7">U4/G4*100</f>
        <v>5.3821800090456806</v>
      </c>
      <c r="W4" s="112"/>
      <c r="X4" s="763"/>
      <c r="Y4" s="750"/>
    </row>
    <row r="5" spans="1:25">
      <c r="A5" s="45" t="s">
        <v>60</v>
      </c>
      <c r="B5" s="111" t="s">
        <v>61</v>
      </c>
      <c r="C5" s="411">
        <v>779</v>
      </c>
      <c r="D5" s="411">
        <v>770</v>
      </c>
      <c r="E5" s="411">
        <f t="shared" ref="E5:E32" si="8">D5/C5*100</f>
        <v>98.844672657252886</v>
      </c>
      <c r="F5" s="370"/>
      <c r="G5" s="412">
        <v>17912</v>
      </c>
      <c r="H5" s="371">
        <f t="shared" si="1"/>
        <v>22.993581514762518</v>
      </c>
      <c r="I5" s="412">
        <v>17417</v>
      </c>
      <c r="J5" s="371">
        <f t="shared" si="2"/>
        <v>22.619480519480518</v>
      </c>
      <c r="K5" s="412">
        <v>316</v>
      </c>
      <c r="L5" s="370">
        <f t="shared" si="3"/>
        <v>1.7641804376953996</v>
      </c>
      <c r="M5" s="371">
        <f t="shared" si="4"/>
        <v>0.40564826700898587</v>
      </c>
      <c r="N5" s="370">
        <f t="shared" si="5"/>
        <v>97.236489504242968</v>
      </c>
      <c r="O5" s="412">
        <v>7204</v>
      </c>
      <c r="P5" s="370">
        <f t="array" ref="P5">O5:O34/G5:G34*100</f>
        <v>40.218847699866011</v>
      </c>
      <c r="Q5" s="412">
        <v>10213</v>
      </c>
      <c r="R5" s="370">
        <f t="array" ref="R5">Q5:Q34/G5:G34*100</f>
        <v>57.01764180437695</v>
      </c>
      <c r="S5" s="412">
        <v>35</v>
      </c>
      <c r="T5" s="370">
        <f t="shared" si="6"/>
        <v>0.19539973202322464</v>
      </c>
      <c r="U5" s="412">
        <f t="shared" ref="U5:U32" si="9">G5-(I5+K5+S5)</f>
        <v>144</v>
      </c>
      <c r="V5" s="370">
        <f t="shared" si="7"/>
        <v>0.80393032603841008</v>
      </c>
      <c r="W5" s="112"/>
      <c r="Y5" s="750"/>
    </row>
    <row r="6" spans="1:25">
      <c r="A6" s="45" t="s">
        <v>28</v>
      </c>
      <c r="B6" s="111" t="s">
        <v>63</v>
      </c>
      <c r="C6" s="411">
        <v>225</v>
      </c>
      <c r="D6" s="411">
        <v>195</v>
      </c>
      <c r="E6" s="411">
        <f t="shared" si="8"/>
        <v>86.666666666666671</v>
      </c>
      <c r="F6" s="370"/>
      <c r="G6" s="412">
        <v>5936</v>
      </c>
      <c r="H6" s="371">
        <f t="shared" si="1"/>
        <v>26.382222222222222</v>
      </c>
      <c r="I6" s="412">
        <v>3007</v>
      </c>
      <c r="J6" s="371">
        <f t="shared" si="2"/>
        <v>15.420512820512821</v>
      </c>
      <c r="K6" s="412">
        <v>219</v>
      </c>
      <c r="L6" s="370">
        <f t="shared" si="3"/>
        <v>3.6893530997304582</v>
      </c>
      <c r="M6" s="371">
        <f t="shared" si="4"/>
        <v>0.97333333333333338</v>
      </c>
      <c r="N6" s="370">
        <f t="shared" si="5"/>
        <v>50.657008086253377</v>
      </c>
      <c r="O6" s="412">
        <v>3007</v>
      </c>
      <c r="P6" s="370">
        <f t="array" ref="P6">O6:O35/G6:G35*100</f>
        <v>50.657008086253377</v>
      </c>
      <c r="Q6" s="412">
        <v>0</v>
      </c>
      <c r="R6" s="370">
        <f t="array" ref="R6">Q6:Q35/G6:G35*100</f>
        <v>0</v>
      </c>
      <c r="S6" s="412">
        <v>2662</v>
      </c>
      <c r="T6" s="370">
        <f t="shared" si="6"/>
        <v>44.845013477088948</v>
      </c>
      <c r="U6" s="412">
        <f t="shared" si="9"/>
        <v>48</v>
      </c>
      <c r="V6" s="370">
        <f t="shared" si="7"/>
        <v>0.80862533692722371</v>
      </c>
      <c r="W6" s="112"/>
      <c r="Y6" s="750"/>
    </row>
    <row r="7" spans="1:25">
      <c r="A7" s="45" t="s">
        <v>65</v>
      </c>
      <c r="B7" s="111" t="s">
        <v>66</v>
      </c>
      <c r="C7" s="411">
        <v>205</v>
      </c>
      <c r="D7" s="411">
        <v>163</v>
      </c>
      <c r="E7" s="411">
        <f t="shared" si="8"/>
        <v>79.512195121951223</v>
      </c>
      <c r="F7" s="370"/>
      <c r="G7" s="412">
        <v>3378</v>
      </c>
      <c r="H7" s="371">
        <f t="shared" si="1"/>
        <v>16.478048780487804</v>
      </c>
      <c r="I7" s="412">
        <v>2873</v>
      </c>
      <c r="J7" s="371">
        <f t="shared" si="2"/>
        <v>17.625766871165645</v>
      </c>
      <c r="K7" s="412">
        <v>192</v>
      </c>
      <c r="L7" s="370">
        <f t="shared" si="3"/>
        <v>5.6838365896980463</v>
      </c>
      <c r="M7" s="371">
        <f t="shared" si="4"/>
        <v>0.93658536585365859</v>
      </c>
      <c r="N7" s="370">
        <f t="shared" si="5"/>
        <v>85.050325636471285</v>
      </c>
      <c r="O7" s="412">
        <v>1721</v>
      </c>
      <c r="P7" s="370">
        <f t="array" ref="P7">O7:O36/G7:G36*100</f>
        <v>50.947306098283008</v>
      </c>
      <c r="Q7" s="412">
        <v>1152</v>
      </c>
      <c r="R7" s="370">
        <f t="array" ref="R7">Q7:Q36/G7:G36*100</f>
        <v>34.103019538188278</v>
      </c>
      <c r="S7" s="412">
        <v>126</v>
      </c>
      <c r="T7" s="370">
        <f t="shared" si="6"/>
        <v>3.7300177619893424</v>
      </c>
      <c r="U7" s="412">
        <f t="shared" si="9"/>
        <v>187</v>
      </c>
      <c r="V7" s="370">
        <f t="shared" si="7"/>
        <v>5.5358200118413263</v>
      </c>
      <c r="W7" s="112"/>
      <c r="Y7" s="750"/>
    </row>
    <row r="8" spans="1:25">
      <c r="A8" s="45" t="s">
        <v>68</v>
      </c>
      <c r="B8" s="111" t="s">
        <v>69</v>
      </c>
      <c r="C8" s="411">
        <v>33</v>
      </c>
      <c r="D8" s="411">
        <v>33</v>
      </c>
      <c r="E8" s="411">
        <f t="shared" si="8"/>
        <v>100</v>
      </c>
      <c r="F8" s="370"/>
      <c r="G8" s="412">
        <v>1365</v>
      </c>
      <c r="H8" s="371">
        <f t="shared" si="1"/>
        <v>41.363636363636367</v>
      </c>
      <c r="I8" s="412">
        <v>1340</v>
      </c>
      <c r="J8" s="371">
        <f t="shared" si="2"/>
        <v>40.606060606060609</v>
      </c>
      <c r="K8" s="412">
        <v>1</v>
      </c>
      <c r="L8" s="370">
        <f t="shared" si="3"/>
        <v>7.3260073260073263E-2</v>
      </c>
      <c r="M8" s="371">
        <f t="shared" si="4"/>
        <v>3.0303030303030304E-2</v>
      </c>
      <c r="N8" s="370">
        <f t="shared" si="5"/>
        <v>98.168498168498161</v>
      </c>
      <c r="O8" s="412">
        <v>323</v>
      </c>
      <c r="P8" s="370">
        <f t="array" ref="P8">O8:O37/G8:G37*100</f>
        <v>23.663003663003661</v>
      </c>
      <c r="Q8" s="412">
        <v>1017</v>
      </c>
      <c r="R8" s="370">
        <f t="array" ref="R8">Q8:Q37/G8:G37*100</f>
        <v>74.505494505494511</v>
      </c>
      <c r="S8" s="412">
        <v>4</v>
      </c>
      <c r="T8" s="370">
        <f t="shared" si="6"/>
        <v>0.29304029304029305</v>
      </c>
      <c r="U8" s="412">
        <f t="shared" si="9"/>
        <v>20</v>
      </c>
      <c r="V8" s="370">
        <f t="shared" si="7"/>
        <v>1.4652014652014651</v>
      </c>
      <c r="W8" s="112"/>
      <c r="Y8" s="750"/>
    </row>
    <row r="9" spans="1:25">
      <c r="A9" s="45" t="s">
        <v>174</v>
      </c>
      <c r="B9" s="111" t="s">
        <v>71</v>
      </c>
      <c r="C9" s="411">
        <v>670</v>
      </c>
      <c r="D9" s="411">
        <v>573</v>
      </c>
      <c r="E9" s="411">
        <f t="shared" si="8"/>
        <v>85.522388059701498</v>
      </c>
      <c r="F9" s="370"/>
      <c r="G9" s="412">
        <v>15732</v>
      </c>
      <c r="H9" s="371">
        <f t="shared" si="1"/>
        <v>23.480597014925372</v>
      </c>
      <c r="I9" s="412">
        <v>14611</v>
      </c>
      <c r="J9" s="371">
        <f t="shared" si="2"/>
        <v>25.499127399650959</v>
      </c>
      <c r="K9" s="412">
        <v>668</v>
      </c>
      <c r="L9" s="370">
        <f t="shared" si="3"/>
        <v>4.2461225527587088</v>
      </c>
      <c r="M9" s="371">
        <f t="shared" si="4"/>
        <v>0.9970149253731343</v>
      </c>
      <c r="N9" s="370">
        <f t="shared" si="5"/>
        <v>92.874396135265698</v>
      </c>
      <c r="O9" s="412">
        <v>6190</v>
      </c>
      <c r="P9" s="370">
        <f t="array" ref="P9">O9:O38/G9:G38*100</f>
        <v>39.346554792779045</v>
      </c>
      <c r="Q9" s="412">
        <v>8421</v>
      </c>
      <c r="R9" s="370">
        <f t="array" ref="R9">Q9:Q38/G9:G38*100</f>
        <v>53.527841342486646</v>
      </c>
      <c r="S9" s="412">
        <v>176</v>
      </c>
      <c r="T9" s="370">
        <f t="shared" si="6"/>
        <v>1.1187388761759471</v>
      </c>
      <c r="U9" s="412">
        <f t="shared" si="9"/>
        <v>277</v>
      </c>
      <c r="V9" s="370">
        <f t="shared" si="7"/>
        <v>1.7607424357996442</v>
      </c>
      <c r="W9" s="112"/>
      <c r="Y9" s="750"/>
    </row>
    <row r="10" spans="1:25">
      <c r="A10" s="45" t="s">
        <v>485</v>
      </c>
      <c r="B10" s="111" t="s">
        <v>73</v>
      </c>
      <c r="C10" s="411">
        <v>521</v>
      </c>
      <c r="D10" s="411">
        <v>510</v>
      </c>
      <c r="E10" s="411">
        <f t="shared" si="8"/>
        <v>97.888675623800381</v>
      </c>
      <c r="F10" s="370"/>
      <c r="G10" s="412">
        <v>10886</v>
      </c>
      <c r="H10" s="371">
        <f t="shared" si="1"/>
        <v>20.89443378119002</v>
      </c>
      <c r="I10" s="412">
        <v>10170</v>
      </c>
      <c r="J10" s="371">
        <f t="shared" si="2"/>
        <v>19.941176470588236</v>
      </c>
      <c r="K10" s="412">
        <v>675</v>
      </c>
      <c r="L10" s="370">
        <f t="shared" si="3"/>
        <v>6.2006246555208522</v>
      </c>
      <c r="M10" s="371">
        <f t="shared" si="4"/>
        <v>1.2955854126679462</v>
      </c>
      <c r="N10" s="370">
        <f t="shared" si="5"/>
        <v>93.422744809847515</v>
      </c>
      <c r="O10" s="412">
        <v>7107</v>
      </c>
      <c r="P10" s="370">
        <f t="array" ref="P10">O10:O39/G10:G39*100</f>
        <v>65.285688039684004</v>
      </c>
      <c r="Q10" s="412">
        <v>3063</v>
      </c>
      <c r="R10" s="370">
        <f t="array" ref="R10">Q10:Q39/G10:G39*100</f>
        <v>28.137056770163515</v>
      </c>
      <c r="S10" s="412">
        <v>1</v>
      </c>
      <c r="T10" s="370">
        <f t="shared" si="6"/>
        <v>9.1861106007716346E-3</v>
      </c>
      <c r="U10" s="412">
        <f t="shared" si="9"/>
        <v>40</v>
      </c>
      <c r="V10" s="370">
        <f t="shared" si="7"/>
        <v>0.36744442403086536</v>
      </c>
      <c r="W10" s="112"/>
      <c r="Y10" s="750"/>
    </row>
    <row r="11" spans="1:25">
      <c r="A11" s="45" t="s">
        <v>175</v>
      </c>
      <c r="B11" s="111" t="s">
        <v>75</v>
      </c>
      <c r="C11" s="411">
        <v>666</v>
      </c>
      <c r="D11" s="411">
        <v>554</v>
      </c>
      <c r="E11" s="411">
        <f t="shared" si="8"/>
        <v>83.183183183183189</v>
      </c>
      <c r="F11" s="370"/>
      <c r="G11" s="412">
        <v>22980</v>
      </c>
      <c r="H11" s="371">
        <f t="shared" si="1"/>
        <v>34.504504504504503</v>
      </c>
      <c r="I11" s="412">
        <v>19676</v>
      </c>
      <c r="J11" s="371">
        <f t="shared" si="2"/>
        <v>35.516245487364621</v>
      </c>
      <c r="K11" s="412">
        <v>1264</v>
      </c>
      <c r="L11" s="370">
        <f t="shared" si="3"/>
        <v>5.5004351610095741</v>
      </c>
      <c r="M11" s="371">
        <f t="shared" si="4"/>
        <v>1.897897897897898</v>
      </c>
      <c r="N11" s="370">
        <f t="shared" si="5"/>
        <v>85.62228024369017</v>
      </c>
      <c r="O11" s="412">
        <v>5010</v>
      </c>
      <c r="P11" s="370">
        <f t="array" ref="P11">O11:O40/G11:G40*100</f>
        <v>21.801566579634464</v>
      </c>
      <c r="Q11" s="412">
        <v>14666</v>
      </c>
      <c r="R11" s="370">
        <f t="array" ref="R11">Q11:Q40/G11:G40*100</f>
        <v>63.820713664055702</v>
      </c>
      <c r="S11" s="412">
        <v>445</v>
      </c>
      <c r="T11" s="370">
        <f t="shared" si="6"/>
        <v>1.9364664926022628</v>
      </c>
      <c r="U11" s="412">
        <f t="shared" si="9"/>
        <v>1595</v>
      </c>
      <c r="V11" s="370">
        <f t="shared" si="7"/>
        <v>6.9408181026979987</v>
      </c>
      <c r="W11" s="112"/>
      <c r="Y11" s="750"/>
    </row>
    <row r="12" spans="1:25">
      <c r="A12" s="45" t="s">
        <v>77</v>
      </c>
      <c r="B12" s="111" t="s">
        <v>78</v>
      </c>
      <c r="C12" s="411">
        <v>136</v>
      </c>
      <c r="D12" s="411">
        <v>114</v>
      </c>
      <c r="E12" s="411">
        <f t="shared" si="8"/>
        <v>83.82352941176471</v>
      </c>
      <c r="F12" s="370"/>
      <c r="G12" s="412">
        <v>1940</v>
      </c>
      <c r="H12" s="371">
        <f t="shared" si="1"/>
        <v>14.264705882352942</v>
      </c>
      <c r="I12" s="412">
        <v>1667</v>
      </c>
      <c r="J12" s="371">
        <f t="shared" si="2"/>
        <v>14.62280701754386</v>
      </c>
      <c r="K12" s="412">
        <v>135</v>
      </c>
      <c r="L12" s="370">
        <f t="shared" si="3"/>
        <v>6.9587628865979383</v>
      </c>
      <c r="M12" s="371">
        <f t="shared" si="4"/>
        <v>0.99264705882352944</v>
      </c>
      <c r="N12" s="370">
        <f t="shared" si="5"/>
        <v>85.927835051546381</v>
      </c>
      <c r="O12" s="412">
        <v>1667</v>
      </c>
      <c r="P12" s="370">
        <f t="array" ref="P12">O12:O41/G12:G41*100</f>
        <v>85.927835051546381</v>
      </c>
      <c r="Q12" s="412">
        <v>0</v>
      </c>
      <c r="R12" s="370">
        <f t="array" ref="R12">Q12:Q41/G12:G41*100</f>
        <v>0</v>
      </c>
      <c r="S12" s="412">
        <v>18</v>
      </c>
      <c r="T12" s="370">
        <f t="shared" si="6"/>
        <v>0.92783505154639179</v>
      </c>
      <c r="U12" s="412">
        <f t="shared" si="9"/>
        <v>120</v>
      </c>
      <c r="V12" s="370">
        <f t="shared" si="7"/>
        <v>6.1855670103092786</v>
      </c>
      <c r="W12" s="112"/>
      <c r="Y12" s="750"/>
    </row>
    <row r="13" spans="1:25">
      <c r="A13" s="45" t="s">
        <v>486</v>
      </c>
      <c r="B13" s="111" t="s">
        <v>80</v>
      </c>
      <c r="C13" s="411">
        <v>629</v>
      </c>
      <c r="D13" s="411">
        <v>611</v>
      </c>
      <c r="E13" s="411">
        <f t="shared" si="8"/>
        <v>97.138314785373609</v>
      </c>
      <c r="F13" s="370"/>
      <c r="G13" s="412">
        <v>13779</v>
      </c>
      <c r="H13" s="371">
        <f t="shared" si="1"/>
        <v>21.906200317965023</v>
      </c>
      <c r="I13" s="412">
        <v>12759</v>
      </c>
      <c r="J13" s="371">
        <f t="shared" si="2"/>
        <v>20.882160392798692</v>
      </c>
      <c r="K13" s="412">
        <v>731</v>
      </c>
      <c r="L13" s="370">
        <f t="shared" si="3"/>
        <v>5.3051745409681397</v>
      </c>
      <c r="M13" s="371">
        <f t="shared" si="4"/>
        <v>1.1621621621621621</v>
      </c>
      <c r="N13" s="370">
        <f t="shared" si="5"/>
        <v>92.597430873067708</v>
      </c>
      <c r="O13" s="412">
        <v>8157</v>
      </c>
      <c r="P13" s="370">
        <f t="array" ref="P13">O13:O42/G13:G42*100</f>
        <v>59.198780753320271</v>
      </c>
      <c r="Q13" s="412">
        <v>4602</v>
      </c>
      <c r="R13" s="370">
        <f t="array" ref="R13">Q13:Q42/G13:G42*100</f>
        <v>33.398650119747444</v>
      </c>
      <c r="S13" s="412">
        <v>107</v>
      </c>
      <c r="T13" s="370">
        <f t="shared" si="6"/>
        <v>0.77654401625662239</v>
      </c>
      <c r="U13" s="412">
        <f t="shared" si="9"/>
        <v>182</v>
      </c>
      <c r="V13" s="370">
        <f t="shared" si="7"/>
        <v>1.3208505697075259</v>
      </c>
      <c r="W13" s="112"/>
      <c r="Y13" s="750"/>
    </row>
    <row r="14" spans="1:25">
      <c r="A14" s="45" t="s">
        <v>82</v>
      </c>
      <c r="B14" s="111" t="s">
        <v>83</v>
      </c>
      <c r="C14" s="411">
        <v>198</v>
      </c>
      <c r="D14" s="411">
        <v>198</v>
      </c>
      <c r="E14" s="411">
        <f t="shared" si="8"/>
        <v>100</v>
      </c>
      <c r="F14" s="370"/>
      <c r="G14" s="412">
        <v>4030</v>
      </c>
      <c r="H14" s="371">
        <f t="shared" si="1"/>
        <v>20.353535353535353</v>
      </c>
      <c r="I14" s="412">
        <v>3737</v>
      </c>
      <c r="J14" s="371">
        <f t="shared" si="2"/>
        <v>18.873737373737374</v>
      </c>
      <c r="K14" s="412">
        <v>289</v>
      </c>
      <c r="L14" s="370">
        <f t="shared" si="3"/>
        <v>7.1712158808932998</v>
      </c>
      <c r="M14" s="371">
        <f t="shared" si="4"/>
        <v>1.4595959595959596</v>
      </c>
      <c r="N14" s="370">
        <f t="shared" si="5"/>
        <v>92.729528535980137</v>
      </c>
      <c r="O14" s="412">
        <v>3224</v>
      </c>
      <c r="P14" s="370">
        <f t="array" ref="P14">O14:O43/G14:G43*100</f>
        <v>80</v>
      </c>
      <c r="Q14" s="412">
        <v>513</v>
      </c>
      <c r="R14" s="370">
        <f t="array" ref="R14">Q14:Q43/G14:G43*100</f>
        <v>12.729528535980151</v>
      </c>
      <c r="S14" s="412">
        <v>4</v>
      </c>
      <c r="T14" s="370">
        <f t="shared" si="6"/>
        <v>9.9255583126550861E-2</v>
      </c>
      <c r="U14" s="412">
        <f t="shared" si="9"/>
        <v>0</v>
      </c>
      <c r="V14" s="370">
        <f t="shared" si="7"/>
        <v>0</v>
      </c>
      <c r="W14" s="112"/>
      <c r="Y14" s="750"/>
    </row>
    <row r="15" spans="1:25">
      <c r="A15" s="45" t="s">
        <v>459</v>
      </c>
      <c r="B15" s="111" t="s">
        <v>470</v>
      </c>
      <c r="C15" s="411">
        <v>1178</v>
      </c>
      <c r="D15" s="411">
        <v>1133</v>
      </c>
      <c r="E15" s="411">
        <f t="shared" si="8"/>
        <v>96.179966044142617</v>
      </c>
      <c r="F15" s="370"/>
      <c r="G15" s="412">
        <v>33527</v>
      </c>
      <c r="H15" s="371">
        <f t="shared" si="1"/>
        <v>28.460950764006792</v>
      </c>
      <c r="I15" s="412">
        <v>31029</v>
      </c>
      <c r="J15" s="371">
        <f t="shared" si="2"/>
        <v>27.386584289496909</v>
      </c>
      <c r="K15" s="412">
        <v>1565</v>
      </c>
      <c r="L15" s="370">
        <f t="shared" si="3"/>
        <v>4.6678796194112211</v>
      </c>
      <c r="M15" s="371">
        <f t="shared" si="4"/>
        <v>1.3285229202037352</v>
      </c>
      <c r="N15" s="370">
        <f t="shared" si="5"/>
        <v>92.549288633042025</v>
      </c>
      <c r="O15" s="412">
        <v>28615</v>
      </c>
      <c r="P15" s="370">
        <f t="array" ref="P15">O15:O44/G15:G44*100</f>
        <v>85.349121603483752</v>
      </c>
      <c r="Q15" s="412">
        <v>2414</v>
      </c>
      <c r="R15" s="370">
        <f t="array" ref="R15">Q15:Q44/G15:G44*100</f>
        <v>7.2001670295582656</v>
      </c>
      <c r="S15" s="412">
        <v>235</v>
      </c>
      <c r="T15" s="370">
        <f t="shared" si="6"/>
        <v>0.70092761058251563</v>
      </c>
      <c r="U15" s="412">
        <f t="shared" si="9"/>
        <v>698</v>
      </c>
      <c r="V15" s="370">
        <f t="shared" si="7"/>
        <v>2.0819041369642379</v>
      </c>
      <c r="W15" s="112"/>
      <c r="Y15" s="750"/>
    </row>
    <row r="16" spans="1:25">
      <c r="A16" s="45" t="s">
        <v>185</v>
      </c>
      <c r="B16" s="111" t="s">
        <v>85</v>
      </c>
      <c r="C16" s="411">
        <v>379</v>
      </c>
      <c r="D16" s="411">
        <v>375</v>
      </c>
      <c r="E16" s="411">
        <f t="shared" si="8"/>
        <v>98.944591029023741</v>
      </c>
      <c r="F16" s="370"/>
      <c r="G16" s="412">
        <v>7967</v>
      </c>
      <c r="H16" s="371">
        <f t="shared" si="1"/>
        <v>21.021108179419524</v>
      </c>
      <c r="I16" s="412">
        <v>7238</v>
      </c>
      <c r="J16" s="371">
        <f t="shared" si="2"/>
        <v>19.301333333333332</v>
      </c>
      <c r="K16" s="412">
        <v>647</v>
      </c>
      <c r="L16" s="370">
        <f t="shared" si="3"/>
        <v>8.1209991213756751</v>
      </c>
      <c r="M16" s="371">
        <f t="shared" si="4"/>
        <v>1.7071240105540897</v>
      </c>
      <c r="N16" s="370">
        <f t="shared" si="5"/>
        <v>90.84975524036652</v>
      </c>
      <c r="O16" s="412">
        <v>6255</v>
      </c>
      <c r="P16" s="370">
        <f t="array" ref="P16">O16:O45/G16:G45*100</f>
        <v>78.511359357349065</v>
      </c>
      <c r="Q16" s="412">
        <v>983</v>
      </c>
      <c r="R16" s="370">
        <f t="array" ref="R16">Q16:Q45/G16:G45*100</f>
        <v>12.338395883017448</v>
      </c>
      <c r="S16" s="412">
        <v>47</v>
      </c>
      <c r="T16" s="370">
        <f t="shared" si="6"/>
        <v>0.58993347558679554</v>
      </c>
      <c r="U16" s="412">
        <f t="shared" si="9"/>
        <v>35</v>
      </c>
      <c r="V16" s="370">
        <f t="shared" si="7"/>
        <v>0.43931216267101791</v>
      </c>
      <c r="W16" s="112"/>
      <c r="Y16" s="750"/>
    </row>
    <row r="17" spans="1:25">
      <c r="A17" s="45" t="s">
        <v>89</v>
      </c>
      <c r="B17" s="111" t="s">
        <v>90</v>
      </c>
      <c r="C17" s="411">
        <v>31</v>
      </c>
      <c r="D17" s="411">
        <v>31</v>
      </c>
      <c r="E17" s="411">
        <f t="shared" si="8"/>
        <v>100</v>
      </c>
      <c r="F17" s="370"/>
      <c r="G17" s="412">
        <v>599</v>
      </c>
      <c r="H17" s="371">
        <f t="shared" si="1"/>
        <v>19.322580645161292</v>
      </c>
      <c r="I17" s="412">
        <v>591</v>
      </c>
      <c r="J17" s="371">
        <f t="shared" si="2"/>
        <v>19.06451612903226</v>
      </c>
      <c r="K17" s="412">
        <v>1</v>
      </c>
      <c r="L17" s="370">
        <f t="shared" si="3"/>
        <v>0.1669449081803005</v>
      </c>
      <c r="M17" s="371">
        <f t="shared" si="4"/>
        <v>3.2258064516129031E-2</v>
      </c>
      <c r="N17" s="370">
        <f t="shared" si="5"/>
        <v>98.664440734557601</v>
      </c>
      <c r="O17" s="412">
        <v>451</v>
      </c>
      <c r="P17" s="370">
        <f t="array" ref="P17">O17:O46/G17:G46*100</f>
        <v>75.292153589315518</v>
      </c>
      <c r="Q17" s="412">
        <v>140</v>
      </c>
      <c r="R17" s="370">
        <f t="array" ref="R17">Q17:Q46/G17:G46*100</f>
        <v>23.372287145242073</v>
      </c>
      <c r="S17" s="412">
        <v>0</v>
      </c>
      <c r="T17" s="370">
        <f t="shared" si="6"/>
        <v>0</v>
      </c>
      <c r="U17" s="412">
        <f t="shared" si="9"/>
        <v>7</v>
      </c>
      <c r="V17" s="370">
        <f t="shared" si="7"/>
        <v>1.1686143572621035</v>
      </c>
      <c r="W17" s="112"/>
      <c r="Y17" s="750"/>
    </row>
    <row r="18" spans="1:25">
      <c r="A18" s="45" t="s">
        <v>92</v>
      </c>
      <c r="B18" s="111" t="s">
        <v>93</v>
      </c>
      <c r="C18" s="411">
        <v>65</v>
      </c>
      <c r="D18" s="411">
        <v>65</v>
      </c>
      <c r="E18" s="411">
        <f t="shared" si="8"/>
        <v>100</v>
      </c>
      <c r="F18" s="370"/>
      <c r="G18" s="412">
        <v>714</v>
      </c>
      <c r="H18" s="371">
        <f t="shared" si="1"/>
        <v>10.984615384615385</v>
      </c>
      <c r="I18" s="412">
        <v>714</v>
      </c>
      <c r="J18" s="371">
        <f t="shared" si="2"/>
        <v>10.984615384615385</v>
      </c>
      <c r="K18" s="412">
        <v>0</v>
      </c>
      <c r="L18" s="370">
        <f t="shared" si="3"/>
        <v>0</v>
      </c>
      <c r="M18" s="371">
        <f t="shared" si="4"/>
        <v>0</v>
      </c>
      <c r="N18" s="370">
        <f t="shared" si="5"/>
        <v>100</v>
      </c>
      <c r="O18" s="412">
        <v>446</v>
      </c>
      <c r="P18" s="370">
        <f t="array" ref="P18">O18:O47/G18:G47*100</f>
        <v>62.464985994397757</v>
      </c>
      <c r="Q18" s="412">
        <v>268</v>
      </c>
      <c r="R18" s="370">
        <f t="array" ref="R18">Q18:Q47/G18:G47*100</f>
        <v>37.535014005602243</v>
      </c>
      <c r="S18" s="412">
        <v>0</v>
      </c>
      <c r="T18" s="370">
        <f t="shared" si="6"/>
        <v>0</v>
      </c>
      <c r="U18" s="412">
        <f t="shared" si="9"/>
        <v>0</v>
      </c>
      <c r="V18" s="370">
        <f t="shared" si="7"/>
        <v>0</v>
      </c>
      <c r="W18" s="112"/>
      <c r="Y18" s="750"/>
    </row>
    <row r="19" spans="1:25">
      <c r="A19" s="45" t="s">
        <v>95</v>
      </c>
      <c r="B19" s="111" t="s">
        <v>96</v>
      </c>
      <c r="C19" s="411">
        <v>59</v>
      </c>
      <c r="D19" s="411">
        <v>58</v>
      </c>
      <c r="E19" s="411">
        <f t="shared" si="8"/>
        <v>98.305084745762713</v>
      </c>
      <c r="F19" s="370"/>
      <c r="G19" s="412">
        <v>909</v>
      </c>
      <c r="H19" s="371">
        <f t="shared" si="1"/>
        <v>15.40677966101695</v>
      </c>
      <c r="I19" s="412">
        <v>817</v>
      </c>
      <c r="J19" s="371">
        <f t="shared" si="2"/>
        <v>14.086206896551724</v>
      </c>
      <c r="K19" s="412">
        <v>88</v>
      </c>
      <c r="L19" s="370">
        <f t="shared" si="3"/>
        <v>9.6809680968096803</v>
      </c>
      <c r="M19" s="371">
        <f t="shared" si="4"/>
        <v>1.4915254237288136</v>
      </c>
      <c r="N19" s="370">
        <f t="shared" si="5"/>
        <v>89.878987898789873</v>
      </c>
      <c r="O19" s="412">
        <v>817</v>
      </c>
      <c r="P19" s="370">
        <f t="array" ref="P19">O19:O48/G19:G48*100</f>
        <v>89.878987898789873</v>
      </c>
      <c r="Q19" s="412">
        <v>0</v>
      </c>
      <c r="R19" s="370">
        <f t="array" ref="R19">Q19:Q48/G19:G48*100</f>
        <v>0</v>
      </c>
      <c r="S19" s="412">
        <v>0</v>
      </c>
      <c r="T19" s="370">
        <f t="shared" si="6"/>
        <v>0</v>
      </c>
      <c r="U19" s="412">
        <f t="shared" si="9"/>
        <v>4</v>
      </c>
      <c r="V19" s="370">
        <f t="shared" si="7"/>
        <v>0.44004400440044</v>
      </c>
      <c r="W19" s="112"/>
      <c r="Y19" s="750"/>
    </row>
    <row r="20" spans="1:25">
      <c r="A20" s="45" t="s">
        <v>98</v>
      </c>
      <c r="B20" s="111" t="s">
        <v>99</v>
      </c>
      <c r="C20" s="411">
        <v>315</v>
      </c>
      <c r="D20" s="411">
        <v>222</v>
      </c>
      <c r="E20" s="411">
        <f t="shared" si="8"/>
        <v>70.476190476190482</v>
      </c>
      <c r="F20" s="370"/>
      <c r="G20" s="412">
        <v>9077</v>
      </c>
      <c r="H20" s="371">
        <f t="shared" si="1"/>
        <v>28.815873015873017</v>
      </c>
      <c r="I20" s="412">
        <v>8063</v>
      </c>
      <c r="J20" s="371">
        <f t="shared" si="2"/>
        <v>36.31981981981982</v>
      </c>
      <c r="K20" s="412">
        <v>498</v>
      </c>
      <c r="L20" s="370">
        <f t="shared" si="3"/>
        <v>5.4863941831001437</v>
      </c>
      <c r="M20" s="371">
        <f t="shared" si="4"/>
        <v>1.5809523809523809</v>
      </c>
      <c r="N20" s="370">
        <f t="shared" si="5"/>
        <v>88.828908229591278</v>
      </c>
      <c r="O20" s="412">
        <v>8061</v>
      </c>
      <c r="P20" s="370">
        <f t="array" ref="P20">O20:O49/G20:G49*100</f>
        <v>88.806874518012563</v>
      </c>
      <c r="Q20" s="412">
        <v>2</v>
      </c>
      <c r="R20" s="370">
        <f t="array" ref="R20">Q20:Q49/G20:G49*100</f>
        <v>2.2033711578715434E-2</v>
      </c>
      <c r="S20" s="412">
        <v>74</v>
      </c>
      <c r="T20" s="370">
        <f t="shared" si="6"/>
        <v>0.81524732841247105</v>
      </c>
      <c r="U20" s="412">
        <f t="shared" si="9"/>
        <v>442</v>
      </c>
      <c r="V20" s="370">
        <f t="shared" si="7"/>
        <v>4.8694502588961113</v>
      </c>
      <c r="W20" s="112"/>
      <c r="Y20" s="750"/>
    </row>
    <row r="21" spans="1:25">
      <c r="A21" s="45" t="s">
        <v>101</v>
      </c>
      <c r="B21" s="111" t="s">
        <v>102</v>
      </c>
      <c r="C21" s="411">
        <v>315</v>
      </c>
      <c r="D21" s="411">
        <v>311</v>
      </c>
      <c r="E21" s="411">
        <f t="shared" si="8"/>
        <v>98.730158730158735</v>
      </c>
      <c r="F21" s="370"/>
      <c r="G21" s="412">
        <v>4858</v>
      </c>
      <c r="H21" s="371">
        <f t="shared" si="1"/>
        <v>15.422222222222222</v>
      </c>
      <c r="I21" s="412">
        <v>4490</v>
      </c>
      <c r="J21" s="371">
        <f t="shared" si="2"/>
        <v>14.437299035369774</v>
      </c>
      <c r="K21" s="412">
        <v>337</v>
      </c>
      <c r="L21" s="370">
        <f t="shared" si="3"/>
        <v>6.9370111156854666</v>
      </c>
      <c r="M21" s="371">
        <f t="shared" si="4"/>
        <v>1.0698412698412698</v>
      </c>
      <c r="N21" s="370">
        <f t="shared" si="5"/>
        <v>92.424866200082334</v>
      </c>
      <c r="O21" s="412">
        <v>4490</v>
      </c>
      <c r="P21" s="370">
        <f t="array" ref="P21">O21:O50/G21:G50*100</f>
        <v>92.424866200082334</v>
      </c>
      <c r="Q21" s="412">
        <v>0</v>
      </c>
      <c r="R21" s="370">
        <f t="array" ref="R21">Q21:Q50/G21:G50*100</f>
        <v>0</v>
      </c>
      <c r="S21" s="412">
        <v>1</v>
      </c>
      <c r="T21" s="370">
        <f t="shared" si="6"/>
        <v>2.0584602717167558E-2</v>
      </c>
      <c r="U21" s="412">
        <f t="shared" si="9"/>
        <v>30</v>
      </c>
      <c r="V21" s="370">
        <f t="shared" si="7"/>
        <v>0.61753808151502676</v>
      </c>
      <c r="W21" s="112"/>
      <c r="Y21" s="750"/>
    </row>
    <row r="22" spans="1:25">
      <c r="A22" s="45" t="s">
        <v>104</v>
      </c>
      <c r="B22" s="111" t="s">
        <v>105</v>
      </c>
      <c r="C22" s="411">
        <v>303</v>
      </c>
      <c r="D22" s="411">
        <v>282</v>
      </c>
      <c r="E22" s="411">
        <f t="shared" si="8"/>
        <v>93.069306930693074</v>
      </c>
      <c r="F22" s="370"/>
      <c r="G22" s="412">
        <v>4340</v>
      </c>
      <c r="H22" s="371">
        <f t="shared" si="1"/>
        <v>14.323432343234323</v>
      </c>
      <c r="I22" s="412">
        <v>3952</v>
      </c>
      <c r="J22" s="371">
        <f t="shared" si="2"/>
        <v>14.01418439716312</v>
      </c>
      <c r="K22" s="412">
        <v>273</v>
      </c>
      <c r="L22" s="370">
        <f t="shared" si="3"/>
        <v>6.290322580645161</v>
      </c>
      <c r="M22" s="371">
        <f t="shared" si="4"/>
        <v>0.90099009900990101</v>
      </c>
      <c r="N22" s="370">
        <f t="shared" si="5"/>
        <v>91.059907834101381</v>
      </c>
      <c r="O22" s="412">
        <v>3952</v>
      </c>
      <c r="P22" s="370">
        <f t="array" ref="P22">O22:O51/G22:G51*100</f>
        <v>91.059907834101381</v>
      </c>
      <c r="Q22" s="412">
        <v>0</v>
      </c>
      <c r="R22" s="370">
        <f t="array" ref="R22">Q22:Q51/G22:G51*100</f>
        <v>0</v>
      </c>
      <c r="S22" s="412">
        <v>0</v>
      </c>
      <c r="T22" s="370">
        <f t="shared" si="6"/>
        <v>0</v>
      </c>
      <c r="U22" s="412">
        <f t="shared" si="9"/>
        <v>115</v>
      </c>
      <c r="V22" s="370">
        <f t="shared" si="7"/>
        <v>2.6497695852534564</v>
      </c>
      <c r="W22" s="112"/>
      <c r="Y22" s="750"/>
    </row>
    <row r="23" spans="1:25">
      <c r="A23" s="45" t="s">
        <v>107</v>
      </c>
      <c r="B23" s="111" t="s">
        <v>106</v>
      </c>
      <c r="C23" s="411">
        <v>349</v>
      </c>
      <c r="D23" s="411">
        <v>343</v>
      </c>
      <c r="E23" s="411">
        <f t="shared" si="8"/>
        <v>98.280802292263616</v>
      </c>
      <c r="F23" s="370"/>
      <c r="G23" s="412">
        <v>5654</v>
      </c>
      <c r="H23" s="371">
        <f t="shared" si="1"/>
        <v>16.200573065902578</v>
      </c>
      <c r="I23" s="412">
        <v>5320</v>
      </c>
      <c r="J23" s="371">
        <f t="shared" si="2"/>
        <v>15.510204081632653</v>
      </c>
      <c r="K23" s="412">
        <v>322</v>
      </c>
      <c r="L23" s="370">
        <f t="shared" si="3"/>
        <v>5.6950831269897417</v>
      </c>
      <c r="M23" s="371">
        <f t="shared" si="4"/>
        <v>0.92263610315186251</v>
      </c>
      <c r="N23" s="370">
        <f t="shared" si="5"/>
        <v>94.092677750265295</v>
      </c>
      <c r="O23" s="412">
        <v>5320</v>
      </c>
      <c r="P23" s="370">
        <f t="array" ref="P23">O23:O52/G23:G52*100</f>
        <v>94.092677750265295</v>
      </c>
      <c r="Q23" s="412">
        <v>0</v>
      </c>
      <c r="R23" s="370">
        <f t="array" ref="R23">Q23:Q52/G23:G52*100</f>
        <v>0</v>
      </c>
      <c r="S23" s="412">
        <v>0</v>
      </c>
      <c r="T23" s="370">
        <f t="shared" si="6"/>
        <v>0</v>
      </c>
      <c r="U23" s="412">
        <f t="shared" si="9"/>
        <v>12</v>
      </c>
      <c r="V23" s="370">
        <f t="shared" si="7"/>
        <v>0.21223912274495935</v>
      </c>
      <c r="W23" s="112"/>
      <c r="Y23" s="750"/>
    </row>
    <row r="24" spans="1:25">
      <c r="A24" s="45" t="s">
        <v>109</v>
      </c>
      <c r="B24" s="111" t="s">
        <v>110</v>
      </c>
      <c r="C24" s="411">
        <v>960</v>
      </c>
      <c r="D24" s="411">
        <v>696</v>
      </c>
      <c r="E24" s="411">
        <f t="shared" si="8"/>
        <v>72.5</v>
      </c>
      <c r="F24" s="370"/>
      <c r="G24" s="412">
        <v>26390</v>
      </c>
      <c r="H24" s="371">
        <f t="shared" si="1"/>
        <v>27.489583333333332</v>
      </c>
      <c r="I24" s="412">
        <v>23241</v>
      </c>
      <c r="J24" s="371">
        <f t="shared" si="2"/>
        <v>33.392241379310342</v>
      </c>
      <c r="K24" s="412">
        <v>1443</v>
      </c>
      <c r="L24" s="370">
        <f t="shared" si="3"/>
        <v>5.4679802955665027</v>
      </c>
      <c r="M24" s="371">
        <f t="shared" si="4"/>
        <v>1.503125</v>
      </c>
      <c r="N24" s="370">
        <f t="shared" si="5"/>
        <v>88.06744979158772</v>
      </c>
      <c r="O24" s="412">
        <v>18572</v>
      </c>
      <c r="P24" s="370">
        <f t="array" ref="P24">O24:O53/G24:G53*100</f>
        <v>70.375142099280026</v>
      </c>
      <c r="Q24" s="412">
        <v>4669</v>
      </c>
      <c r="R24" s="370">
        <f t="array" ref="R24">Q24:Q53/G24:G53*100</f>
        <v>17.692307692307693</v>
      </c>
      <c r="S24" s="412">
        <v>274</v>
      </c>
      <c r="T24" s="370">
        <f t="shared" si="6"/>
        <v>1.0382720727548314</v>
      </c>
      <c r="U24" s="412">
        <f t="shared" si="9"/>
        <v>1432</v>
      </c>
      <c r="V24" s="370">
        <f t="shared" si="7"/>
        <v>5.4262978400909434</v>
      </c>
      <c r="W24" s="112"/>
      <c r="Y24" s="750"/>
    </row>
    <row r="25" spans="1:25">
      <c r="A25" s="45" t="s">
        <v>112</v>
      </c>
      <c r="B25" s="111" t="s">
        <v>113</v>
      </c>
      <c r="C25" s="411">
        <v>278</v>
      </c>
      <c r="D25" s="411">
        <v>227</v>
      </c>
      <c r="E25" s="411">
        <f t="shared" si="8"/>
        <v>81.654676258992808</v>
      </c>
      <c r="F25" s="370"/>
      <c r="G25" s="412">
        <v>7833</v>
      </c>
      <c r="H25" s="371">
        <f t="shared" si="1"/>
        <v>28.176258992805757</v>
      </c>
      <c r="I25" s="412">
        <v>6845</v>
      </c>
      <c r="J25" s="371">
        <f t="shared" si="2"/>
        <v>30.154185022026432</v>
      </c>
      <c r="K25" s="412">
        <v>422</v>
      </c>
      <c r="L25" s="370">
        <f t="shared" si="3"/>
        <v>5.3874632963104814</v>
      </c>
      <c r="M25" s="371">
        <f t="shared" si="4"/>
        <v>1.5179856115107915</v>
      </c>
      <c r="N25" s="370">
        <f t="shared" si="5"/>
        <v>87.38669730626836</v>
      </c>
      <c r="O25" s="412">
        <v>6842</v>
      </c>
      <c r="P25" s="370">
        <f t="array" ref="P25">O25:O54/G25:G54*100</f>
        <v>87.348397804161877</v>
      </c>
      <c r="Q25" s="412">
        <v>3</v>
      </c>
      <c r="R25" s="370">
        <f t="array" ref="R25">Q25:Q54/G25:G54*100</f>
        <v>3.8299502106472615E-2</v>
      </c>
      <c r="S25" s="412">
        <v>325</v>
      </c>
      <c r="T25" s="370">
        <f t="shared" si="6"/>
        <v>4.1491127282012004</v>
      </c>
      <c r="U25" s="412">
        <f t="shared" si="9"/>
        <v>241</v>
      </c>
      <c r="V25" s="370">
        <f t="shared" si="7"/>
        <v>3.0767266692199668</v>
      </c>
      <c r="W25" s="112"/>
      <c r="Y25" s="750"/>
    </row>
    <row r="26" spans="1:25">
      <c r="A26" s="45" t="s">
        <v>115</v>
      </c>
      <c r="B26" s="111" t="s">
        <v>116</v>
      </c>
      <c r="C26" s="411">
        <v>236</v>
      </c>
      <c r="D26" s="411">
        <v>168</v>
      </c>
      <c r="E26" s="411">
        <f t="shared" si="8"/>
        <v>71.186440677966104</v>
      </c>
      <c r="F26" s="370"/>
      <c r="G26" s="412">
        <v>5984</v>
      </c>
      <c r="H26" s="371">
        <f t="shared" si="1"/>
        <v>25.35593220338983</v>
      </c>
      <c r="I26" s="412">
        <v>4677</v>
      </c>
      <c r="J26" s="371">
        <f t="shared" si="2"/>
        <v>27.839285714285715</v>
      </c>
      <c r="K26" s="412">
        <v>632</v>
      </c>
      <c r="L26" s="370">
        <f t="shared" si="3"/>
        <v>10.561497326203209</v>
      </c>
      <c r="M26" s="371">
        <f t="shared" si="4"/>
        <v>2.6779661016949152</v>
      </c>
      <c r="N26" s="370">
        <f t="shared" si="5"/>
        <v>78.158422459893046</v>
      </c>
      <c r="O26" s="412">
        <v>4192</v>
      </c>
      <c r="P26" s="370">
        <f t="array" ref="P26">O26:O55/G26:G55*100</f>
        <v>70.053475935828885</v>
      </c>
      <c r="Q26" s="412">
        <v>485</v>
      </c>
      <c r="R26" s="370">
        <f t="array" ref="R26">Q26:Q55/G26:G55*100</f>
        <v>8.1049465240641716</v>
      </c>
      <c r="S26" s="412">
        <v>1</v>
      </c>
      <c r="T26" s="370">
        <f t="shared" si="6"/>
        <v>1.6711229946524062E-2</v>
      </c>
      <c r="U26" s="412">
        <f t="shared" si="9"/>
        <v>674</v>
      </c>
      <c r="V26" s="370">
        <f t="shared" si="7"/>
        <v>11.26336898395722</v>
      </c>
      <c r="W26" s="112"/>
      <c r="Y26" s="750"/>
    </row>
    <row r="27" spans="1:25">
      <c r="A27" s="45" t="s">
        <v>118</v>
      </c>
      <c r="B27" s="111" t="s">
        <v>119</v>
      </c>
      <c r="C27" s="411">
        <v>30</v>
      </c>
      <c r="D27" s="411">
        <v>23</v>
      </c>
      <c r="E27" s="411">
        <f t="shared" si="8"/>
        <v>76.666666666666671</v>
      </c>
      <c r="F27" s="370"/>
      <c r="G27" s="412">
        <v>749</v>
      </c>
      <c r="H27" s="371">
        <f t="shared" si="1"/>
        <v>24.966666666666665</v>
      </c>
      <c r="I27" s="412">
        <v>697</v>
      </c>
      <c r="J27" s="371">
        <f t="shared" si="2"/>
        <v>30.304347826086957</v>
      </c>
      <c r="K27" s="412">
        <v>27</v>
      </c>
      <c r="L27" s="370">
        <f t="shared" si="3"/>
        <v>3.6048064085447264</v>
      </c>
      <c r="M27" s="371">
        <f t="shared" si="4"/>
        <v>0.9</v>
      </c>
      <c r="N27" s="370">
        <f t="shared" si="5"/>
        <v>93.057409879839781</v>
      </c>
      <c r="O27" s="412">
        <v>40</v>
      </c>
      <c r="P27" s="370">
        <f t="array" ref="P27">O27:O56/G27:G56*100</f>
        <v>5.3404539385847798</v>
      </c>
      <c r="Q27" s="412">
        <v>657</v>
      </c>
      <c r="R27" s="370">
        <f t="array" ref="R27">Q27:Q56/G27:G56*100</f>
        <v>87.716955941255009</v>
      </c>
      <c r="S27" s="412">
        <v>0</v>
      </c>
      <c r="T27" s="370">
        <f t="shared" si="6"/>
        <v>0</v>
      </c>
      <c r="U27" s="412">
        <f t="shared" si="9"/>
        <v>25</v>
      </c>
      <c r="V27" s="370">
        <f t="shared" si="7"/>
        <v>3.3377837116154869</v>
      </c>
      <c r="W27" s="112"/>
      <c r="Y27" s="750"/>
    </row>
    <row r="28" spans="1:25">
      <c r="A28" s="45" t="s">
        <v>121</v>
      </c>
      <c r="B28" s="111" t="s">
        <v>122</v>
      </c>
      <c r="C28" s="411">
        <v>40</v>
      </c>
      <c r="D28" s="411">
        <v>40</v>
      </c>
      <c r="E28" s="411">
        <f t="shared" si="8"/>
        <v>100</v>
      </c>
      <c r="F28" s="370"/>
      <c r="G28" s="412">
        <v>846</v>
      </c>
      <c r="H28" s="371">
        <f t="shared" si="1"/>
        <v>21.15</v>
      </c>
      <c r="I28" s="412">
        <v>839</v>
      </c>
      <c r="J28" s="371">
        <f t="shared" si="2"/>
        <v>20.975000000000001</v>
      </c>
      <c r="K28" s="412">
        <v>7</v>
      </c>
      <c r="L28" s="370">
        <f t="shared" si="3"/>
        <v>0.82742316784869974</v>
      </c>
      <c r="M28" s="371">
        <f t="shared" si="4"/>
        <v>0.17499999999999999</v>
      </c>
      <c r="N28" s="370">
        <f t="shared" si="5"/>
        <v>99.172576832151307</v>
      </c>
      <c r="O28" s="412">
        <v>839</v>
      </c>
      <c r="P28" s="370">
        <f t="array" ref="P28">O28:O57/G28:G57*100</f>
        <v>99.172576832151307</v>
      </c>
      <c r="Q28" s="412">
        <v>0</v>
      </c>
      <c r="R28" s="370">
        <f t="array" ref="R28">Q28:Q57/G28:G57*100</f>
        <v>0</v>
      </c>
      <c r="S28" s="412">
        <v>0</v>
      </c>
      <c r="T28" s="370">
        <f t="shared" si="6"/>
        <v>0</v>
      </c>
      <c r="U28" s="412">
        <f t="shared" si="9"/>
        <v>0</v>
      </c>
      <c r="V28" s="370">
        <f t="shared" si="7"/>
        <v>0</v>
      </c>
      <c r="W28" s="112"/>
      <c r="Y28" s="750"/>
    </row>
    <row r="29" spans="1:25">
      <c r="A29" s="45" t="s">
        <v>124</v>
      </c>
      <c r="B29" s="111" t="s">
        <v>125</v>
      </c>
      <c r="C29" s="411">
        <v>476</v>
      </c>
      <c r="D29" s="411">
        <v>470</v>
      </c>
      <c r="E29" s="411">
        <f t="shared" si="8"/>
        <v>98.739495798319325</v>
      </c>
      <c r="F29" s="370"/>
      <c r="G29" s="412">
        <v>9646</v>
      </c>
      <c r="H29" s="371">
        <f t="shared" si="1"/>
        <v>20.264705882352942</v>
      </c>
      <c r="I29" s="412">
        <v>8715</v>
      </c>
      <c r="J29" s="371">
        <f t="shared" si="2"/>
        <v>18.542553191489361</v>
      </c>
      <c r="K29" s="412">
        <v>752</v>
      </c>
      <c r="L29" s="370">
        <f t="shared" si="3"/>
        <v>7.7959776072983615</v>
      </c>
      <c r="M29" s="371">
        <f t="shared" si="4"/>
        <v>1.5798319327731092</v>
      </c>
      <c r="N29" s="370">
        <f t="shared" si="5"/>
        <v>90.348330914368645</v>
      </c>
      <c r="O29" s="412">
        <v>4800</v>
      </c>
      <c r="P29" s="370">
        <f t="array" ref="P29">O29:O58/G29:G58*100</f>
        <v>49.761559195521457</v>
      </c>
      <c r="Q29" s="412">
        <v>3915</v>
      </c>
      <c r="R29" s="370">
        <f t="array" ref="R29">Q29:Q58/G29:G58*100</f>
        <v>40.586771718847189</v>
      </c>
      <c r="S29" s="412">
        <v>75</v>
      </c>
      <c r="T29" s="370">
        <f t="shared" si="6"/>
        <v>0.77752436243002276</v>
      </c>
      <c r="U29" s="412">
        <f t="shared" si="9"/>
        <v>104</v>
      </c>
      <c r="V29" s="370">
        <f t="shared" si="7"/>
        <v>1.0781671159029651</v>
      </c>
      <c r="W29" s="112"/>
      <c r="Y29" s="750"/>
    </row>
    <row r="30" spans="1:25">
      <c r="A30" s="45" t="s">
        <v>127</v>
      </c>
      <c r="B30" s="111" t="s">
        <v>128</v>
      </c>
      <c r="C30" s="411">
        <v>223</v>
      </c>
      <c r="D30" s="411">
        <v>202</v>
      </c>
      <c r="E30" s="411">
        <f t="shared" si="8"/>
        <v>90.582959641255599</v>
      </c>
      <c r="F30" s="370"/>
      <c r="G30" s="412">
        <v>6804</v>
      </c>
      <c r="H30" s="371">
        <f t="shared" si="1"/>
        <v>30.511210762331839</v>
      </c>
      <c r="I30" s="412">
        <v>6143</v>
      </c>
      <c r="J30" s="371">
        <f t="shared" si="2"/>
        <v>30.410891089108912</v>
      </c>
      <c r="K30" s="412">
        <v>570</v>
      </c>
      <c r="L30" s="370">
        <f t="shared" si="3"/>
        <v>8.3774250440917104</v>
      </c>
      <c r="M30" s="371">
        <f t="shared" si="4"/>
        <v>2.5560538116591927</v>
      </c>
      <c r="N30" s="370">
        <f t="shared" si="5"/>
        <v>90.285126396237501</v>
      </c>
      <c r="O30" s="412">
        <v>6125</v>
      </c>
      <c r="P30" s="370">
        <f t="array" ref="P30">O30:O59/G30:G59*100</f>
        <v>90.02057613168725</v>
      </c>
      <c r="Q30" s="412">
        <v>18</v>
      </c>
      <c r="R30" s="370">
        <f t="array" ref="R30">Q30:Q59/G30:G59*100</f>
        <v>0.26455026455026454</v>
      </c>
      <c r="S30" s="412">
        <v>8</v>
      </c>
      <c r="T30" s="370">
        <f t="shared" si="6"/>
        <v>0.11757789535567313</v>
      </c>
      <c r="U30" s="412">
        <f t="shared" si="9"/>
        <v>83</v>
      </c>
      <c r="V30" s="370">
        <f t="shared" si="7"/>
        <v>1.2198706643151087</v>
      </c>
      <c r="W30" s="112"/>
      <c r="Y30" s="750"/>
    </row>
    <row r="31" spans="1:25" s="743" customFormat="1">
      <c r="A31" s="45" t="s">
        <v>130</v>
      </c>
      <c r="B31" s="111" t="s">
        <v>131</v>
      </c>
      <c r="C31" s="411">
        <v>1</v>
      </c>
      <c r="D31" s="411">
        <v>0</v>
      </c>
      <c r="E31" s="411">
        <f t="shared" ref="E31" si="10">D31/C31*100</f>
        <v>0</v>
      </c>
      <c r="F31" s="370"/>
      <c r="G31" s="412">
        <v>11</v>
      </c>
      <c r="H31" s="371">
        <f t="shared" ref="H31" si="11">G31/C31</f>
        <v>11</v>
      </c>
      <c r="I31" s="412">
        <v>0</v>
      </c>
      <c r="J31" s="371" t="e">
        <f t="shared" ref="J31" si="12">I31/D31</f>
        <v>#DIV/0!</v>
      </c>
      <c r="K31" s="412">
        <v>0</v>
      </c>
      <c r="L31" s="370">
        <f t="shared" ref="L31" si="13">K31/G31*100</f>
        <v>0</v>
      </c>
      <c r="M31" s="371">
        <f t="shared" ref="M31" si="14">K31/C31</f>
        <v>0</v>
      </c>
      <c r="N31" s="370">
        <f t="shared" ref="N31" si="15">I31/G31*100</f>
        <v>0</v>
      </c>
      <c r="O31" s="412">
        <v>0</v>
      </c>
      <c r="P31" s="370">
        <f t="array" ref="P31">O31:O59/G31:G59*100</f>
        <v>0</v>
      </c>
      <c r="Q31" s="412">
        <v>0</v>
      </c>
      <c r="R31" s="370">
        <f t="array" ref="R31">Q31:Q59/G31:G59*100</f>
        <v>0</v>
      </c>
      <c r="S31" s="412">
        <v>0</v>
      </c>
      <c r="T31" s="370">
        <f t="shared" ref="T31" si="16">S31/G31*100</f>
        <v>0</v>
      </c>
      <c r="U31" s="412">
        <f t="shared" si="9"/>
        <v>11</v>
      </c>
      <c r="V31" s="370">
        <f t="shared" ref="V31" si="17">U31/G31*100</f>
        <v>100</v>
      </c>
      <c r="W31" s="112"/>
      <c r="Y31" s="750"/>
    </row>
    <row r="32" spans="1:25">
      <c r="A32" s="45" t="s">
        <v>37</v>
      </c>
      <c r="B32" s="111" t="s">
        <v>133</v>
      </c>
      <c r="C32" s="411">
        <v>26</v>
      </c>
      <c r="D32" s="411">
        <v>25</v>
      </c>
      <c r="E32" s="411">
        <f t="shared" si="8"/>
        <v>96.15384615384616</v>
      </c>
      <c r="F32" s="370"/>
      <c r="G32" s="412">
        <v>530</v>
      </c>
      <c r="H32" s="371">
        <f t="shared" si="1"/>
        <v>20.384615384615383</v>
      </c>
      <c r="I32" s="412">
        <v>510</v>
      </c>
      <c r="J32" s="371">
        <f t="shared" si="2"/>
        <v>20.399999999999999</v>
      </c>
      <c r="K32" s="412">
        <v>19</v>
      </c>
      <c r="L32" s="370">
        <f t="shared" si="3"/>
        <v>3.5849056603773586</v>
      </c>
      <c r="M32" s="371">
        <f t="shared" si="4"/>
        <v>0.73076923076923073</v>
      </c>
      <c r="N32" s="370">
        <f t="shared" si="5"/>
        <v>96.226415094339629</v>
      </c>
      <c r="O32" s="412">
        <v>510</v>
      </c>
      <c r="P32" s="370">
        <f t="array" ref="P32">O32:O60/G32:G60*100</f>
        <v>96.226415094339629</v>
      </c>
      <c r="Q32" s="412">
        <v>0</v>
      </c>
      <c r="R32" s="370">
        <f t="array" ref="R32">Q32:Q60/G32:G60*100</f>
        <v>0</v>
      </c>
      <c r="S32" s="412">
        <v>0</v>
      </c>
      <c r="T32" s="370">
        <f t="shared" si="6"/>
        <v>0</v>
      </c>
      <c r="U32" s="412">
        <f t="shared" si="9"/>
        <v>1</v>
      </c>
      <c r="V32" s="370">
        <f t="shared" si="7"/>
        <v>0.18867924528301888</v>
      </c>
      <c r="W32" s="112"/>
      <c r="Y32" s="750"/>
    </row>
    <row r="33" spans="1:11">
      <c r="A33" s="50"/>
      <c r="C33" s="71"/>
      <c r="D33" s="71"/>
      <c r="E33" s="34"/>
      <c r="F33" s="34"/>
      <c r="G33" s="34"/>
      <c r="H33" s="34"/>
      <c r="I33" s="34"/>
      <c r="J33" s="34"/>
      <c r="K33" s="34"/>
    </row>
    <row r="34" spans="1:11">
      <c r="C34" s="810"/>
      <c r="K34" s="74"/>
    </row>
  </sheetData>
  <sheetProtection password="B8D9" sheet="1" objects="1" scenarios="1"/>
  <mergeCells count="2">
    <mergeCell ref="C1:E1"/>
    <mergeCell ref="G1:V1"/>
  </mergeCells>
  <pageMargins left="0.70866141732283472" right="0.70866141732283472" top="0.74803149606299213" bottom="0.74803149606299213" header="0.31496062992125984" footer="0.31496062992125984"/>
  <pageSetup paperSize="9" scale="45"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56.xml><?xml version="1.0" encoding="utf-8"?>
<worksheet xmlns="http://schemas.openxmlformats.org/spreadsheetml/2006/main" xmlns:r="http://schemas.openxmlformats.org/officeDocument/2006/relationships">
  <sheetPr codeName="Sheet55">
    <pageSetUpPr fitToPage="1"/>
  </sheetPr>
  <dimension ref="A1:X52"/>
  <sheetViews>
    <sheetView workbookViewId="0"/>
  </sheetViews>
  <sheetFormatPr defaultRowHeight="12.75"/>
  <cols>
    <col min="1" max="1" width="2.7109375" style="326" customWidth="1"/>
    <col min="2" max="16384" width="9.140625" style="326"/>
  </cols>
  <sheetData>
    <row r="1" spans="2:24" s="750" customFormat="1" ht="26.25" customHeight="1">
      <c r="B1" s="967" t="s">
        <v>710</v>
      </c>
      <c r="C1" s="967"/>
      <c r="D1" s="967"/>
      <c r="E1" s="967"/>
      <c r="F1" s="967"/>
      <c r="G1" s="967"/>
      <c r="H1" s="967"/>
      <c r="I1" s="967"/>
      <c r="J1" s="967"/>
      <c r="K1" s="967"/>
      <c r="L1" s="967"/>
      <c r="M1" s="967"/>
      <c r="N1" s="26"/>
      <c r="O1"/>
      <c r="P1" s="1107" t="s">
        <v>45</v>
      </c>
      <c r="Q1" s="26"/>
      <c r="R1" s="26"/>
      <c r="S1" s="26"/>
      <c r="T1" s="26"/>
      <c r="U1" s="26"/>
      <c r="V1" s="26"/>
      <c r="W1" s="26"/>
      <c r="X1" s="26"/>
    </row>
    <row r="2" spans="2:24" s="750" customFormat="1">
      <c r="B2" s="1126"/>
      <c r="C2" s="1126"/>
      <c r="D2" s="1126"/>
      <c r="E2" s="1126"/>
      <c r="F2" s="1126"/>
      <c r="G2" s="1126"/>
      <c r="H2" s="1126"/>
      <c r="I2" s="1126"/>
      <c r="J2" s="754"/>
      <c r="K2" s="28"/>
      <c r="L2" s="28"/>
      <c r="M2" s="28"/>
      <c r="N2" s="28"/>
      <c r="O2" s="28"/>
      <c r="P2" s="1107"/>
      <c r="Q2" s="28"/>
      <c r="R2" s="28"/>
      <c r="S2" s="28"/>
      <c r="T2" s="28"/>
      <c r="U2" s="987"/>
      <c r="V2" s="987"/>
      <c r="W2" s="987"/>
      <c r="X2" s="987"/>
    </row>
    <row r="3" spans="2:24" s="750" customFormat="1" ht="12.75" customHeight="1">
      <c r="B3" s="570" t="s">
        <v>221</v>
      </c>
      <c r="C3" s="105"/>
      <c r="D3" s="105"/>
      <c r="E3" s="105"/>
      <c r="F3" s="105"/>
      <c r="G3" s="105"/>
      <c r="H3" s="105"/>
      <c r="I3" s="105"/>
      <c r="J3" s="754"/>
      <c r="K3" s="29"/>
      <c r="L3" s="29"/>
      <c r="M3" s="29"/>
      <c r="N3" s="28"/>
      <c r="O3" s="28"/>
      <c r="P3" s="1107"/>
      <c r="Q3" s="28"/>
      <c r="R3" s="28"/>
      <c r="S3" s="28"/>
      <c r="T3" s="28"/>
      <c r="U3" s="749"/>
      <c r="V3" s="749"/>
      <c r="W3" s="749"/>
      <c r="X3" s="749"/>
    </row>
    <row r="4" spans="2:24" s="750" customFormat="1" ht="15" customHeight="1">
      <c r="B4" s="1044" t="s">
        <v>327</v>
      </c>
      <c r="C4" s="1044"/>
      <c r="D4" s="1044"/>
      <c r="E4" s="1044"/>
      <c r="F4" s="1044"/>
      <c r="G4" s="1044"/>
      <c r="H4" s="1044"/>
      <c r="I4" s="1044"/>
      <c r="J4" s="1044"/>
      <c r="K4" s="1044"/>
      <c r="L4" s="1044"/>
      <c r="M4" s="1044"/>
      <c r="N4" s="1044"/>
      <c r="O4" s="28"/>
      <c r="P4" s="28"/>
      <c r="Q4" s="28"/>
      <c r="R4" s="28"/>
      <c r="S4" s="28"/>
      <c r="T4" s="28"/>
      <c r="U4" s="749"/>
      <c r="V4" s="749"/>
      <c r="W4" s="749"/>
      <c r="X4" s="749"/>
    </row>
    <row r="5" spans="2:24" s="750" customFormat="1" ht="12.75" customHeight="1">
      <c r="B5" s="1044"/>
      <c r="C5" s="1044"/>
      <c r="D5" s="1044"/>
      <c r="E5" s="1044"/>
      <c r="F5" s="1044"/>
      <c r="G5" s="1044"/>
      <c r="H5" s="1044"/>
      <c r="I5" s="1044"/>
      <c r="J5" s="1044"/>
      <c r="K5" s="1044"/>
      <c r="L5" s="1044"/>
      <c r="M5" s="1044"/>
      <c r="N5" s="1044"/>
      <c r="O5" s="29"/>
      <c r="P5" s="29"/>
      <c r="Q5" s="754" t="s">
        <v>573</v>
      </c>
      <c r="R5" s="29"/>
      <c r="S5" s="29"/>
      <c r="T5" s="29"/>
      <c r="U5" s="749"/>
      <c r="V5" s="749"/>
      <c r="W5" s="749"/>
      <c r="X5" s="749"/>
    </row>
    <row r="6" spans="2:24" s="750" customFormat="1" ht="12.75" customHeight="1">
      <c r="B6" s="1044"/>
      <c r="C6" s="1044"/>
      <c r="D6" s="1044"/>
      <c r="E6" s="1044"/>
      <c r="F6" s="1044"/>
      <c r="G6" s="1044"/>
      <c r="H6" s="1044"/>
      <c r="I6" s="1044"/>
      <c r="J6" s="1044"/>
      <c r="K6" s="1044"/>
      <c r="L6" s="1044"/>
      <c r="M6" s="1044"/>
      <c r="N6" s="1044"/>
      <c r="O6" s="29"/>
      <c r="P6" s="29"/>
      <c r="Q6" s="29"/>
      <c r="R6" s="29"/>
      <c r="S6" s="29"/>
      <c r="T6" s="29"/>
      <c r="U6" s="749"/>
      <c r="V6" s="749"/>
      <c r="W6" s="749"/>
      <c r="X6" s="749"/>
    </row>
    <row r="7" spans="2:24" s="750" customFormat="1" ht="12.75" customHeight="1">
      <c r="B7" s="1044"/>
      <c r="C7" s="1044"/>
      <c r="D7" s="1044"/>
      <c r="E7" s="1044"/>
      <c r="F7" s="1044"/>
      <c r="G7" s="1044"/>
      <c r="H7" s="1044"/>
      <c r="I7" s="1044"/>
      <c r="J7" s="1044"/>
      <c r="K7" s="1044"/>
      <c r="L7" s="1044"/>
      <c r="M7" s="1044"/>
      <c r="N7" s="1044"/>
      <c r="O7" s="29"/>
      <c r="P7" s="29"/>
      <c r="Q7" s="29"/>
      <c r="R7" s="29"/>
      <c r="S7" s="29"/>
      <c r="T7" s="29"/>
      <c r="U7" s="749"/>
      <c r="V7" s="749"/>
      <c r="W7" s="749"/>
      <c r="X7" s="749"/>
    </row>
    <row r="8" spans="2:24" s="750" customFormat="1" ht="12.75" customHeight="1">
      <c r="B8" s="1044"/>
      <c r="C8" s="1044"/>
      <c r="D8" s="1044"/>
      <c r="E8" s="1044"/>
      <c r="F8" s="1044"/>
      <c r="G8" s="1044"/>
      <c r="H8" s="1044"/>
      <c r="I8" s="1044"/>
      <c r="J8" s="1044"/>
      <c r="K8" s="1044"/>
      <c r="L8" s="1044"/>
      <c r="M8" s="1044"/>
      <c r="N8" s="1044"/>
      <c r="O8" s="29"/>
      <c r="P8" s="29"/>
      <c r="Q8" s="29"/>
      <c r="R8" s="29"/>
      <c r="S8" s="29"/>
      <c r="T8" s="29"/>
      <c r="U8" s="749"/>
      <c r="V8" s="749"/>
      <c r="W8" s="749"/>
      <c r="X8" s="749"/>
    </row>
    <row r="9" spans="2:24" s="750" customFormat="1" ht="12.75" customHeight="1">
      <c r="B9" s="369"/>
      <c r="C9" s="369"/>
      <c r="D9" s="369"/>
      <c r="E9" s="369"/>
      <c r="F9" s="369"/>
      <c r="G9" s="369"/>
      <c r="H9" s="369"/>
      <c r="I9" s="369"/>
      <c r="J9" s="29"/>
      <c r="K9" s="29"/>
      <c r="L9" s="29"/>
      <c r="M9" s="29"/>
      <c r="N9" s="29"/>
      <c r="O9" s="29"/>
      <c r="P9" s="29"/>
      <c r="Q9" s="29"/>
      <c r="R9" s="29"/>
      <c r="S9" s="29"/>
      <c r="T9" s="29"/>
      <c r="U9" s="749"/>
      <c r="V9" s="749"/>
      <c r="W9" s="749"/>
      <c r="X9" s="749"/>
    </row>
    <row r="43" spans="2:21">
      <c r="B43" s="565"/>
      <c r="C43" s="565"/>
      <c r="D43" s="565"/>
      <c r="E43" s="565"/>
      <c r="F43" s="565"/>
      <c r="G43" s="565"/>
      <c r="H43" s="565"/>
      <c r="I43" s="565"/>
      <c r="J43" s="565"/>
      <c r="K43" s="565"/>
      <c r="L43" s="565"/>
      <c r="M43" s="565"/>
    </row>
    <row r="44" spans="2:21" s="750" customFormat="1">
      <c r="B44" s="32" t="s">
        <v>222</v>
      </c>
      <c r="C44" s="33"/>
      <c r="D44" s="34"/>
      <c r="E44" s="34"/>
      <c r="F44" s="34"/>
      <c r="G44" s="34"/>
      <c r="H44" s="34"/>
      <c r="I44" s="34"/>
      <c r="J44" s="34"/>
      <c r="K44" s="34"/>
      <c r="L44" s="748"/>
      <c r="M44" s="748"/>
      <c r="N44" s="35"/>
      <c r="O44" s="35"/>
      <c r="P44" s="35"/>
      <c r="Q44" s="35"/>
      <c r="R44" s="35"/>
      <c r="S44" s="35"/>
      <c r="T44" s="35"/>
      <c r="U44" s="35"/>
    </row>
    <row r="45" spans="2:21" s="750" customFormat="1">
      <c r="B45" s="67" t="s">
        <v>14</v>
      </c>
      <c r="D45" s="34"/>
      <c r="E45" s="34"/>
      <c r="F45" s="34"/>
      <c r="G45" s="34"/>
      <c r="H45" s="34"/>
      <c r="I45" s="34"/>
      <c r="J45" s="34"/>
      <c r="K45" s="34"/>
      <c r="L45" s="748"/>
      <c r="M45" s="748"/>
    </row>
    <row r="46" spans="2:21" s="750" customFormat="1">
      <c r="B46" s="67" t="s">
        <v>512</v>
      </c>
      <c r="D46" s="34"/>
      <c r="E46" s="34"/>
      <c r="F46" s="34"/>
      <c r="G46" s="34"/>
      <c r="H46" s="34"/>
      <c r="I46" s="34"/>
      <c r="J46" s="34"/>
      <c r="K46" s="34"/>
      <c r="L46" s="748"/>
      <c r="M46" s="748"/>
    </row>
    <row r="47" spans="2:21" s="750" customFormat="1">
      <c r="B47" s="62" t="s">
        <v>7</v>
      </c>
      <c r="D47" s="748"/>
      <c r="E47" s="748"/>
      <c r="F47" s="748"/>
      <c r="G47" s="748"/>
      <c r="H47" s="748"/>
      <c r="I47" s="748"/>
      <c r="J47" s="748"/>
      <c r="K47" s="748"/>
      <c r="L47" s="748"/>
      <c r="M47" s="748"/>
      <c r="N47" s="748"/>
      <c r="O47" s="748"/>
      <c r="P47" s="748"/>
      <c r="Q47" s="748"/>
      <c r="R47" s="748"/>
      <c r="S47" s="748"/>
      <c r="T47" s="748"/>
    </row>
    <row r="48" spans="2:21" s="750" customFormat="1">
      <c r="B48" s="62" t="s">
        <v>8</v>
      </c>
      <c r="D48" s="748"/>
      <c r="E48" s="748"/>
      <c r="F48" s="748"/>
      <c r="G48" s="748"/>
      <c r="H48" s="748"/>
      <c r="I48" s="748"/>
      <c r="J48" s="748"/>
      <c r="K48" s="748"/>
      <c r="L48" s="748"/>
      <c r="M48" s="748"/>
      <c r="N48" s="748"/>
      <c r="O48" s="748"/>
      <c r="P48" s="748"/>
      <c r="Q48" s="748"/>
      <c r="R48" s="748"/>
      <c r="S48" s="748"/>
      <c r="T48" s="748"/>
    </row>
    <row r="49" spans="1:23" s="750" customFormat="1">
      <c r="B49" s="67" t="s">
        <v>388</v>
      </c>
      <c r="D49" s="34"/>
      <c r="E49" s="34"/>
      <c r="F49" s="34"/>
      <c r="G49" s="34"/>
      <c r="H49" s="34"/>
      <c r="I49" s="34"/>
      <c r="J49" s="34"/>
      <c r="K49" s="34"/>
      <c r="L49" s="748"/>
      <c r="M49" s="748"/>
    </row>
    <row r="50" spans="1:23" s="750" customFormat="1">
      <c r="B50" s="67" t="s">
        <v>389</v>
      </c>
      <c r="D50" s="34"/>
      <c r="E50" s="34"/>
      <c r="F50" s="34"/>
      <c r="G50" s="34"/>
      <c r="H50" s="34"/>
      <c r="I50" s="34"/>
      <c r="J50" s="34"/>
      <c r="K50" s="34"/>
      <c r="L50" s="748"/>
      <c r="M50" s="748"/>
    </row>
    <row r="51" spans="1:23" s="750" customFormat="1">
      <c r="B51" s="67" t="s">
        <v>391</v>
      </c>
      <c r="D51" s="34"/>
      <c r="E51" s="34"/>
      <c r="F51" s="34"/>
      <c r="G51" s="34"/>
      <c r="H51" s="34"/>
      <c r="I51" s="34"/>
      <c r="J51" s="34"/>
      <c r="K51" s="34"/>
      <c r="L51" s="748"/>
      <c r="M51" s="748"/>
    </row>
    <row r="52" spans="1:23" s="750" customFormat="1">
      <c r="A52" s="105"/>
      <c r="B52" s="67" t="s">
        <v>390</v>
      </c>
      <c r="C52" s="105"/>
      <c r="D52" s="105"/>
      <c r="E52" s="105"/>
      <c r="F52" s="106" t="s">
        <v>223</v>
      </c>
      <c r="G52" s="105"/>
      <c r="H52" s="105"/>
      <c r="I52" s="105"/>
      <c r="J52" s="105"/>
      <c r="K52" s="105"/>
      <c r="L52" s="105"/>
      <c r="M52" s="106" t="s">
        <v>224</v>
      </c>
      <c r="N52" s="105"/>
      <c r="O52" s="107" t="s">
        <v>225</v>
      </c>
      <c r="P52" s="107"/>
      <c r="Q52" s="107" t="s">
        <v>226</v>
      </c>
      <c r="R52" s="107"/>
      <c r="S52" s="107" t="s">
        <v>227</v>
      </c>
      <c r="T52" s="105"/>
      <c r="U52" s="106" t="s">
        <v>228</v>
      </c>
      <c r="V52" s="1"/>
      <c r="W52" s="107" t="s">
        <v>229</v>
      </c>
    </row>
  </sheetData>
  <sheetProtection password="B8D9" sheet="1" objects="1" scenarios="1"/>
  <mergeCells count="5">
    <mergeCell ref="B1:M1"/>
    <mergeCell ref="P1:P3"/>
    <mergeCell ref="B2:I2"/>
    <mergeCell ref="U2:X2"/>
    <mergeCell ref="B4:N8"/>
  </mergeCells>
  <hyperlinks>
    <hyperlink ref="P1:P3" location="'List of Tables &amp; Charts'!A1" display="return to List of Tables &amp; Charts"/>
    <hyperlink ref="Q5" location="'Chart 13 (2015) DATA'!A1" display="view Chart 13 data"/>
  </hyperlinks>
  <pageMargins left="0.70866141732283472" right="0.70866141732283472" top="0.74803149606299213" bottom="0.74803149606299213" header="0.31496062992125984" footer="0.31496062992125984"/>
  <pageSetup paperSize="9" scale="61"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57.xml><?xml version="1.0" encoding="utf-8"?>
<worksheet xmlns="http://schemas.openxmlformats.org/spreadsheetml/2006/main" xmlns:r="http://schemas.openxmlformats.org/officeDocument/2006/relationships">
  <sheetPr codeName="Sheet60">
    <pageSetUpPr fitToPage="1"/>
  </sheetPr>
  <dimension ref="A1:X32"/>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1" max="1" width="16.7109375" style="750" customWidth="1"/>
    <col min="2" max="2" width="45.7109375" style="750" customWidth="1"/>
    <col min="3" max="3" width="10.7109375" style="748" customWidth="1"/>
    <col min="4" max="5" width="12.7109375" style="748" customWidth="1"/>
    <col min="6" max="6" width="1.7109375" style="748" customWidth="1"/>
    <col min="7" max="19" width="11.7109375" style="748" customWidth="1"/>
    <col min="20" max="22" width="11.7109375" style="750" customWidth="1"/>
    <col min="23" max="16384" width="9.140625" style="750"/>
  </cols>
  <sheetData>
    <row r="1" spans="1:24" ht="25.5" customHeight="1">
      <c r="A1" s="753">
        <v>2015</v>
      </c>
      <c r="B1" s="752"/>
      <c r="C1" s="1015" t="s">
        <v>484</v>
      </c>
      <c r="D1" s="1016"/>
      <c r="E1" s="1017"/>
      <c r="F1" s="108"/>
      <c r="G1" s="1127" t="s">
        <v>230</v>
      </c>
      <c r="H1" s="1128"/>
      <c r="I1" s="1128"/>
      <c r="J1" s="1128"/>
      <c r="K1" s="1128"/>
      <c r="L1" s="1128"/>
      <c r="M1" s="1128"/>
      <c r="N1" s="1128"/>
      <c r="O1" s="1128"/>
      <c r="P1" s="1128"/>
      <c r="Q1" s="1128"/>
      <c r="R1" s="1128"/>
      <c r="S1" s="1128"/>
      <c r="T1" s="1128"/>
      <c r="U1" s="1128"/>
      <c r="V1" s="1129"/>
    </row>
    <row r="2" spans="1:24" ht="76.5">
      <c r="A2" s="80" t="s">
        <v>24</v>
      </c>
      <c r="B2" s="53" t="s">
        <v>25</v>
      </c>
      <c r="C2" s="75" t="s">
        <v>178</v>
      </c>
      <c r="D2" s="75" t="s">
        <v>231</v>
      </c>
      <c r="E2" s="75" t="s">
        <v>232</v>
      </c>
      <c r="F2" s="109"/>
      <c r="G2" s="75" t="s">
        <v>233</v>
      </c>
      <c r="H2" s="75" t="s">
        <v>234</v>
      </c>
      <c r="I2" s="75" t="s">
        <v>235</v>
      </c>
      <c r="J2" s="75" t="s">
        <v>236</v>
      </c>
      <c r="K2" s="75" t="s">
        <v>237</v>
      </c>
      <c r="L2" s="110" t="s">
        <v>238</v>
      </c>
      <c r="M2" s="110" t="s">
        <v>239</v>
      </c>
      <c r="N2" s="110" t="s">
        <v>240</v>
      </c>
      <c r="O2" s="110" t="s">
        <v>241</v>
      </c>
      <c r="P2" s="110" t="s">
        <v>242</v>
      </c>
      <c r="Q2" s="110" t="s">
        <v>243</v>
      </c>
      <c r="R2" s="110" t="s">
        <v>244</v>
      </c>
      <c r="S2" s="110" t="s">
        <v>245</v>
      </c>
      <c r="T2" s="110" t="s">
        <v>246</v>
      </c>
      <c r="U2" s="110" t="s">
        <v>708</v>
      </c>
      <c r="V2" s="110" t="s">
        <v>247</v>
      </c>
    </row>
    <row r="3" spans="1:24">
      <c r="A3" s="45" t="s">
        <v>134</v>
      </c>
      <c r="B3" s="111" t="s">
        <v>134</v>
      </c>
      <c r="C3" s="411">
        <f>SUM(C4:C31)</f>
        <v>9051</v>
      </c>
      <c r="D3" s="411">
        <f>SUM(D4:D31)</f>
        <v>7979</v>
      </c>
      <c r="E3" s="411">
        <f>D3/C3*100</f>
        <v>88.156004861341287</v>
      </c>
      <c r="F3" s="370"/>
      <c r="G3" s="412">
        <f>SUM(G4:G31)</f>
        <v>223183</v>
      </c>
      <c r="H3" s="371">
        <f>G3/C3</f>
        <v>24.658380289470777</v>
      </c>
      <c r="I3" s="412">
        <f>SUM(I4:I31)</f>
        <v>198072</v>
      </c>
      <c r="J3" s="371">
        <f>I3/D3</f>
        <v>24.824163429001128</v>
      </c>
      <c r="K3" s="412">
        <f>SUM(K4:K31)</f>
        <v>12166</v>
      </c>
      <c r="L3" s="370">
        <f>K3/G3*100</f>
        <v>5.4511320306654181</v>
      </c>
      <c r="M3" s="371">
        <f>K3/C3</f>
        <v>1.3441608662026296</v>
      </c>
      <c r="N3" s="370">
        <f>I3/G3*100</f>
        <v>88.748695017093596</v>
      </c>
      <c r="O3" s="412">
        <f>SUM(O4:O31)</f>
        <v>132128</v>
      </c>
      <c r="P3" s="370">
        <f t="array" ref="P3">O3:O31/G3:G31*100</f>
        <v>59.201641702100972</v>
      </c>
      <c r="Q3" s="412">
        <f>SUM(Q4:Q31)</f>
        <v>65944</v>
      </c>
      <c r="R3" s="370">
        <f t="array" ref="R3">Q3:Q31/G3:G31*100</f>
        <v>29.547053314992628</v>
      </c>
      <c r="S3" s="412">
        <f>SUM(S4:S31)</f>
        <v>4119</v>
      </c>
      <c r="T3" s="370">
        <f>S3/G3*100</f>
        <v>1.8455706751858343</v>
      </c>
      <c r="U3" s="412">
        <f>SUM(U4:U31)</f>
        <v>8826</v>
      </c>
      <c r="V3" s="370">
        <f>U3/G3*100</f>
        <v>3.9546022770551517</v>
      </c>
      <c r="W3" s="112"/>
      <c r="X3" s="112"/>
    </row>
    <row r="4" spans="1:24">
      <c r="A4" s="45" t="s">
        <v>58</v>
      </c>
      <c r="B4" s="111" t="s">
        <v>57</v>
      </c>
      <c r="C4" s="411">
        <v>274</v>
      </c>
      <c r="D4" s="411">
        <v>258</v>
      </c>
      <c r="E4" s="411">
        <f>D4/C4*100</f>
        <v>94.160583941605836</v>
      </c>
      <c r="F4" s="370"/>
      <c r="G4" s="412">
        <v>6414</v>
      </c>
      <c r="H4" s="371">
        <f t="shared" ref="H4:H31" si="0">G4/C4</f>
        <v>23.408759124087592</v>
      </c>
      <c r="I4" s="412">
        <v>5909</v>
      </c>
      <c r="J4" s="371">
        <f t="shared" ref="J4:J31" si="1">I4/D4</f>
        <v>22.903100775193799</v>
      </c>
      <c r="K4" s="412">
        <v>363</v>
      </c>
      <c r="L4" s="370">
        <f t="shared" ref="L4:L31" si="2">K4/G4*100</f>
        <v>5.6594948550046773</v>
      </c>
      <c r="M4" s="371">
        <f t="shared" ref="M4:M31" si="3">K4/C4</f>
        <v>1.3248175182481752</v>
      </c>
      <c r="N4" s="370">
        <f t="shared" ref="N4:N31" si="4">I4/G4*100</f>
        <v>92.126598066729031</v>
      </c>
      <c r="O4" s="412">
        <v>2577</v>
      </c>
      <c r="P4" s="370">
        <f t="array" ref="P4">O4:O32/G4:G32*100</f>
        <v>40.177736202058</v>
      </c>
      <c r="Q4" s="412">
        <v>3332</v>
      </c>
      <c r="R4" s="370">
        <f t="array" ref="R4">Q4:Q32/G4:G32*100</f>
        <v>51.948861864671038</v>
      </c>
      <c r="S4" s="412">
        <v>30</v>
      </c>
      <c r="T4" s="370">
        <f t="shared" ref="T4:T31" si="5">S4/G4*100</f>
        <v>0.46772684752104771</v>
      </c>
      <c r="U4" s="412">
        <f>G4-(I4+K4+S4)</f>
        <v>112</v>
      </c>
      <c r="V4" s="370">
        <f t="shared" ref="V4:V31" si="6">U4/G4*100</f>
        <v>1.7461802307452448</v>
      </c>
      <c r="W4" s="112"/>
      <c r="X4" s="763"/>
    </row>
    <row r="5" spans="1:24">
      <c r="A5" s="45" t="s">
        <v>60</v>
      </c>
      <c r="B5" s="111" t="s">
        <v>61</v>
      </c>
      <c r="C5" s="411">
        <v>385</v>
      </c>
      <c r="D5" s="411">
        <v>375</v>
      </c>
      <c r="E5" s="411">
        <f t="shared" ref="E5:E31" si="7">D5/C5*100</f>
        <v>97.402597402597408</v>
      </c>
      <c r="F5" s="370"/>
      <c r="G5" s="412">
        <v>10349</v>
      </c>
      <c r="H5" s="371">
        <f t="shared" si="0"/>
        <v>26.880519480519482</v>
      </c>
      <c r="I5" s="412">
        <v>9957</v>
      </c>
      <c r="J5" s="371">
        <f t="shared" si="1"/>
        <v>26.552</v>
      </c>
      <c r="K5" s="412">
        <v>249</v>
      </c>
      <c r="L5" s="370">
        <f t="shared" si="2"/>
        <v>2.4060295680742101</v>
      </c>
      <c r="M5" s="371">
        <f t="shared" si="3"/>
        <v>0.64675324675324675</v>
      </c>
      <c r="N5" s="370">
        <f t="shared" si="4"/>
        <v>96.21219441491931</v>
      </c>
      <c r="O5" s="412">
        <v>4705</v>
      </c>
      <c r="P5" s="370">
        <f t="array" ref="P5">O5:O33/G5:G33*100</f>
        <v>45.463329790317907</v>
      </c>
      <c r="Q5" s="412">
        <v>5252</v>
      </c>
      <c r="R5" s="370">
        <f t="array" ref="R5">Q5:Q33/G5:G33*100</f>
        <v>50.74886462460141</v>
      </c>
      <c r="S5" s="412">
        <v>0</v>
      </c>
      <c r="T5" s="370">
        <f t="shared" si="5"/>
        <v>0</v>
      </c>
      <c r="U5" s="412">
        <f t="shared" ref="U5:U31" si="8">G5-(I5+K5+S5)</f>
        <v>143</v>
      </c>
      <c r="V5" s="370">
        <f t="shared" si="6"/>
        <v>1.3817760170064741</v>
      </c>
      <c r="W5" s="112"/>
    </row>
    <row r="6" spans="1:24">
      <c r="A6" s="45" t="s">
        <v>28</v>
      </c>
      <c r="B6" s="111" t="s">
        <v>63</v>
      </c>
      <c r="C6" s="411">
        <v>216</v>
      </c>
      <c r="D6" s="411">
        <v>187</v>
      </c>
      <c r="E6" s="411">
        <f t="shared" si="7"/>
        <v>86.574074074074076</v>
      </c>
      <c r="F6" s="370"/>
      <c r="G6" s="412">
        <v>5011</v>
      </c>
      <c r="H6" s="371">
        <f t="shared" si="0"/>
        <v>23.199074074074073</v>
      </c>
      <c r="I6" s="412">
        <v>2624</v>
      </c>
      <c r="J6" s="371">
        <f t="shared" si="1"/>
        <v>14.032085561497325</v>
      </c>
      <c r="K6" s="412">
        <v>190</v>
      </c>
      <c r="L6" s="370">
        <f t="shared" si="2"/>
        <v>3.7916583516264217</v>
      </c>
      <c r="M6" s="371">
        <f t="shared" si="3"/>
        <v>0.87962962962962965</v>
      </c>
      <c r="N6" s="370">
        <f t="shared" si="4"/>
        <v>52.364797445619637</v>
      </c>
      <c r="O6" s="412">
        <v>2395</v>
      </c>
      <c r="P6" s="370">
        <f t="array" ref="P6">O6:O34/G6:G34*100</f>
        <v>47.794851327080423</v>
      </c>
      <c r="Q6" s="412">
        <v>229</v>
      </c>
      <c r="R6" s="370">
        <f t="array" ref="R6">Q6:Q34/G6:G34*100</f>
        <v>4.5699461185392138</v>
      </c>
      <c r="S6" s="412">
        <v>2111</v>
      </c>
      <c r="T6" s="370">
        <f t="shared" si="5"/>
        <v>42.1273198962283</v>
      </c>
      <c r="U6" s="412">
        <f t="shared" si="8"/>
        <v>86</v>
      </c>
      <c r="V6" s="370">
        <f t="shared" si="6"/>
        <v>1.7162243065256437</v>
      </c>
      <c r="W6" s="112"/>
    </row>
    <row r="7" spans="1:24">
      <c r="A7" s="45" t="s">
        <v>65</v>
      </c>
      <c r="B7" s="111" t="s">
        <v>66</v>
      </c>
      <c r="C7" s="411">
        <v>247</v>
      </c>
      <c r="D7" s="411">
        <v>205</v>
      </c>
      <c r="E7" s="411">
        <f t="shared" si="7"/>
        <v>82.995951417004051</v>
      </c>
      <c r="F7" s="370"/>
      <c r="G7" s="412">
        <v>3810</v>
      </c>
      <c r="H7" s="371">
        <f t="shared" si="0"/>
        <v>15.425101214574898</v>
      </c>
      <c r="I7" s="412">
        <v>3186</v>
      </c>
      <c r="J7" s="371">
        <f t="shared" si="1"/>
        <v>15.541463414634146</v>
      </c>
      <c r="K7" s="412">
        <v>296</v>
      </c>
      <c r="L7" s="370">
        <f t="shared" si="2"/>
        <v>7.7690288713910762</v>
      </c>
      <c r="M7" s="371">
        <f t="shared" si="3"/>
        <v>1.1983805668016194</v>
      </c>
      <c r="N7" s="370">
        <f t="shared" si="4"/>
        <v>83.622047244094489</v>
      </c>
      <c r="O7" s="412">
        <v>1992</v>
      </c>
      <c r="P7" s="370">
        <f t="array" ref="P7">O7:O35/G7:G35*100</f>
        <v>52.28346456692914</v>
      </c>
      <c r="Q7" s="412">
        <v>1194</v>
      </c>
      <c r="R7" s="370">
        <f t="array" ref="R7">Q7:Q35/G7:G35*100</f>
        <v>31.338582677165356</v>
      </c>
      <c r="S7" s="412">
        <v>41</v>
      </c>
      <c r="T7" s="370">
        <f t="shared" si="5"/>
        <v>1.0761154855643045</v>
      </c>
      <c r="U7" s="412">
        <f t="shared" si="8"/>
        <v>287</v>
      </c>
      <c r="V7" s="370">
        <f t="shared" si="6"/>
        <v>7.5328083989501318</v>
      </c>
      <c r="W7" s="112"/>
    </row>
    <row r="8" spans="1:24">
      <c r="A8" s="45" t="s">
        <v>68</v>
      </c>
      <c r="B8" s="111" t="s">
        <v>69</v>
      </c>
      <c r="C8" s="411">
        <v>39</v>
      </c>
      <c r="D8" s="411">
        <v>39</v>
      </c>
      <c r="E8" s="411">
        <f t="shared" si="7"/>
        <v>100</v>
      </c>
      <c r="F8" s="370"/>
      <c r="G8" s="412">
        <v>810</v>
      </c>
      <c r="H8" s="371">
        <f t="shared" si="0"/>
        <v>20.76923076923077</v>
      </c>
      <c r="I8" s="412">
        <v>783</v>
      </c>
      <c r="J8" s="371">
        <f t="shared" si="1"/>
        <v>20.076923076923077</v>
      </c>
      <c r="K8" s="412">
        <v>8</v>
      </c>
      <c r="L8" s="370">
        <f t="shared" si="2"/>
        <v>0.98765432098765427</v>
      </c>
      <c r="M8" s="371">
        <f t="shared" si="3"/>
        <v>0.20512820512820512</v>
      </c>
      <c r="N8" s="370">
        <f t="shared" si="4"/>
        <v>96.666666666666671</v>
      </c>
      <c r="O8" s="412">
        <v>270</v>
      </c>
      <c r="P8" s="370">
        <f t="array" ref="P8">O8:O36/G8:G36*100</f>
        <v>33.333333333333329</v>
      </c>
      <c r="Q8" s="412">
        <v>513</v>
      </c>
      <c r="R8" s="370">
        <f t="array" ref="R8">Q8:Q36/G8:G36*100</f>
        <v>63.333333333333329</v>
      </c>
      <c r="S8" s="412">
        <v>19</v>
      </c>
      <c r="T8" s="370">
        <f t="shared" si="5"/>
        <v>2.3456790123456792</v>
      </c>
      <c r="U8" s="412">
        <f t="shared" si="8"/>
        <v>0</v>
      </c>
      <c r="V8" s="370">
        <f t="shared" si="6"/>
        <v>0</v>
      </c>
      <c r="W8" s="112"/>
    </row>
    <row r="9" spans="1:24">
      <c r="A9" s="45" t="s">
        <v>174</v>
      </c>
      <c r="B9" s="111" t="s">
        <v>71</v>
      </c>
      <c r="C9" s="411">
        <v>627</v>
      </c>
      <c r="D9" s="411">
        <v>503</v>
      </c>
      <c r="E9" s="411">
        <f t="shared" si="7"/>
        <v>80.223285486443388</v>
      </c>
      <c r="F9" s="370"/>
      <c r="G9" s="412">
        <v>15220</v>
      </c>
      <c r="H9" s="371">
        <f t="shared" si="0"/>
        <v>24.274322169059012</v>
      </c>
      <c r="I9" s="412">
        <v>14000</v>
      </c>
      <c r="J9" s="371">
        <f t="shared" si="1"/>
        <v>27.833001988071569</v>
      </c>
      <c r="K9" s="412">
        <v>582</v>
      </c>
      <c r="L9" s="370">
        <f t="shared" si="2"/>
        <v>3.8239159001314063</v>
      </c>
      <c r="M9" s="371">
        <f t="shared" si="3"/>
        <v>0.92822966507177029</v>
      </c>
      <c r="N9" s="370">
        <f t="shared" si="4"/>
        <v>91.984231274638631</v>
      </c>
      <c r="O9" s="412">
        <v>5683</v>
      </c>
      <c r="P9" s="370">
        <f t="array" ref="P9">O9:O37/G9:G37*100</f>
        <v>37.339027595269378</v>
      </c>
      <c r="Q9" s="412">
        <v>8317</v>
      </c>
      <c r="R9" s="370">
        <f t="array" ref="R9">Q9:Q37/G9:G37*100</f>
        <v>54.645203679369246</v>
      </c>
      <c r="S9" s="412">
        <v>282</v>
      </c>
      <c r="T9" s="370">
        <f t="shared" si="5"/>
        <v>1.8528252299605783</v>
      </c>
      <c r="U9" s="412">
        <f t="shared" si="8"/>
        <v>356</v>
      </c>
      <c r="V9" s="370">
        <f t="shared" si="6"/>
        <v>2.3390275952693824</v>
      </c>
      <c r="W9" s="112"/>
    </row>
    <row r="10" spans="1:24">
      <c r="A10" s="45" t="s">
        <v>485</v>
      </c>
      <c r="B10" s="111" t="s">
        <v>73</v>
      </c>
      <c r="C10" s="411">
        <v>547</v>
      </c>
      <c r="D10" s="411">
        <v>507</v>
      </c>
      <c r="E10" s="411">
        <f t="shared" si="7"/>
        <v>92.687385740402192</v>
      </c>
      <c r="F10" s="370"/>
      <c r="G10" s="412">
        <v>12316</v>
      </c>
      <c r="H10" s="371">
        <f t="shared" si="0"/>
        <v>22.515539305301644</v>
      </c>
      <c r="I10" s="412">
        <v>11291</v>
      </c>
      <c r="J10" s="371">
        <f t="shared" si="1"/>
        <v>22.270216962524653</v>
      </c>
      <c r="K10" s="412">
        <v>663</v>
      </c>
      <c r="L10" s="370">
        <f t="shared" si="2"/>
        <v>5.3832413121143228</v>
      </c>
      <c r="M10" s="371">
        <f t="shared" si="3"/>
        <v>1.2120658135283364</v>
      </c>
      <c r="N10" s="370">
        <f t="shared" si="4"/>
        <v>91.677492692432608</v>
      </c>
      <c r="O10" s="412">
        <v>8455</v>
      </c>
      <c r="P10" s="370">
        <f t="array" ref="P10">O10:O38/G10:G38*100</f>
        <v>68.650535888275414</v>
      </c>
      <c r="Q10" s="412">
        <v>2836</v>
      </c>
      <c r="R10" s="370">
        <f t="array" ref="R10">Q10:Q38/G10:G38*100</f>
        <v>23.026956804157194</v>
      </c>
      <c r="S10" s="412">
        <v>65</v>
      </c>
      <c r="T10" s="370">
        <f t="shared" si="5"/>
        <v>0.52776875608963947</v>
      </c>
      <c r="U10" s="412">
        <f t="shared" si="8"/>
        <v>297</v>
      </c>
      <c r="V10" s="370">
        <f t="shared" si="6"/>
        <v>2.4114972393634297</v>
      </c>
      <c r="W10" s="112"/>
    </row>
    <row r="11" spans="1:24">
      <c r="A11" s="45" t="s">
        <v>175</v>
      </c>
      <c r="B11" s="111" t="s">
        <v>75</v>
      </c>
      <c r="C11" s="411">
        <v>711</v>
      </c>
      <c r="D11" s="411">
        <v>539</v>
      </c>
      <c r="E11" s="411">
        <f t="shared" si="7"/>
        <v>75.808720112517577</v>
      </c>
      <c r="F11" s="370"/>
      <c r="G11" s="412">
        <v>25515</v>
      </c>
      <c r="H11" s="371">
        <f t="shared" si="0"/>
        <v>35.88607594936709</v>
      </c>
      <c r="I11" s="412">
        <v>20848</v>
      </c>
      <c r="J11" s="371">
        <f t="shared" si="1"/>
        <v>38.679035250463819</v>
      </c>
      <c r="K11" s="412">
        <v>1322</v>
      </c>
      <c r="L11" s="370">
        <f t="shared" si="2"/>
        <v>5.1812659220066628</v>
      </c>
      <c r="M11" s="371">
        <f t="shared" si="3"/>
        <v>1.859353023909986</v>
      </c>
      <c r="N11" s="370">
        <f t="shared" si="4"/>
        <v>81.708798745835793</v>
      </c>
      <c r="O11" s="412">
        <v>5125</v>
      </c>
      <c r="P11" s="370">
        <f t="array" ref="P11">O11:O39/G11:G39*100</f>
        <v>20.086223789927494</v>
      </c>
      <c r="Q11" s="412">
        <v>15723</v>
      </c>
      <c r="R11" s="370">
        <f t="array" ref="R11">Q11:Q39/G11:G39*100</f>
        <v>61.622574955908291</v>
      </c>
      <c r="S11" s="412">
        <v>777</v>
      </c>
      <c r="T11" s="370">
        <f t="shared" si="5"/>
        <v>3.0452674897119345</v>
      </c>
      <c r="U11" s="412">
        <f t="shared" si="8"/>
        <v>2568</v>
      </c>
      <c r="V11" s="370">
        <f t="shared" si="6"/>
        <v>10.064667842445619</v>
      </c>
      <c r="W11" s="112"/>
    </row>
    <row r="12" spans="1:24">
      <c r="A12" s="45" t="s">
        <v>77</v>
      </c>
      <c r="B12" s="111" t="s">
        <v>78</v>
      </c>
      <c r="C12" s="411">
        <v>131</v>
      </c>
      <c r="D12" s="411">
        <v>107</v>
      </c>
      <c r="E12" s="411">
        <f t="shared" si="7"/>
        <v>81.679389312977108</v>
      </c>
      <c r="F12" s="370"/>
      <c r="G12" s="412">
        <v>1605</v>
      </c>
      <c r="H12" s="371">
        <f t="shared" si="0"/>
        <v>12.251908396946565</v>
      </c>
      <c r="I12" s="412">
        <v>1398</v>
      </c>
      <c r="J12" s="371">
        <f t="shared" si="1"/>
        <v>13.065420560747663</v>
      </c>
      <c r="K12" s="412">
        <v>120</v>
      </c>
      <c r="L12" s="370">
        <f t="shared" si="2"/>
        <v>7.4766355140186906</v>
      </c>
      <c r="M12" s="371">
        <f t="shared" si="3"/>
        <v>0.91603053435114501</v>
      </c>
      <c r="N12" s="370">
        <f t="shared" si="4"/>
        <v>87.10280373831776</v>
      </c>
      <c r="O12" s="412">
        <v>1317</v>
      </c>
      <c r="P12" s="370">
        <f t="array" ref="P12">O12:O40/G12:G40*100</f>
        <v>82.056074766355138</v>
      </c>
      <c r="Q12" s="412">
        <v>81</v>
      </c>
      <c r="R12" s="370">
        <f t="array" ref="R12">Q12:Q40/G12:G40*100</f>
        <v>5.0467289719626169</v>
      </c>
      <c r="S12" s="412">
        <v>0</v>
      </c>
      <c r="T12" s="370">
        <f t="shared" si="5"/>
        <v>0</v>
      </c>
      <c r="U12" s="412">
        <f t="shared" si="8"/>
        <v>87</v>
      </c>
      <c r="V12" s="370">
        <f t="shared" si="6"/>
        <v>5.4205607476635516</v>
      </c>
      <c r="W12" s="112"/>
    </row>
    <row r="13" spans="1:24">
      <c r="A13" s="45" t="s">
        <v>486</v>
      </c>
      <c r="B13" s="111" t="s">
        <v>80</v>
      </c>
      <c r="C13" s="411">
        <v>517</v>
      </c>
      <c r="D13" s="411">
        <v>503</v>
      </c>
      <c r="E13" s="411">
        <f t="shared" si="7"/>
        <v>97.292069632495156</v>
      </c>
      <c r="F13" s="370"/>
      <c r="G13" s="412">
        <v>12337</v>
      </c>
      <c r="H13" s="371">
        <f t="shared" si="0"/>
        <v>23.862669245647968</v>
      </c>
      <c r="I13" s="412">
        <v>11239</v>
      </c>
      <c r="J13" s="371">
        <f t="shared" si="1"/>
        <v>22.343936381709742</v>
      </c>
      <c r="K13" s="412">
        <v>927</v>
      </c>
      <c r="L13" s="370">
        <f t="shared" si="2"/>
        <v>7.5139823295776926</v>
      </c>
      <c r="M13" s="371">
        <f t="shared" si="3"/>
        <v>1.7930367504835589</v>
      </c>
      <c r="N13" s="370">
        <f t="shared" si="4"/>
        <v>91.099943260111857</v>
      </c>
      <c r="O13" s="412">
        <v>6606</v>
      </c>
      <c r="P13" s="370">
        <f t="array" ref="P13">O13:O41/G13:G41*100</f>
        <v>53.546243008835212</v>
      </c>
      <c r="Q13" s="412">
        <v>4633</v>
      </c>
      <c r="R13" s="370">
        <f t="array" ref="R13">Q13:Q41/G13:G41*100</f>
        <v>37.553700251276645</v>
      </c>
      <c r="S13" s="412">
        <v>34</v>
      </c>
      <c r="T13" s="370">
        <f t="shared" si="5"/>
        <v>0.27559374240090784</v>
      </c>
      <c r="U13" s="412">
        <f t="shared" si="8"/>
        <v>137</v>
      </c>
      <c r="V13" s="370">
        <f t="shared" si="6"/>
        <v>1.1104806679095403</v>
      </c>
      <c r="W13" s="112"/>
    </row>
    <row r="14" spans="1:24">
      <c r="A14" s="45" t="s">
        <v>82</v>
      </c>
      <c r="B14" s="111" t="s">
        <v>83</v>
      </c>
      <c r="C14" s="411">
        <v>216</v>
      </c>
      <c r="D14" s="411">
        <v>214</v>
      </c>
      <c r="E14" s="411">
        <f t="shared" si="7"/>
        <v>99.074074074074076</v>
      </c>
      <c r="F14" s="370"/>
      <c r="G14" s="412">
        <v>4274</v>
      </c>
      <c r="H14" s="371">
        <f t="shared" si="0"/>
        <v>19.787037037037038</v>
      </c>
      <c r="I14" s="412">
        <v>3875</v>
      </c>
      <c r="J14" s="371">
        <f t="shared" si="1"/>
        <v>18.107476635514018</v>
      </c>
      <c r="K14" s="412">
        <v>299</v>
      </c>
      <c r="L14" s="370">
        <f t="shared" si="2"/>
        <v>6.9957884885353305</v>
      </c>
      <c r="M14" s="371">
        <f t="shared" si="3"/>
        <v>1.3842592592592593</v>
      </c>
      <c r="N14" s="370">
        <f t="shared" si="4"/>
        <v>90.664482919981282</v>
      </c>
      <c r="O14" s="412">
        <v>3592</v>
      </c>
      <c r="P14" s="370">
        <f t="array" ref="P14">O14:O42/G14:G42*100</f>
        <v>84.043051006083289</v>
      </c>
      <c r="Q14" s="412">
        <v>283</v>
      </c>
      <c r="R14" s="370">
        <f t="array" ref="R14">Q14:Q42/G14:G42*100</f>
        <v>6.6214319138979878</v>
      </c>
      <c r="S14" s="412">
        <v>75</v>
      </c>
      <c r="T14" s="370">
        <f t="shared" si="5"/>
        <v>1.7547964436125409</v>
      </c>
      <c r="U14" s="412">
        <f t="shared" si="8"/>
        <v>25</v>
      </c>
      <c r="V14" s="370">
        <f t="shared" si="6"/>
        <v>0.58493214787084702</v>
      </c>
      <c r="W14" s="112"/>
    </row>
    <row r="15" spans="1:24">
      <c r="A15" s="45" t="s">
        <v>459</v>
      </c>
      <c r="B15" s="111" t="s">
        <v>470</v>
      </c>
      <c r="C15" s="411">
        <v>1138</v>
      </c>
      <c r="D15" s="411">
        <v>1116</v>
      </c>
      <c r="E15" s="411">
        <f t="shared" si="7"/>
        <v>98.066783831282962</v>
      </c>
      <c r="F15" s="370"/>
      <c r="G15" s="412">
        <v>30576</v>
      </c>
      <c r="H15" s="371">
        <f t="shared" si="0"/>
        <v>26.868189806678384</v>
      </c>
      <c r="I15" s="412">
        <v>28695</v>
      </c>
      <c r="J15" s="371">
        <f t="shared" si="1"/>
        <v>25.712365591397848</v>
      </c>
      <c r="K15" s="412">
        <v>1499</v>
      </c>
      <c r="L15" s="370">
        <f t="shared" si="2"/>
        <v>4.9025379382522241</v>
      </c>
      <c r="M15" s="371">
        <f t="shared" si="3"/>
        <v>1.3172231985940246</v>
      </c>
      <c r="N15" s="370">
        <f t="shared" si="4"/>
        <v>93.848116169544738</v>
      </c>
      <c r="O15" s="412">
        <v>20071</v>
      </c>
      <c r="P15" s="370">
        <f t="array" ref="P15">O15:O43/G15:G43*100</f>
        <v>65.642987964416534</v>
      </c>
      <c r="Q15" s="412">
        <v>8624</v>
      </c>
      <c r="R15" s="370">
        <f t="array" ref="R15">Q15:Q43/G15:G43*100</f>
        <v>28.205128205128204</v>
      </c>
      <c r="S15" s="412">
        <v>141</v>
      </c>
      <c r="T15" s="370">
        <f t="shared" si="5"/>
        <v>0.46114599686028257</v>
      </c>
      <c r="U15" s="412">
        <f t="shared" si="8"/>
        <v>241</v>
      </c>
      <c r="V15" s="370">
        <f t="shared" si="6"/>
        <v>0.78819989534275259</v>
      </c>
      <c r="W15" s="112"/>
    </row>
    <row r="16" spans="1:24">
      <c r="A16" s="45" t="s">
        <v>185</v>
      </c>
      <c r="B16" s="111" t="s">
        <v>85</v>
      </c>
      <c r="C16" s="411">
        <v>338</v>
      </c>
      <c r="D16" s="411">
        <v>337</v>
      </c>
      <c r="E16" s="411">
        <f t="shared" si="7"/>
        <v>99.704142011834321</v>
      </c>
      <c r="F16" s="370"/>
      <c r="G16" s="412">
        <v>6886</v>
      </c>
      <c r="H16" s="371">
        <f t="shared" si="0"/>
        <v>20.372781065088759</v>
      </c>
      <c r="I16" s="412">
        <v>6397</v>
      </c>
      <c r="J16" s="371">
        <f t="shared" si="1"/>
        <v>18.98219584569733</v>
      </c>
      <c r="K16" s="412">
        <v>453</v>
      </c>
      <c r="L16" s="370">
        <f t="shared" si="2"/>
        <v>6.5785652047632883</v>
      </c>
      <c r="M16" s="371">
        <f t="shared" si="3"/>
        <v>1.3402366863905326</v>
      </c>
      <c r="N16" s="370">
        <f t="shared" si="4"/>
        <v>92.898634911414462</v>
      </c>
      <c r="O16" s="412">
        <v>5886</v>
      </c>
      <c r="P16" s="370">
        <f t="array" ref="P16">O16:O44/G16:G44*100</f>
        <v>85.477781004937555</v>
      </c>
      <c r="Q16" s="412">
        <v>511</v>
      </c>
      <c r="R16" s="370">
        <f t="array" ref="R16">Q16:Q44/G16:G44*100</f>
        <v>7.4208539064769097</v>
      </c>
      <c r="S16" s="412">
        <v>33</v>
      </c>
      <c r="T16" s="370">
        <f t="shared" si="5"/>
        <v>0.47923322683706071</v>
      </c>
      <c r="U16" s="412">
        <f t="shared" si="8"/>
        <v>3</v>
      </c>
      <c r="V16" s="370">
        <f t="shared" si="6"/>
        <v>4.3566656985187337E-2</v>
      </c>
      <c r="W16" s="112"/>
    </row>
    <row r="17" spans="1:23">
      <c r="A17" s="45" t="s">
        <v>89</v>
      </c>
      <c r="B17" s="111" t="s">
        <v>90</v>
      </c>
      <c r="C17" s="411">
        <v>30</v>
      </c>
      <c r="D17" s="411">
        <v>29</v>
      </c>
      <c r="E17" s="411">
        <f t="shared" si="7"/>
        <v>96.666666666666671</v>
      </c>
      <c r="F17" s="370"/>
      <c r="G17" s="412">
        <v>743</v>
      </c>
      <c r="H17" s="371">
        <f t="shared" si="0"/>
        <v>24.766666666666666</v>
      </c>
      <c r="I17" s="412">
        <v>718</v>
      </c>
      <c r="J17" s="371">
        <f t="shared" si="1"/>
        <v>24.758620689655171</v>
      </c>
      <c r="K17" s="412">
        <v>1</v>
      </c>
      <c r="L17" s="370">
        <f t="shared" si="2"/>
        <v>0.13458950201884254</v>
      </c>
      <c r="M17" s="371">
        <f t="shared" si="3"/>
        <v>3.3333333333333333E-2</v>
      </c>
      <c r="N17" s="370">
        <f t="shared" si="4"/>
        <v>96.635262449528938</v>
      </c>
      <c r="O17" s="412">
        <v>383</v>
      </c>
      <c r="P17" s="370">
        <f t="array" ref="P17">O17:O45/G17:G45*100</f>
        <v>51.54777927321669</v>
      </c>
      <c r="Q17" s="412">
        <v>335</v>
      </c>
      <c r="R17" s="370">
        <f t="array" ref="R17">Q17:Q45/G17:G45*100</f>
        <v>45.087483176312247</v>
      </c>
      <c r="S17" s="412">
        <v>18</v>
      </c>
      <c r="T17" s="370">
        <f t="shared" si="5"/>
        <v>2.4226110363391657</v>
      </c>
      <c r="U17" s="412">
        <f t="shared" si="8"/>
        <v>6</v>
      </c>
      <c r="V17" s="370">
        <f t="shared" si="6"/>
        <v>0.80753701211305517</v>
      </c>
      <c r="W17" s="112"/>
    </row>
    <row r="18" spans="1:23">
      <c r="A18" s="45" t="s">
        <v>92</v>
      </c>
      <c r="B18" s="111" t="s">
        <v>93</v>
      </c>
      <c r="C18" s="411">
        <v>73</v>
      </c>
      <c r="D18" s="411">
        <v>73</v>
      </c>
      <c r="E18" s="411">
        <f t="shared" si="7"/>
        <v>100</v>
      </c>
      <c r="F18" s="370"/>
      <c r="G18" s="412">
        <v>2506</v>
      </c>
      <c r="H18" s="371">
        <f t="shared" si="0"/>
        <v>34.328767123287669</v>
      </c>
      <c r="I18" s="412">
        <v>2502</v>
      </c>
      <c r="J18" s="371">
        <f t="shared" si="1"/>
        <v>34.273972602739725</v>
      </c>
      <c r="K18" s="412">
        <v>2</v>
      </c>
      <c r="L18" s="370">
        <f t="shared" si="2"/>
        <v>7.9808459696727854E-2</v>
      </c>
      <c r="M18" s="371">
        <f t="shared" si="3"/>
        <v>2.7397260273972601E-2</v>
      </c>
      <c r="N18" s="370">
        <f t="shared" si="4"/>
        <v>99.840383080606543</v>
      </c>
      <c r="O18" s="412">
        <v>648</v>
      </c>
      <c r="P18" s="370">
        <f t="array" ref="P18">O18:O46/G18:G46*100</f>
        <v>25.857940941739827</v>
      </c>
      <c r="Q18" s="412">
        <v>1854</v>
      </c>
      <c r="R18" s="370">
        <f t="array" ref="R18">Q18:Q46/G18:G46*100</f>
        <v>73.982442138866716</v>
      </c>
      <c r="S18" s="412">
        <v>2</v>
      </c>
      <c r="T18" s="370">
        <f t="shared" si="5"/>
        <v>7.9808459696727854E-2</v>
      </c>
      <c r="U18" s="412">
        <f t="shared" si="8"/>
        <v>0</v>
      </c>
      <c r="V18" s="370">
        <f t="shared" si="6"/>
        <v>0</v>
      </c>
      <c r="W18" s="112"/>
    </row>
    <row r="19" spans="1:23">
      <c r="A19" s="45" t="s">
        <v>95</v>
      </c>
      <c r="B19" s="111" t="s">
        <v>96</v>
      </c>
      <c r="C19" s="411">
        <v>44</v>
      </c>
      <c r="D19" s="411">
        <v>44</v>
      </c>
      <c r="E19" s="411">
        <f t="shared" si="7"/>
        <v>100</v>
      </c>
      <c r="F19" s="370"/>
      <c r="G19" s="412">
        <v>829</v>
      </c>
      <c r="H19" s="371">
        <f t="shared" si="0"/>
        <v>18.84090909090909</v>
      </c>
      <c r="I19" s="412">
        <v>815</v>
      </c>
      <c r="J19" s="371">
        <f t="shared" si="1"/>
        <v>18.522727272727273</v>
      </c>
      <c r="K19" s="412">
        <v>14</v>
      </c>
      <c r="L19" s="370">
        <f t="shared" si="2"/>
        <v>1.6887816646562124</v>
      </c>
      <c r="M19" s="371">
        <f t="shared" si="3"/>
        <v>0.31818181818181818</v>
      </c>
      <c r="N19" s="370">
        <f t="shared" si="4"/>
        <v>98.311218335343781</v>
      </c>
      <c r="O19" s="412">
        <v>795</v>
      </c>
      <c r="P19" s="370">
        <f t="array" ref="P19">O19:O47/G19:G47*100</f>
        <v>95.898673100120618</v>
      </c>
      <c r="Q19" s="412">
        <v>20</v>
      </c>
      <c r="R19" s="370">
        <f t="array" ref="R19">Q19:Q47/G19:G47*100</f>
        <v>2.4125452352231602</v>
      </c>
      <c r="S19" s="412">
        <v>0</v>
      </c>
      <c r="T19" s="370">
        <f t="shared" si="5"/>
        <v>0</v>
      </c>
      <c r="U19" s="412">
        <f t="shared" si="8"/>
        <v>0</v>
      </c>
      <c r="V19" s="370">
        <f t="shared" si="6"/>
        <v>0</v>
      </c>
      <c r="W19" s="112"/>
    </row>
    <row r="20" spans="1:23">
      <c r="A20" s="45" t="s">
        <v>98</v>
      </c>
      <c r="B20" s="111" t="s">
        <v>99</v>
      </c>
      <c r="C20" s="411">
        <v>352</v>
      </c>
      <c r="D20" s="411">
        <v>208</v>
      </c>
      <c r="E20" s="411">
        <f t="shared" si="7"/>
        <v>59.090909090909093</v>
      </c>
      <c r="F20" s="370"/>
      <c r="G20" s="412">
        <v>8651</v>
      </c>
      <c r="H20" s="371">
        <f t="shared" si="0"/>
        <v>24.576704545454547</v>
      </c>
      <c r="I20" s="412">
        <v>7249</v>
      </c>
      <c r="J20" s="371">
        <f t="shared" si="1"/>
        <v>34.85096153846154</v>
      </c>
      <c r="K20" s="412">
        <v>552</v>
      </c>
      <c r="L20" s="370">
        <f t="shared" si="2"/>
        <v>6.3807652294532415</v>
      </c>
      <c r="M20" s="371">
        <f t="shared" si="3"/>
        <v>1.5681818181818181</v>
      </c>
      <c r="N20" s="370">
        <f t="shared" si="4"/>
        <v>83.793781065772748</v>
      </c>
      <c r="O20" s="412">
        <v>7040</v>
      </c>
      <c r="P20" s="370">
        <f t="array" ref="P20">O20:O48/G20:G48*100</f>
        <v>81.37787539012831</v>
      </c>
      <c r="Q20" s="412">
        <v>209</v>
      </c>
      <c r="R20" s="370">
        <f t="array" ref="R20">Q20:Q48/G20:G48*100</f>
        <v>2.4159056756444341</v>
      </c>
      <c r="S20" s="412">
        <v>87</v>
      </c>
      <c r="T20" s="370">
        <f t="shared" si="5"/>
        <v>1.0056640850768697</v>
      </c>
      <c r="U20" s="412">
        <f t="shared" si="8"/>
        <v>763</v>
      </c>
      <c r="V20" s="370">
        <f t="shared" si="6"/>
        <v>8.8197896196971453</v>
      </c>
      <c r="W20" s="112"/>
    </row>
    <row r="21" spans="1:23">
      <c r="A21" s="45" t="s">
        <v>101</v>
      </c>
      <c r="B21" s="111" t="s">
        <v>102</v>
      </c>
      <c r="C21" s="411">
        <v>299</v>
      </c>
      <c r="D21" s="411">
        <v>294</v>
      </c>
      <c r="E21" s="411">
        <f t="shared" si="7"/>
        <v>98.327759197324411</v>
      </c>
      <c r="F21" s="370"/>
      <c r="G21" s="412">
        <v>6017</v>
      </c>
      <c r="H21" s="371">
        <f t="shared" si="0"/>
        <v>20.123745819397993</v>
      </c>
      <c r="I21" s="412">
        <v>5473</v>
      </c>
      <c r="J21" s="371">
        <f t="shared" si="1"/>
        <v>18.6156462585034</v>
      </c>
      <c r="K21" s="412">
        <v>478</v>
      </c>
      <c r="L21" s="370">
        <f t="shared" si="2"/>
        <v>7.9441582183812534</v>
      </c>
      <c r="M21" s="371">
        <f t="shared" si="3"/>
        <v>1.5986622073578596</v>
      </c>
      <c r="N21" s="370">
        <f t="shared" si="4"/>
        <v>90.958949642679073</v>
      </c>
      <c r="O21" s="412">
        <v>5402</v>
      </c>
      <c r="P21" s="370">
        <f t="array" ref="P21">O21:O49/G21:G49*100</f>
        <v>89.778959614425787</v>
      </c>
      <c r="Q21" s="412">
        <v>71</v>
      </c>
      <c r="R21" s="370">
        <f t="array" ref="R21">Q21:Q49/G21:G49*100</f>
        <v>1.1799900282532825</v>
      </c>
      <c r="S21" s="412">
        <v>13</v>
      </c>
      <c r="T21" s="370">
        <f t="shared" si="5"/>
        <v>0.21605451221538974</v>
      </c>
      <c r="U21" s="412">
        <f t="shared" si="8"/>
        <v>53</v>
      </c>
      <c r="V21" s="370">
        <f t="shared" si="6"/>
        <v>0.88083762672428123</v>
      </c>
      <c r="W21" s="112"/>
    </row>
    <row r="22" spans="1:23">
      <c r="A22" s="45" t="s">
        <v>104</v>
      </c>
      <c r="B22" s="111" t="s">
        <v>105</v>
      </c>
      <c r="C22" s="411">
        <v>325</v>
      </c>
      <c r="D22" s="411">
        <v>304</v>
      </c>
      <c r="E22" s="411">
        <f t="shared" si="7"/>
        <v>93.538461538461533</v>
      </c>
      <c r="F22" s="370"/>
      <c r="G22" s="412">
        <v>4731</v>
      </c>
      <c r="H22" s="371">
        <f t="shared" si="0"/>
        <v>14.556923076923077</v>
      </c>
      <c r="I22" s="412">
        <v>4175</v>
      </c>
      <c r="J22" s="371">
        <f t="shared" si="1"/>
        <v>13.733552631578947</v>
      </c>
      <c r="K22" s="412">
        <v>408</v>
      </c>
      <c r="L22" s="370">
        <f t="shared" si="2"/>
        <v>8.6239695624603687</v>
      </c>
      <c r="M22" s="371">
        <f t="shared" si="3"/>
        <v>1.2553846153846153</v>
      </c>
      <c r="N22" s="370">
        <f t="shared" si="4"/>
        <v>88.247727753117729</v>
      </c>
      <c r="O22" s="412">
        <v>4175</v>
      </c>
      <c r="P22" s="370">
        <f t="array" ref="P22">O22:O50/G22:G50*100</f>
        <v>88.247727753117729</v>
      </c>
      <c r="Q22" s="412">
        <v>0</v>
      </c>
      <c r="R22" s="370">
        <f t="array" ref="R22">Q22:Q50/G22:G50*100</f>
        <v>0</v>
      </c>
      <c r="S22" s="412">
        <v>0</v>
      </c>
      <c r="T22" s="370">
        <f t="shared" si="5"/>
        <v>0</v>
      </c>
      <c r="U22" s="412">
        <f t="shared" si="8"/>
        <v>148</v>
      </c>
      <c r="V22" s="370">
        <f t="shared" si="6"/>
        <v>3.128302684421898</v>
      </c>
      <c r="W22" s="112"/>
    </row>
    <row r="23" spans="1:23">
      <c r="A23" s="45" t="s">
        <v>107</v>
      </c>
      <c r="B23" s="111" t="s">
        <v>106</v>
      </c>
      <c r="C23" s="411">
        <v>334</v>
      </c>
      <c r="D23" s="411">
        <v>323</v>
      </c>
      <c r="E23" s="411">
        <f t="shared" si="7"/>
        <v>96.706586826347305</v>
      </c>
      <c r="F23" s="370"/>
      <c r="G23" s="412">
        <v>7085</v>
      </c>
      <c r="H23" s="371">
        <f t="shared" si="0"/>
        <v>21.212574850299401</v>
      </c>
      <c r="I23" s="412">
        <v>6532</v>
      </c>
      <c r="J23" s="371">
        <f t="shared" si="1"/>
        <v>20.222910216718265</v>
      </c>
      <c r="K23" s="412">
        <v>492</v>
      </c>
      <c r="L23" s="370">
        <f t="shared" si="2"/>
        <v>6.9442484121383208</v>
      </c>
      <c r="M23" s="371">
        <f t="shared" si="3"/>
        <v>1.4730538922155689</v>
      </c>
      <c r="N23" s="370">
        <f t="shared" si="4"/>
        <v>92.194777699364863</v>
      </c>
      <c r="O23" s="412">
        <v>6532</v>
      </c>
      <c r="P23" s="370">
        <f t="array" ref="P23">O23:O51/G23:G51*100</f>
        <v>92.194777699364863</v>
      </c>
      <c r="Q23" s="412">
        <v>0</v>
      </c>
      <c r="R23" s="370">
        <f t="array" ref="R23">Q23:Q51/G23:G51*100</f>
        <v>0</v>
      </c>
      <c r="S23" s="412">
        <v>3</v>
      </c>
      <c r="T23" s="370">
        <f t="shared" si="5"/>
        <v>4.2342978122794639E-2</v>
      </c>
      <c r="U23" s="412">
        <f t="shared" si="8"/>
        <v>58</v>
      </c>
      <c r="V23" s="370">
        <f t="shared" si="6"/>
        <v>0.81863091037402969</v>
      </c>
      <c r="W23" s="112"/>
    </row>
    <row r="24" spans="1:23">
      <c r="A24" s="45" t="s">
        <v>109</v>
      </c>
      <c r="B24" s="111" t="s">
        <v>110</v>
      </c>
      <c r="C24" s="411">
        <v>940</v>
      </c>
      <c r="D24" s="411">
        <v>704</v>
      </c>
      <c r="E24" s="411">
        <f t="shared" si="7"/>
        <v>74.893617021276597</v>
      </c>
      <c r="F24" s="370"/>
      <c r="G24" s="412">
        <v>25055</v>
      </c>
      <c r="H24" s="371">
        <f t="shared" si="0"/>
        <v>26.654255319148938</v>
      </c>
      <c r="I24" s="412">
        <v>21701</v>
      </c>
      <c r="J24" s="371">
        <f t="shared" si="1"/>
        <v>30.82528409090909</v>
      </c>
      <c r="K24" s="412">
        <v>1325</v>
      </c>
      <c r="L24" s="370">
        <f t="shared" si="2"/>
        <v>5.2883655956894833</v>
      </c>
      <c r="M24" s="371">
        <f t="shared" si="3"/>
        <v>1.4095744680851063</v>
      </c>
      <c r="N24" s="370">
        <f t="shared" si="4"/>
        <v>86.613450409099983</v>
      </c>
      <c r="O24" s="412">
        <v>14205</v>
      </c>
      <c r="P24" s="370">
        <f t="array" ref="P24">O24:O52/G24:G52*100</f>
        <v>56.695270405108758</v>
      </c>
      <c r="Q24" s="412">
        <v>7496</v>
      </c>
      <c r="R24" s="370">
        <f t="array" ref="R24">Q24:Q52/G24:G52*100</f>
        <v>29.918180003991218</v>
      </c>
      <c r="S24" s="412">
        <v>8</v>
      </c>
      <c r="T24" s="370">
        <f t="shared" si="5"/>
        <v>3.192975454001197E-2</v>
      </c>
      <c r="U24" s="412">
        <f t="shared" si="8"/>
        <v>2021</v>
      </c>
      <c r="V24" s="370">
        <f t="shared" si="6"/>
        <v>8.0662542406705242</v>
      </c>
      <c r="W24" s="112"/>
    </row>
    <row r="25" spans="1:23">
      <c r="A25" s="45" t="s">
        <v>112</v>
      </c>
      <c r="B25" s="111" t="s">
        <v>113</v>
      </c>
      <c r="C25" s="411">
        <v>247</v>
      </c>
      <c r="D25" s="411">
        <v>206</v>
      </c>
      <c r="E25" s="411">
        <f t="shared" si="7"/>
        <v>83.400809716599184</v>
      </c>
      <c r="F25" s="370"/>
      <c r="G25" s="412">
        <v>7473</v>
      </c>
      <c r="H25" s="371">
        <f t="shared" si="0"/>
        <v>30.25506072874494</v>
      </c>
      <c r="I25" s="412">
        <v>6465</v>
      </c>
      <c r="J25" s="371">
        <f t="shared" si="1"/>
        <v>31.383495145631066</v>
      </c>
      <c r="K25" s="412">
        <v>397</v>
      </c>
      <c r="L25" s="370">
        <f t="shared" si="2"/>
        <v>5.3124581827913824</v>
      </c>
      <c r="M25" s="371">
        <f t="shared" si="3"/>
        <v>1.6072874493927125</v>
      </c>
      <c r="N25" s="370">
        <f t="shared" si="4"/>
        <v>86.5114411882778</v>
      </c>
      <c r="O25" s="412">
        <v>6465</v>
      </c>
      <c r="P25" s="370">
        <f t="array" ref="P25">O25:O53/G25:G53*100</f>
        <v>86.5114411882778</v>
      </c>
      <c r="Q25" s="412">
        <v>0</v>
      </c>
      <c r="R25" s="370">
        <f t="array" ref="R25">Q25:Q53/G25:G53*100</f>
        <v>0</v>
      </c>
      <c r="S25" s="412">
        <v>247</v>
      </c>
      <c r="T25" s="370">
        <f t="shared" si="5"/>
        <v>3.3052321691422457</v>
      </c>
      <c r="U25" s="412">
        <f t="shared" si="8"/>
        <v>364</v>
      </c>
      <c r="V25" s="370">
        <f t="shared" si="6"/>
        <v>4.8708684597885723</v>
      </c>
      <c r="W25" s="112"/>
    </row>
    <row r="26" spans="1:23">
      <c r="A26" s="45" t="s">
        <v>115</v>
      </c>
      <c r="B26" s="111" t="s">
        <v>116</v>
      </c>
      <c r="C26" s="411">
        <v>265</v>
      </c>
      <c r="D26" s="411">
        <v>192</v>
      </c>
      <c r="E26" s="411">
        <f t="shared" si="7"/>
        <v>72.452830188679243</v>
      </c>
      <c r="F26" s="370"/>
      <c r="G26" s="412">
        <v>8379</v>
      </c>
      <c r="H26" s="371">
        <f t="shared" si="0"/>
        <v>31.618867924528303</v>
      </c>
      <c r="I26" s="412">
        <v>6809</v>
      </c>
      <c r="J26" s="371">
        <f t="shared" si="1"/>
        <v>35.463541666666664</v>
      </c>
      <c r="K26" s="412">
        <v>778</v>
      </c>
      <c r="L26" s="370">
        <f t="shared" si="2"/>
        <v>9.2851175557942476</v>
      </c>
      <c r="M26" s="371">
        <f t="shared" si="3"/>
        <v>2.9358490566037734</v>
      </c>
      <c r="N26" s="370">
        <f t="shared" si="4"/>
        <v>81.262680510800806</v>
      </c>
      <c r="O26" s="412">
        <v>5966</v>
      </c>
      <c r="P26" s="370">
        <f t="array" ref="P26">O26:O54/G26:G54*100</f>
        <v>71.201814058956913</v>
      </c>
      <c r="Q26" s="412">
        <v>843</v>
      </c>
      <c r="R26" s="370">
        <f t="array" ref="R26">Q26:Q54/G26:G54*100</f>
        <v>10.060866451843896</v>
      </c>
      <c r="S26" s="412">
        <v>51</v>
      </c>
      <c r="T26" s="370">
        <f t="shared" si="5"/>
        <v>0.60866451843895453</v>
      </c>
      <c r="U26" s="412">
        <f t="shared" si="8"/>
        <v>741</v>
      </c>
      <c r="V26" s="370">
        <f t="shared" si="6"/>
        <v>8.8435374149659864</v>
      </c>
      <c r="W26" s="112"/>
    </row>
    <row r="27" spans="1:23">
      <c r="A27" s="45" t="s">
        <v>118</v>
      </c>
      <c r="B27" s="111" t="s">
        <v>119</v>
      </c>
      <c r="C27" s="411">
        <v>43</v>
      </c>
      <c r="D27" s="411">
        <v>33</v>
      </c>
      <c r="E27" s="411">
        <f t="shared" si="7"/>
        <v>76.744186046511629</v>
      </c>
      <c r="F27" s="370"/>
      <c r="G27" s="412">
        <v>840</v>
      </c>
      <c r="H27" s="371">
        <f t="shared" si="0"/>
        <v>19.534883720930232</v>
      </c>
      <c r="I27" s="412">
        <v>795</v>
      </c>
      <c r="J27" s="371">
        <f t="shared" si="1"/>
        <v>24.09090909090909</v>
      </c>
      <c r="K27" s="412">
        <v>22</v>
      </c>
      <c r="L27" s="370">
        <f t="shared" si="2"/>
        <v>2.6190476190476191</v>
      </c>
      <c r="M27" s="371">
        <f t="shared" si="3"/>
        <v>0.51162790697674421</v>
      </c>
      <c r="N27" s="370">
        <f t="shared" si="4"/>
        <v>94.642857142857139</v>
      </c>
      <c r="O27" s="412">
        <v>110</v>
      </c>
      <c r="P27" s="370">
        <f t="array" ref="P27">O27:O55/G27:G55*100</f>
        <v>13.095238095238097</v>
      </c>
      <c r="Q27" s="412">
        <v>685</v>
      </c>
      <c r="R27" s="370">
        <f t="array" ref="R27">Q27:Q55/G27:G55*100</f>
        <v>81.547619047619051</v>
      </c>
      <c r="S27" s="412">
        <v>0</v>
      </c>
      <c r="T27" s="370">
        <f t="shared" si="5"/>
        <v>0</v>
      </c>
      <c r="U27" s="412">
        <f t="shared" si="8"/>
        <v>23</v>
      </c>
      <c r="V27" s="370">
        <f t="shared" si="6"/>
        <v>2.7380952380952381</v>
      </c>
      <c r="W27" s="112"/>
    </row>
    <row r="28" spans="1:23">
      <c r="A28" s="45" t="s">
        <v>121</v>
      </c>
      <c r="B28" s="111" t="s">
        <v>122</v>
      </c>
      <c r="C28" s="411">
        <v>36</v>
      </c>
      <c r="D28" s="411">
        <v>36</v>
      </c>
      <c r="E28" s="411">
        <f t="shared" si="7"/>
        <v>100</v>
      </c>
      <c r="F28" s="370"/>
      <c r="G28" s="412">
        <v>678</v>
      </c>
      <c r="H28" s="371">
        <f t="shared" si="0"/>
        <v>18.833333333333332</v>
      </c>
      <c r="I28" s="412">
        <v>677</v>
      </c>
      <c r="J28" s="371">
        <f t="shared" si="1"/>
        <v>18.805555555555557</v>
      </c>
      <c r="K28" s="412">
        <v>1</v>
      </c>
      <c r="L28" s="370">
        <f t="shared" si="2"/>
        <v>0.14749262536873156</v>
      </c>
      <c r="M28" s="371">
        <f t="shared" si="3"/>
        <v>2.7777777777777776E-2</v>
      </c>
      <c r="N28" s="370">
        <f t="shared" si="4"/>
        <v>99.852507374631273</v>
      </c>
      <c r="O28" s="412">
        <v>677</v>
      </c>
      <c r="P28" s="370">
        <f t="array" ref="P28">O28:O56/G28:G56*100</f>
        <v>99.852507374631273</v>
      </c>
      <c r="Q28" s="412">
        <v>0</v>
      </c>
      <c r="R28" s="370">
        <f t="array" ref="R28">Q28:Q56/G28:G56*100</f>
        <v>0</v>
      </c>
      <c r="S28" s="412">
        <v>0</v>
      </c>
      <c r="T28" s="370">
        <f t="shared" si="5"/>
        <v>0</v>
      </c>
      <c r="U28" s="412">
        <f t="shared" si="8"/>
        <v>0</v>
      </c>
      <c r="V28" s="370">
        <f t="shared" si="6"/>
        <v>0</v>
      </c>
      <c r="W28" s="112"/>
    </row>
    <row r="29" spans="1:23">
      <c r="A29" s="45" t="s">
        <v>124</v>
      </c>
      <c r="B29" s="111" t="s">
        <v>125</v>
      </c>
      <c r="C29" s="411">
        <v>454</v>
      </c>
      <c r="D29" s="411">
        <v>445</v>
      </c>
      <c r="E29" s="411">
        <f t="shared" si="7"/>
        <v>98.017621145374449</v>
      </c>
      <c r="F29" s="370"/>
      <c r="G29" s="412">
        <v>8116</v>
      </c>
      <c r="H29" s="371">
        <f t="shared" si="0"/>
        <v>17.876651982378856</v>
      </c>
      <c r="I29" s="412">
        <v>7544</v>
      </c>
      <c r="J29" s="371">
        <f t="shared" si="1"/>
        <v>16.952808988764044</v>
      </c>
      <c r="K29" s="412">
        <v>380</v>
      </c>
      <c r="L29" s="370">
        <f t="shared" si="2"/>
        <v>4.6821094135041896</v>
      </c>
      <c r="M29" s="371">
        <f t="shared" si="3"/>
        <v>0.83700440528634357</v>
      </c>
      <c r="N29" s="370">
        <f t="shared" si="4"/>
        <v>92.952193198620009</v>
      </c>
      <c r="O29" s="412">
        <v>4667</v>
      </c>
      <c r="P29" s="370">
        <f t="array" ref="P29">O29:O57/G29:G57*100</f>
        <v>57.503696402168558</v>
      </c>
      <c r="Q29" s="412">
        <v>2877</v>
      </c>
      <c r="R29" s="370">
        <f t="array" ref="R29">Q29:Q57/G29:G57*100</f>
        <v>35.448496796451458</v>
      </c>
      <c r="S29" s="412">
        <v>41</v>
      </c>
      <c r="T29" s="370">
        <f t="shared" si="5"/>
        <v>0.50517496303597831</v>
      </c>
      <c r="U29" s="412">
        <f t="shared" si="8"/>
        <v>151</v>
      </c>
      <c r="V29" s="370">
        <f t="shared" si="6"/>
        <v>1.8605224248398227</v>
      </c>
      <c r="W29" s="112"/>
    </row>
    <row r="30" spans="1:23">
      <c r="A30" s="45" t="s">
        <v>127</v>
      </c>
      <c r="B30" s="111" t="s">
        <v>128</v>
      </c>
      <c r="C30" s="411">
        <v>188</v>
      </c>
      <c r="D30" s="411">
        <v>163</v>
      </c>
      <c r="E30" s="411">
        <f t="shared" si="7"/>
        <v>86.702127659574472</v>
      </c>
      <c r="F30" s="370"/>
      <c r="G30" s="412">
        <v>6265</v>
      </c>
      <c r="H30" s="371">
        <f t="shared" si="0"/>
        <v>33.324468085106382</v>
      </c>
      <c r="I30" s="412">
        <v>5764</v>
      </c>
      <c r="J30" s="371">
        <f t="shared" si="1"/>
        <v>35.361963190184049</v>
      </c>
      <c r="K30" s="412">
        <v>324</v>
      </c>
      <c r="L30" s="370">
        <f t="shared" si="2"/>
        <v>5.1715881883479646</v>
      </c>
      <c r="M30" s="371">
        <f t="shared" si="3"/>
        <v>1.7234042553191489</v>
      </c>
      <c r="N30" s="370">
        <f t="shared" si="4"/>
        <v>92.003192338387876</v>
      </c>
      <c r="O30" s="412">
        <v>5738</v>
      </c>
      <c r="P30" s="370">
        <f t="array" ref="P30">O30:O58/G30:G58*100</f>
        <v>91.588188347964888</v>
      </c>
      <c r="Q30" s="412">
        <v>26</v>
      </c>
      <c r="R30" s="370">
        <f t="array" ref="R30">Q30:Q58/G30:G58*100</f>
        <v>0.41500399042298486</v>
      </c>
      <c r="S30" s="412">
        <v>21</v>
      </c>
      <c r="T30" s="370">
        <f t="shared" si="5"/>
        <v>0.33519553072625696</v>
      </c>
      <c r="U30" s="412">
        <f t="shared" si="8"/>
        <v>156</v>
      </c>
      <c r="V30" s="370">
        <f t="shared" si="6"/>
        <v>2.4900239425379089</v>
      </c>
      <c r="W30" s="112"/>
    </row>
    <row r="31" spans="1:23">
      <c r="A31" s="45" t="s">
        <v>37</v>
      </c>
      <c r="B31" s="111" t="s">
        <v>133</v>
      </c>
      <c r="C31" s="411">
        <v>35</v>
      </c>
      <c r="D31" s="411">
        <v>35</v>
      </c>
      <c r="E31" s="411">
        <f t="shared" si="7"/>
        <v>100</v>
      </c>
      <c r="F31" s="370"/>
      <c r="G31" s="412">
        <v>692</v>
      </c>
      <c r="H31" s="371">
        <f t="shared" si="0"/>
        <v>19.771428571428572</v>
      </c>
      <c r="I31" s="412">
        <v>651</v>
      </c>
      <c r="J31" s="371">
        <f t="shared" si="1"/>
        <v>18.600000000000001</v>
      </c>
      <c r="K31" s="412">
        <v>21</v>
      </c>
      <c r="L31" s="370">
        <f t="shared" si="2"/>
        <v>3.0346820809248554</v>
      </c>
      <c r="M31" s="371">
        <f t="shared" si="3"/>
        <v>0.6</v>
      </c>
      <c r="N31" s="370">
        <f t="shared" si="4"/>
        <v>94.075144508670519</v>
      </c>
      <c r="O31" s="412">
        <v>651</v>
      </c>
      <c r="P31" s="370">
        <f t="array" ref="P31">O31:O59/G31:G59*100</f>
        <v>94.075144508670519</v>
      </c>
      <c r="Q31" s="412">
        <v>0</v>
      </c>
      <c r="R31" s="370">
        <f t="array" ref="R31">Q31:Q59/G31:G59*100</f>
        <v>0</v>
      </c>
      <c r="S31" s="412">
        <v>20</v>
      </c>
      <c r="T31" s="370">
        <f t="shared" si="5"/>
        <v>2.8901734104046244</v>
      </c>
      <c r="U31" s="412">
        <f t="shared" si="8"/>
        <v>0</v>
      </c>
      <c r="V31" s="370">
        <f t="shared" si="6"/>
        <v>0</v>
      </c>
      <c r="W31" s="112"/>
    </row>
    <row r="32" spans="1:23">
      <c r="A32" s="50"/>
      <c r="C32" s="71"/>
      <c r="D32" s="71"/>
      <c r="E32" s="34"/>
      <c r="F32" s="34"/>
      <c r="G32" s="34"/>
      <c r="H32" s="34"/>
      <c r="I32" s="34"/>
      <c r="J32" s="34"/>
      <c r="K32" s="34"/>
    </row>
  </sheetData>
  <sheetProtection password="B8D9" sheet="1" objects="1" scenarios="1"/>
  <mergeCells count="2">
    <mergeCell ref="C1:E1"/>
    <mergeCell ref="G1:V1"/>
  </mergeCells>
  <pageMargins left="0.70866141732283472" right="0.70866141732283472" top="0.74803149606299213" bottom="0.74803149606299213" header="0.31496062992125984" footer="0.31496062992125984"/>
  <pageSetup paperSize="9" scale="45"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58.xml><?xml version="1.0" encoding="utf-8"?>
<worksheet xmlns="http://schemas.openxmlformats.org/spreadsheetml/2006/main" xmlns:r="http://schemas.openxmlformats.org/officeDocument/2006/relationships">
  <sheetPr codeName="Sheet61">
    <pageSetUpPr fitToPage="1"/>
  </sheetPr>
  <dimension ref="A1:W107"/>
  <sheetViews>
    <sheetView workbookViewId="0"/>
  </sheetViews>
  <sheetFormatPr defaultRowHeight="12.75"/>
  <cols>
    <col min="1" max="1" width="1.7109375" style="210" customWidth="1"/>
    <col min="2" max="2" width="16.7109375" style="210" customWidth="1"/>
    <col min="3" max="3" width="45.7109375" style="210" customWidth="1"/>
    <col min="4" max="4" width="6.7109375" style="359" customWidth="1"/>
    <col min="5" max="5" width="10.7109375" style="359" customWidth="1"/>
    <col min="6" max="6" width="6.7109375" style="359" customWidth="1"/>
    <col min="7" max="7" width="10.7109375" style="359" customWidth="1"/>
    <col min="8" max="8" width="6.7109375" style="359" customWidth="1"/>
    <col min="9" max="9" width="10.7109375" style="359" customWidth="1"/>
    <col min="10" max="13" width="1.7109375" style="359" customWidth="1"/>
    <col min="14" max="14" width="9.28515625" style="210" customWidth="1"/>
    <col min="15" max="15" width="11.28515625" style="210" customWidth="1"/>
    <col min="16" max="16" width="9.28515625" style="210" customWidth="1"/>
    <col min="17" max="17" width="11.28515625" style="210" customWidth="1"/>
    <col min="18" max="18" width="9.28515625" style="210" customWidth="1"/>
    <col min="19" max="19" width="11.28515625" style="210" customWidth="1"/>
    <col min="20" max="16384" width="9.140625" style="210"/>
  </cols>
  <sheetData>
    <row r="1" spans="2:20" ht="12.75" customHeight="1">
      <c r="B1" s="1130" t="s">
        <v>638</v>
      </c>
      <c r="C1" s="1130"/>
      <c r="D1" s="1130"/>
      <c r="E1" s="1130"/>
      <c r="F1" s="1130"/>
      <c r="G1" s="1130"/>
      <c r="H1" s="1130"/>
      <c r="I1" s="1130"/>
      <c r="J1" s="1131" t="s">
        <v>45</v>
      </c>
      <c r="K1" s="1131"/>
      <c r="L1" s="1131"/>
      <c r="M1" s="1131"/>
      <c r="N1" s="1131"/>
      <c r="O1" s="30"/>
      <c r="P1" s="209"/>
      <c r="Q1" s="209"/>
      <c r="R1" s="209"/>
      <c r="S1" s="209"/>
      <c r="T1" s="209"/>
    </row>
    <row r="2" spans="2:20" ht="12.75" customHeight="1">
      <c r="J2" s="1131"/>
      <c r="K2" s="1131"/>
      <c r="L2" s="1131"/>
      <c r="M2" s="1131"/>
      <c r="N2" s="1131"/>
      <c r="O2" s="30"/>
      <c r="P2" s="30"/>
      <c r="T2" s="211"/>
    </row>
    <row r="3" spans="2:20" ht="12.6" customHeight="1">
      <c r="B3" s="1044" t="s">
        <v>376</v>
      </c>
      <c r="C3" s="1044"/>
      <c r="D3" s="1044"/>
      <c r="E3" s="1044"/>
      <c r="F3" s="1044"/>
      <c r="G3" s="1044"/>
      <c r="H3" s="1044"/>
      <c r="I3" s="1044"/>
      <c r="J3" s="1131"/>
      <c r="K3" s="1131"/>
      <c r="L3" s="1131"/>
      <c r="M3" s="1131"/>
      <c r="N3" s="1131"/>
      <c r="O3" s="30"/>
      <c r="P3" s="30"/>
      <c r="T3" s="211"/>
    </row>
    <row r="4" spans="2:20" ht="12.6" customHeight="1">
      <c r="B4" s="1044"/>
      <c r="C4" s="1044"/>
      <c r="D4" s="1044"/>
      <c r="E4" s="1044"/>
      <c r="F4" s="1044"/>
      <c r="G4" s="1044"/>
      <c r="H4" s="1044"/>
      <c r="I4" s="1044"/>
      <c r="J4" s="567"/>
      <c r="K4" s="567"/>
      <c r="L4" s="567"/>
      <c r="M4" s="567"/>
      <c r="N4" s="567"/>
      <c r="O4" s="30"/>
      <c r="P4" s="30"/>
      <c r="T4" s="211"/>
    </row>
    <row r="5" spans="2:20" ht="12.6" customHeight="1">
      <c r="B5" s="1044"/>
      <c r="C5" s="1044"/>
      <c r="D5" s="1044"/>
      <c r="E5" s="1044"/>
      <c r="F5" s="1044"/>
      <c r="G5" s="1044"/>
      <c r="H5" s="1044"/>
      <c r="I5" s="1044"/>
      <c r="J5" s="1131" t="s">
        <v>818</v>
      </c>
      <c r="K5" s="1131"/>
      <c r="L5" s="1131"/>
      <c r="M5" s="1131"/>
      <c r="N5" s="1131"/>
      <c r="O5" s="30"/>
      <c r="P5" s="30"/>
      <c r="T5" s="211"/>
    </row>
    <row r="6" spans="2:20" ht="12.6" customHeight="1">
      <c r="B6" s="564"/>
      <c r="C6" s="564"/>
      <c r="D6" s="564"/>
      <c r="E6" s="564"/>
      <c r="F6" s="564"/>
      <c r="G6" s="564"/>
      <c r="H6" s="564"/>
      <c r="I6" s="564"/>
      <c r="J6" s="567"/>
      <c r="K6" s="567"/>
      <c r="L6" s="567"/>
      <c r="M6" s="567"/>
      <c r="N6" s="567"/>
      <c r="O6" s="30"/>
      <c r="P6" s="30"/>
      <c r="T6" s="211"/>
    </row>
    <row r="7" spans="2:20" ht="12.75" customHeight="1"/>
    <row r="36" spans="1:23">
      <c r="B36" s="212"/>
    </row>
    <row r="37" spans="1:23">
      <c r="B37" s="213" t="s">
        <v>541</v>
      </c>
      <c r="C37" s="214"/>
      <c r="D37" s="215"/>
      <c r="E37" s="215"/>
      <c r="F37" s="215"/>
      <c r="G37" s="215"/>
      <c r="H37" s="215"/>
      <c r="I37" s="215"/>
      <c r="J37" s="215"/>
      <c r="K37" s="215"/>
      <c r="N37" s="216"/>
      <c r="O37" s="216"/>
      <c r="P37" s="216"/>
      <c r="Q37" s="216"/>
    </row>
    <row r="38" spans="1:23">
      <c r="B38" s="431" t="s">
        <v>419</v>
      </c>
      <c r="C38" s="428"/>
      <c r="D38" s="429"/>
      <c r="E38" s="429"/>
      <c r="F38" s="429"/>
      <c r="G38" s="429"/>
      <c r="H38" s="429"/>
      <c r="I38" s="429"/>
      <c r="J38" s="429"/>
      <c r="K38" s="429"/>
      <c r="L38" s="430"/>
      <c r="M38" s="430"/>
      <c r="N38" s="216"/>
      <c r="O38" s="216"/>
      <c r="P38" s="216"/>
      <c r="Q38" s="216"/>
    </row>
    <row r="39" spans="1:23">
      <c r="B39" s="431" t="s">
        <v>420</v>
      </c>
      <c r="C39" s="428"/>
      <c r="D39" s="429"/>
      <c r="E39" s="429"/>
      <c r="F39" s="429"/>
      <c r="G39" s="429"/>
      <c r="H39" s="429"/>
      <c r="I39" s="429"/>
      <c r="J39" s="429"/>
      <c r="K39" s="429"/>
      <c r="L39" s="430"/>
      <c r="M39" s="430"/>
      <c r="N39" s="216"/>
      <c r="O39" s="216"/>
      <c r="P39" s="216"/>
      <c r="Q39" s="216"/>
    </row>
    <row r="40" spans="1:23">
      <c r="B40" s="433" t="s">
        <v>416</v>
      </c>
      <c r="C40" s="428"/>
      <c r="D40" s="429"/>
      <c r="E40" s="429"/>
      <c r="F40" s="429"/>
      <c r="G40" s="429"/>
      <c r="H40" s="429"/>
      <c r="I40" s="429"/>
      <c r="J40" s="429"/>
      <c r="K40" s="429"/>
      <c r="L40" s="430"/>
      <c r="M40" s="430"/>
      <c r="N40" s="216"/>
      <c r="O40" s="216"/>
      <c r="P40" s="216"/>
      <c r="Q40" s="216"/>
    </row>
    <row r="41" spans="1:23">
      <c r="B41" s="433" t="s">
        <v>417</v>
      </c>
      <c r="C41" s="428"/>
      <c r="D41" s="429"/>
      <c r="E41" s="429"/>
      <c r="F41" s="429"/>
      <c r="G41" s="429"/>
      <c r="H41" s="429"/>
      <c r="I41" s="429"/>
      <c r="J41" s="429"/>
      <c r="K41" s="429"/>
      <c r="L41" s="430"/>
      <c r="M41" s="430"/>
      <c r="N41" s="216"/>
      <c r="O41" s="216"/>
      <c r="P41" s="216"/>
      <c r="Q41" s="216"/>
    </row>
    <row r="42" spans="1:23">
      <c r="B42" s="431" t="s">
        <v>418</v>
      </c>
      <c r="C42" s="428"/>
      <c r="D42" s="429"/>
      <c r="E42" s="429"/>
      <c r="F42" s="429"/>
      <c r="G42" s="429"/>
      <c r="H42" s="429"/>
      <c r="I42" s="429"/>
      <c r="J42" s="429"/>
      <c r="K42" s="429"/>
      <c r="L42" s="430"/>
      <c r="M42" s="430"/>
      <c r="N42" s="216"/>
      <c r="O42" s="216"/>
      <c r="P42" s="216"/>
      <c r="Q42" s="216"/>
    </row>
    <row r="43" spans="1:23">
      <c r="B43" s="434" t="s">
        <v>421</v>
      </c>
      <c r="C43" s="430"/>
      <c r="D43" s="430"/>
      <c r="E43" s="430"/>
      <c r="F43" s="430"/>
      <c r="G43" s="430"/>
      <c r="H43" s="430"/>
      <c r="I43" s="430"/>
      <c r="J43" s="430"/>
      <c r="K43" s="430"/>
      <c r="L43" s="430"/>
      <c r="M43" s="430"/>
    </row>
    <row r="44" spans="1:23" ht="13.5" customHeight="1">
      <c r="B44" s="434" t="s">
        <v>422</v>
      </c>
      <c r="C44" s="432"/>
      <c r="D44" s="432"/>
      <c r="E44" s="432"/>
      <c r="F44" s="432"/>
      <c r="G44" s="432"/>
      <c r="H44" s="432"/>
      <c r="I44" s="432"/>
      <c r="J44" s="430"/>
      <c r="K44" s="430"/>
      <c r="L44" s="430"/>
      <c r="M44" s="430"/>
    </row>
    <row r="45" spans="1:23" s="784" customFormat="1" ht="15">
      <c r="B45" s="205" t="s">
        <v>756</v>
      </c>
      <c r="C45" s="203"/>
      <c r="D45" s="204"/>
      <c r="E45" s="204"/>
      <c r="F45" s="204"/>
      <c r="G45" s="204"/>
      <c r="H45" s="204"/>
      <c r="I45" s="204"/>
      <c r="J45" s="203"/>
    </row>
    <row r="46" spans="1:23">
      <c r="A46" s="571"/>
      <c r="B46" s="572"/>
      <c r="C46" s="572"/>
      <c r="D46" s="573"/>
      <c r="E46" s="573"/>
      <c r="F46" s="573"/>
      <c r="G46" s="573"/>
      <c r="H46" s="573"/>
      <c r="I46" s="573"/>
      <c r="J46" s="574"/>
      <c r="K46" s="574"/>
      <c r="L46" s="575"/>
      <c r="M46" s="575"/>
      <c r="N46" s="573"/>
      <c r="O46" s="573"/>
      <c r="P46" s="573"/>
      <c r="Q46" s="573"/>
      <c r="R46" s="573"/>
      <c r="S46" s="573"/>
      <c r="T46" s="576"/>
      <c r="U46" s="576"/>
      <c r="V46" s="571"/>
      <c r="W46" s="571"/>
    </row>
    <row r="47" spans="1:23">
      <c r="A47" s="571"/>
      <c r="B47" s="577"/>
      <c r="C47" s="577"/>
      <c r="D47" s="573"/>
      <c r="E47" s="573"/>
      <c r="F47" s="573"/>
      <c r="G47" s="573"/>
      <c r="H47" s="573"/>
      <c r="I47" s="573"/>
      <c r="J47" s="578"/>
      <c r="K47" s="578"/>
      <c r="L47" s="575"/>
      <c r="M47" s="575"/>
      <c r="N47" s="579"/>
      <c r="O47" s="579"/>
      <c r="P47" s="579"/>
      <c r="Q47" s="579"/>
      <c r="R47" s="579"/>
      <c r="S47" s="579"/>
      <c r="T47" s="576"/>
      <c r="U47" s="576"/>
      <c r="V47" s="576"/>
      <c r="W47" s="576"/>
    </row>
    <row r="48" spans="1:23">
      <c r="A48" s="580"/>
      <c r="B48" s="571"/>
      <c r="C48" s="571"/>
      <c r="D48" s="581"/>
      <c r="E48" s="581"/>
      <c r="F48" s="581"/>
      <c r="G48" s="581"/>
      <c r="H48" s="581"/>
      <c r="I48" s="581"/>
      <c r="J48" s="582"/>
      <c r="K48" s="582"/>
      <c r="L48" s="583"/>
      <c r="M48" s="583"/>
      <c r="N48" s="584"/>
      <c r="O48" s="584"/>
      <c r="P48" s="584"/>
      <c r="Q48" s="584"/>
      <c r="R48" s="584"/>
      <c r="S48" s="584"/>
      <c r="T48" s="576"/>
      <c r="U48" s="576"/>
      <c r="V48" s="576"/>
      <c r="W48" s="576"/>
    </row>
    <row r="49" spans="1:23">
      <c r="A49" s="580"/>
      <c r="B49" s="571"/>
      <c r="C49" s="571"/>
      <c r="D49" s="581"/>
      <c r="E49" s="581"/>
      <c r="F49" s="581"/>
      <c r="G49" s="581"/>
      <c r="H49" s="581"/>
      <c r="I49" s="581"/>
      <c r="J49" s="582"/>
      <c r="K49" s="582"/>
      <c r="L49" s="583"/>
      <c r="M49" s="583"/>
      <c r="N49" s="584"/>
      <c r="O49" s="584"/>
      <c r="P49" s="584"/>
      <c r="Q49" s="584"/>
      <c r="R49" s="584"/>
      <c r="S49" s="584"/>
      <c r="T49" s="585"/>
      <c r="U49" s="585"/>
      <c r="V49" s="571"/>
      <c r="W49" s="571"/>
    </row>
    <row r="50" spans="1:23">
      <c r="A50" s="580"/>
      <c r="B50" s="571"/>
      <c r="C50" s="571"/>
      <c r="D50" s="581"/>
      <c r="E50" s="581"/>
      <c r="F50" s="581"/>
      <c r="G50" s="581"/>
      <c r="H50" s="581"/>
      <c r="I50" s="581"/>
      <c r="J50" s="582"/>
      <c r="K50" s="582"/>
      <c r="L50" s="583"/>
      <c r="M50" s="583"/>
      <c r="N50" s="584"/>
      <c r="O50" s="584"/>
      <c r="P50" s="584"/>
      <c r="Q50" s="584"/>
      <c r="R50" s="584"/>
      <c r="S50" s="584"/>
      <c r="T50" s="585"/>
      <c r="U50" s="585"/>
      <c r="V50" s="571"/>
      <c r="W50" s="571"/>
    </row>
    <row r="51" spans="1:23">
      <c r="A51" s="580"/>
      <c r="B51" s="571"/>
      <c r="C51" s="571"/>
      <c r="D51" s="581"/>
      <c r="E51" s="581"/>
      <c r="F51" s="581"/>
      <c r="G51" s="581"/>
      <c r="H51" s="581"/>
      <c r="I51" s="581"/>
      <c r="J51" s="582"/>
      <c r="K51" s="582"/>
      <c r="L51" s="583"/>
      <c r="M51" s="583"/>
      <c r="N51" s="584"/>
      <c r="O51" s="584"/>
      <c r="P51" s="584"/>
      <c r="Q51" s="584"/>
      <c r="R51" s="584"/>
      <c r="S51" s="584"/>
      <c r="T51" s="585"/>
      <c r="U51" s="585"/>
      <c r="V51" s="571"/>
      <c r="W51" s="571"/>
    </row>
    <row r="52" spans="1:23">
      <c r="A52" s="580"/>
      <c r="B52" s="571"/>
      <c r="C52" s="571"/>
      <c r="D52" s="581"/>
      <c r="E52" s="581"/>
      <c r="F52" s="581"/>
      <c r="G52" s="581"/>
      <c r="H52" s="581"/>
      <c r="I52" s="581"/>
      <c r="J52" s="582"/>
      <c r="K52" s="582"/>
      <c r="L52" s="583"/>
      <c r="M52" s="583"/>
      <c r="N52" s="584"/>
      <c r="O52" s="584"/>
      <c r="P52" s="584"/>
      <c r="Q52" s="584"/>
      <c r="R52" s="584"/>
      <c r="S52" s="584"/>
      <c r="T52" s="585"/>
      <c r="U52" s="585"/>
      <c r="V52" s="571"/>
      <c r="W52" s="571"/>
    </row>
    <row r="53" spans="1:23">
      <c r="A53" s="580"/>
      <c r="B53" s="571"/>
      <c r="C53" s="571"/>
      <c r="D53" s="581"/>
      <c r="E53" s="581"/>
      <c r="F53" s="581"/>
      <c r="G53" s="581"/>
      <c r="H53" s="581"/>
      <c r="I53" s="581"/>
      <c r="J53" s="582"/>
      <c r="K53" s="582"/>
      <c r="L53" s="583"/>
      <c r="M53" s="583"/>
      <c r="N53" s="584"/>
      <c r="O53" s="584"/>
      <c r="P53" s="584"/>
      <c r="Q53" s="584"/>
      <c r="R53" s="584"/>
      <c r="S53" s="584"/>
      <c r="T53" s="585"/>
      <c r="U53" s="585"/>
      <c r="V53" s="571"/>
      <c r="W53" s="571"/>
    </row>
    <row r="54" spans="1:23">
      <c r="A54" s="580"/>
      <c r="B54" s="571"/>
      <c r="C54" s="571"/>
      <c r="D54" s="581"/>
      <c r="E54" s="581"/>
      <c r="F54" s="581"/>
      <c r="G54" s="581"/>
      <c r="H54" s="581"/>
      <c r="I54" s="581"/>
      <c r="J54" s="582"/>
      <c r="K54" s="582"/>
      <c r="L54" s="583"/>
      <c r="M54" s="583"/>
      <c r="N54" s="584"/>
      <c r="O54" s="584"/>
      <c r="P54" s="584"/>
      <c r="Q54" s="584"/>
      <c r="R54" s="584"/>
      <c r="S54" s="584"/>
      <c r="T54" s="585"/>
      <c r="U54" s="585"/>
      <c r="V54" s="571"/>
      <c r="W54" s="571"/>
    </row>
    <row r="55" spans="1:23">
      <c r="A55" s="580"/>
      <c r="B55" s="571"/>
      <c r="C55" s="571"/>
      <c r="D55" s="581"/>
      <c r="E55" s="581"/>
      <c r="F55" s="581"/>
      <c r="G55" s="581"/>
      <c r="H55" s="581"/>
      <c r="I55" s="581"/>
      <c r="J55" s="582"/>
      <c r="K55" s="582"/>
      <c r="L55" s="583"/>
      <c r="M55" s="583"/>
      <c r="N55" s="584"/>
      <c r="O55" s="584"/>
      <c r="P55" s="584"/>
      <c r="Q55" s="584"/>
      <c r="R55" s="584"/>
      <c r="S55" s="584"/>
      <c r="T55" s="585"/>
      <c r="U55" s="585"/>
      <c r="V55" s="571"/>
      <c r="W55" s="571"/>
    </row>
    <row r="56" spans="1:23">
      <c r="A56" s="580"/>
      <c r="B56" s="571"/>
      <c r="C56" s="571"/>
      <c r="D56" s="581"/>
      <c r="E56" s="581"/>
      <c r="F56" s="581"/>
      <c r="G56" s="581"/>
      <c r="H56" s="581"/>
      <c r="I56" s="581"/>
      <c r="J56" s="582"/>
      <c r="K56" s="582"/>
      <c r="L56" s="583"/>
      <c r="M56" s="583"/>
      <c r="N56" s="584"/>
      <c r="O56" s="584"/>
      <c r="P56" s="584"/>
      <c r="Q56" s="584"/>
      <c r="R56" s="584"/>
      <c r="S56" s="584"/>
      <c r="T56" s="585"/>
      <c r="U56" s="585"/>
      <c r="V56" s="571"/>
      <c r="W56" s="571"/>
    </row>
    <row r="57" spans="1:23">
      <c r="A57" s="580"/>
      <c r="B57" s="571"/>
      <c r="C57" s="571"/>
      <c r="D57" s="581"/>
      <c r="E57" s="581"/>
      <c r="F57" s="581"/>
      <c r="G57" s="581"/>
      <c r="H57" s="581"/>
      <c r="I57" s="581"/>
      <c r="J57" s="582"/>
      <c r="K57" s="582"/>
      <c r="L57" s="583"/>
      <c r="M57" s="583"/>
      <c r="N57" s="584"/>
      <c r="O57" s="584"/>
      <c r="P57" s="584"/>
      <c r="Q57" s="584"/>
      <c r="R57" s="584"/>
      <c r="S57" s="584"/>
      <c r="T57" s="585"/>
      <c r="U57" s="585"/>
      <c r="V57" s="571"/>
      <c r="W57" s="571"/>
    </row>
    <row r="58" spans="1:23">
      <c r="A58" s="580"/>
      <c r="B58" s="571"/>
      <c r="C58" s="571"/>
      <c r="D58" s="581"/>
      <c r="E58" s="581"/>
      <c r="F58" s="581"/>
      <c r="G58" s="581"/>
      <c r="H58" s="581"/>
      <c r="I58" s="581"/>
      <c r="J58" s="582"/>
      <c r="K58" s="582"/>
      <c r="L58" s="583"/>
      <c r="M58" s="583"/>
      <c r="N58" s="584"/>
      <c r="O58" s="584"/>
      <c r="P58" s="584"/>
      <c r="Q58" s="584"/>
      <c r="R58" s="584"/>
      <c r="S58" s="584"/>
      <c r="T58" s="585"/>
      <c r="U58" s="585"/>
      <c r="V58" s="571"/>
      <c r="W58" s="571"/>
    </row>
    <row r="59" spans="1:23">
      <c r="A59" s="580"/>
      <c r="B59" s="571"/>
      <c r="C59" s="571"/>
      <c r="D59" s="581"/>
      <c r="E59" s="581"/>
      <c r="F59" s="581"/>
      <c r="G59" s="581"/>
      <c r="H59" s="581"/>
      <c r="I59" s="581"/>
      <c r="J59" s="582"/>
      <c r="K59" s="582"/>
      <c r="L59" s="583"/>
      <c r="M59" s="583"/>
      <c r="N59" s="584"/>
      <c r="O59" s="584"/>
      <c r="P59" s="584"/>
      <c r="Q59" s="584"/>
      <c r="R59" s="584"/>
      <c r="S59" s="584"/>
      <c r="T59" s="585"/>
      <c r="U59" s="585"/>
      <c r="V59" s="571"/>
      <c r="W59" s="571"/>
    </row>
    <row r="60" spans="1:23">
      <c r="A60" s="580"/>
      <c r="B60" s="571"/>
      <c r="C60" s="571"/>
      <c r="D60" s="581"/>
      <c r="E60" s="581"/>
      <c r="F60" s="581"/>
      <c r="G60" s="581"/>
      <c r="H60" s="581"/>
      <c r="I60" s="581"/>
      <c r="J60" s="582"/>
      <c r="K60" s="582"/>
      <c r="L60" s="583"/>
      <c r="M60" s="583"/>
      <c r="N60" s="584"/>
      <c r="O60" s="584"/>
      <c r="P60" s="584"/>
      <c r="Q60" s="584"/>
      <c r="R60" s="584"/>
      <c r="S60" s="584"/>
      <c r="T60" s="585"/>
      <c r="U60" s="585"/>
      <c r="V60" s="571"/>
      <c r="W60" s="571"/>
    </row>
    <row r="61" spans="1:23">
      <c r="A61" s="580"/>
      <c r="B61" s="571"/>
      <c r="C61" s="571"/>
      <c r="D61" s="581"/>
      <c r="E61" s="581"/>
      <c r="F61" s="581"/>
      <c r="G61" s="581"/>
      <c r="H61" s="581"/>
      <c r="I61" s="581"/>
      <c r="J61" s="582"/>
      <c r="K61" s="582"/>
      <c r="L61" s="583"/>
      <c r="M61" s="583"/>
      <c r="N61" s="584"/>
      <c r="O61" s="584"/>
      <c r="P61" s="584"/>
      <c r="Q61" s="584"/>
      <c r="R61" s="584"/>
      <c r="S61" s="584"/>
      <c r="T61" s="585"/>
      <c r="U61" s="585"/>
      <c r="V61" s="571"/>
      <c r="W61" s="571"/>
    </row>
    <row r="62" spans="1:23">
      <c r="A62" s="580"/>
      <c r="B62" s="571"/>
      <c r="C62" s="571"/>
      <c r="D62" s="581"/>
      <c r="E62" s="581"/>
      <c r="F62" s="581"/>
      <c r="G62" s="581"/>
      <c r="H62" s="581"/>
      <c r="I62" s="581"/>
      <c r="J62" s="582"/>
      <c r="K62" s="582"/>
      <c r="L62" s="583"/>
      <c r="M62" s="583"/>
      <c r="N62" s="584"/>
      <c r="O62" s="584"/>
      <c r="P62" s="584"/>
      <c r="Q62" s="584"/>
      <c r="R62" s="584"/>
      <c r="S62" s="584"/>
      <c r="T62" s="585"/>
      <c r="U62" s="585"/>
      <c r="V62" s="571"/>
      <c r="W62" s="571"/>
    </row>
    <row r="63" spans="1:23">
      <c r="A63" s="580"/>
      <c r="B63" s="571"/>
      <c r="C63" s="571"/>
      <c r="D63" s="581"/>
      <c r="E63" s="581"/>
      <c r="F63" s="581"/>
      <c r="G63" s="581"/>
      <c r="H63" s="581"/>
      <c r="I63" s="581"/>
      <c r="J63" s="582"/>
      <c r="K63" s="582"/>
      <c r="L63" s="583"/>
      <c r="M63" s="583"/>
      <c r="N63" s="584"/>
      <c r="O63" s="584"/>
      <c r="P63" s="584"/>
      <c r="Q63" s="584"/>
      <c r="R63" s="584"/>
      <c r="S63" s="584"/>
      <c r="T63" s="585"/>
      <c r="U63" s="585"/>
      <c r="V63" s="571"/>
      <c r="W63" s="571"/>
    </row>
    <row r="64" spans="1:23">
      <c r="A64" s="580"/>
      <c r="B64" s="571"/>
      <c r="C64" s="571"/>
      <c r="D64" s="581"/>
      <c r="E64" s="581"/>
      <c r="F64" s="581"/>
      <c r="G64" s="581"/>
      <c r="H64" s="581"/>
      <c r="I64" s="581"/>
      <c r="J64" s="582"/>
      <c r="K64" s="582"/>
      <c r="L64" s="583"/>
      <c r="M64" s="583"/>
      <c r="N64" s="584"/>
      <c r="O64" s="584"/>
      <c r="P64" s="584"/>
      <c r="Q64" s="584"/>
      <c r="R64" s="584"/>
      <c r="S64" s="584"/>
      <c r="T64" s="585"/>
      <c r="U64" s="585"/>
      <c r="V64" s="571"/>
      <c r="W64" s="571"/>
    </row>
    <row r="65" spans="1:23">
      <c r="A65" s="580"/>
      <c r="B65" s="571"/>
      <c r="C65" s="571"/>
      <c r="D65" s="581"/>
      <c r="E65" s="581"/>
      <c r="F65" s="581"/>
      <c r="G65" s="581"/>
      <c r="H65" s="581"/>
      <c r="I65" s="581"/>
      <c r="J65" s="582"/>
      <c r="K65" s="582"/>
      <c r="L65" s="583"/>
      <c r="M65" s="583"/>
      <c r="N65" s="584"/>
      <c r="O65" s="584"/>
      <c r="P65" s="584"/>
      <c r="Q65" s="584"/>
      <c r="R65" s="584"/>
      <c r="S65" s="584"/>
      <c r="T65" s="585"/>
      <c r="U65" s="585"/>
      <c r="V65" s="571"/>
      <c r="W65" s="571"/>
    </row>
    <row r="66" spans="1:23">
      <c r="A66" s="580"/>
      <c r="B66" s="571"/>
      <c r="C66" s="571"/>
      <c r="D66" s="581"/>
      <c r="E66" s="581"/>
      <c r="F66" s="581"/>
      <c r="G66" s="581"/>
      <c r="H66" s="581"/>
      <c r="I66" s="581"/>
      <c r="J66" s="582"/>
      <c r="K66" s="582"/>
      <c r="L66" s="583"/>
      <c r="M66" s="583"/>
      <c r="N66" s="584"/>
      <c r="O66" s="584"/>
      <c r="P66" s="584"/>
      <c r="Q66" s="584"/>
      <c r="R66" s="584"/>
      <c r="S66" s="584"/>
      <c r="T66" s="585"/>
      <c r="U66" s="585"/>
      <c r="V66" s="571"/>
      <c r="W66" s="571"/>
    </row>
    <row r="67" spans="1:23">
      <c r="A67" s="580"/>
      <c r="B67" s="571"/>
      <c r="C67" s="571"/>
      <c r="D67" s="581"/>
      <c r="E67" s="581"/>
      <c r="F67" s="581"/>
      <c r="G67" s="581"/>
      <c r="H67" s="581"/>
      <c r="I67" s="581"/>
      <c r="J67" s="582"/>
      <c r="K67" s="582"/>
      <c r="L67" s="583"/>
      <c r="M67" s="583"/>
      <c r="N67" s="584"/>
      <c r="O67" s="584"/>
      <c r="P67" s="584"/>
      <c r="Q67" s="584"/>
      <c r="R67" s="584"/>
      <c r="S67" s="584"/>
      <c r="T67" s="585"/>
      <c r="U67" s="585"/>
      <c r="V67" s="571"/>
      <c r="W67" s="571"/>
    </row>
    <row r="68" spans="1:23">
      <c r="A68" s="580"/>
      <c r="B68" s="571"/>
      <c r="C68" s="571"/>
      <c r="D68" s="581"/>
      <c r="E68" s="581"/>
      <c r="F68" s="581"/>
      <c r="G68" s="581"/>
      <c r="H68" s="581"/>
      <c r="I68" s="581"/>
      <c r="J68" s="582"/>
      <c r="K68" s="582"/>
      <c r="L68" s="583"/>
      <c r="M68" s="583"/>
      <c r="N68" s="584"/>
      <c r="O68" s="584"/>
      <c r="P68" s="584"/>
      <c r="Q68" s="584"/>
      <c r="R68" s="584"/>
      <c r="S68" s="584"/>
      <c r="T68" s="585"/>
      <c r="U68" s="585"/>
      <c r="V68" s="571"/>
      <c r="W68" s="571"/>
    </row>
    <row r="69" spans="1:23">
      <c r="A69" s="580"/>
      <c r="B69" s="571"/>
      <c r="C69" s="571"/>
      <c r="D69" s="581"/>
      <c r="E69" s="581"/>
      <c r="F69" s="581"/>
      <c r="G69" s="581"/>
      <c r="H69" s="581"/>
      <c r="I69" s="581"/>
      <c r="J69" s="582"/>
      <c r="K69" s="582"/>
      <c r="L69" s="583"/>
      <c r="M69" s="583"/>
      <c r="N69" s="584"/>
      <c r="O69" s="584"/>
      <c r="P69" s="584"/>
      <c r="Q69" s="584"/>
      <c r="R69" s="584"/>
      <c r="S69" s="584"/>
      <c r="T69" s="585"/>
      <c r="U69" s="585"/>
      <c r="V69" s="571"/>
      <c r="W69" s="571"/>
    </row>
    <row r="70" spans="1:23">
      <c r="A70" s="580"/>
      <c r="B70" s="571"/>
      <c r="C70" s="571"/>
      <c r="D70" s="581"/>
      <c r="E70" s="581"/>
      <c r="F70" s="581"/>
      <c r="G70" s="581"/>
      <c r="H70" s="581"/>
      <c r="I70" s="581"/>
      <c r="J70" s="582"/>
      <c r="K70" s="582"/>
      <c r="L70" s="583"/>
      <c r="M70" s="583"/>
      <c r="N70" s="584"/>
      <c r="O70" s="584"/>
      <c r="P70" s="584"/>
      <c r="Q70" s="584"/>
      <c r="R70" s="584"/>
      <c r="S70" s="584"/>
      <c r="T70" s="585"/>
      <c r="U70" s="585"/>
      <c r="V70" s="571"/>
      <c r="W70" s="571"/>
    </row>
    <row r="71" spans="1:23">
      <c r="A71" s="580"/>
      <c r="B71" s="571"/>
      <c r="C71" s="571"/>
      <c r="D71" s="581"/>
      <c r="E71" s="581"/>
      <c r="F71" s="581"/>
      <c r="G71" s="581"/>
      <c r="H71" s="581"/>
      <c r="I71" s="581"/>
      <c r="J71" s="582"/>
      <c r="K71" s="582"/>
      <c r="L71" s="583"/>
      <c r="M71" s="583"/>
      <c r="N71" s="584"/>
      <c r="O71" s="584"/>
      <c r="P71" s="584"/>
      <c r="Q71" s="584"/>
      <c r="R71" s="584"/>
      <c r="S71" s="584"/>
      <c r="T71" s="585"/>
      <c r="U71" s="585"/>
      <c r="V71" s="571"/>
      <c r="W71" s="571"/>
    </row>
    <row r="72" spans="1:23">
      <c r="A72" s="580"/>
      <c r="B72" s="571"/>
      <c r="C72" s="571"/>
      <c r="D72" s="581"/>
      <c r="E72" s="581"/>
      <c r="F72" s="581"/>
      <c r="G72" s="581"/>
      <c r="H72" s="581"/>
      <c r="I72" s="581"/>
      <c r="J72" s="582"/>
      <c r="K72" s="582"/>
      <c r="L72" s="583"/>
      <c r="M72" s="583"/>
      <c r="N72" s="584"/>
      <c r="O72" s="584"/>
      <c r="P72" s="584"/>
      <c r="Q72" s="584"/>
      <c r="R72" s="584"/>
      <c r="S72" s="584"/>
      <c r="T72" s="585"/>
      <c r="U72" s="585"/>
      <c r="V72" s="571"/>
      <c r="W72" s="571"/>
    </row>
    <row r="73" spans="1:23">
      <c r="A73" s="580"/>
      <c r="B73" s="571"/>
      <c r="C73" s="571"/>
      <c r="D73" s="581"/>
      <c r="E73" s="581"/>
      <c r="F73" s="581"/>
      <c r="G73" s="581"/>
      <c r="H73" s="581"/>
      <c r="I73" s="581"/>
      <c r="J73" s="582"/>
      <c r="K73" s="582"/>
      <c r="L73" s="583"/>
      <c r="M73" s="583"/>
      <c r="N73" s="584"/>
      <c r="O73" s="584"/>
      <c r="P73" s="584"/>
      <c r="Q73" s="584"/>
      <c r="R73" s="584"/>
      <c r="S73" s="584"/>
      <c r="T73" s="585"/>
      <c r="U73" s="585"/>
      <c r="V73" s="571"/>
      <c r="W73" s="571"/>
    </row>
    <row r="74" spans="1:23">
      <c r="A74" s="580"/>
      <c r="B74" s="571"/>
      <c r="C74" s="571"/>
      <c r="D74" s="581"/>
      <c r="E74" s="581"/>
      <c r="F74" s="581"/>
      <c r="G74" s="581"/>
      <c r="H74" s="581"/>
      <c r="I74" s="581"/>
      <c r="J74" s="582"/>
      <c r="K74" s="582"/>
      <c r="L74" s="583"/>
      <c r="M74" s="583"/>
      <c r="N74" s="584"/>
      <c r="O74" s="584"/>
      <c r="P74" s="584"/>
      <c r="Q74" s="584"/>
      <c r="R74" s="584"/>
      <c r="S74" s="584"/>
      <c r="T74" s="585"/>
      <c r="U74" s="585"/>
      <c r="V74" s="571"/>
      <c r="W74" s="571"/>
    </row>
    <row r="75" spans="1:23">
      <c r="A75" s="580"/>
      <c r="B75" s="571"/>
      <c r="C75" s="571"/>
      <c r="D75" s="581"/>
      <c r="E75" s="581"/>
      <c r="F75" s="581"/>
      <c r="G75" s="581"/>
      <c r="H75" s="581"/>
      <c r="I75" s="581"/>
      <c r="J75" s="582"/>
      <c r="K75" s="582"/>
      <c r="L75" s="583"/>
      <c r="M75" s="583"/>
      <c r="N75" s="584"/>
      <c r="O75" s="584"/>
      <c r="P75" s="584"/>
      <c r="Q75" s="584"/>
      <c r="R75" s="584"/>
      <c r="S75" s="584"/>
      <c r="T75" s="585"/>
      <c r="U75" s="585"/>
      <c r="V75" s="571"/>
      <c r="W75" s="571"/>
    </row>
    <row r="76" spans="1:23">
      <c r="A76" s="580"/>
      <c r="B76" s="571"/>
      <c r="C76" s="571"/>
      <c r="D76" s="581"/>
      <c r="E76" s="581"/>
      <c r="F76" s="581"/>
      <c r="G76" s="581"/>
      <c r="H76" s="581"/>
      <c r="I76" s="581"/>
      <c r="J76" s="582"/>
      <c r="K76" s="582"/>
      <c r="L76" s="583"/>
      <c r="M76" s="583"/>
      <c r="N76" s="584"/>
      <c r="O76" s="584"/>
      <c r="P76" s="584"/>
      <c r="Q76" s="584"/>
      <c r="R76" s="584"/>
      <c r="S76" s="584"/>
      <c r="T76" s="585"/>
      <c r="U76" s="585"/>
      <c r="V76" s="571"/>
      <c r="W76" s="571"/>
    </row>
    <row r="77" spans="1:23">
      <c r="A77" s="580"/>
      <c r="B77" s="571"/>
      <c r="C77" s="571"/>
      <c r="D77" s="581"/>
      <c r="E77" s="581"/>
      <c r="F77" s="581"/>
      <c r="G77" s="581"/>
      <c r="H77" s="581"/>
      <c r="I77" s="581"/>
      <c r="J77" s="582"/>
      <c r="K77" s="582"/>
      <c r="L77" s="583"/>
      <c r="M77" s="583"/>
      <c r="N77" s="584"/>
      <c r="O77" s="584"/>
      <c r="P77" s="584"/>
      <c r="Q77" s="584"/>
      <c r="R77" s="584"/>
      <c r="S77" s="584"/>
      <c r="T77" s="585"/>
      <c r="U77" s="585"/>
      <c r="V77" s="571"/>
      <c r="W77" s="571"/>
    </row>
    <row r="78" spans="1:23">
      <c r="A78" s="580"/>
      <c r="B78" s="571"/>
      <c r="C78" s="571"/>
      <c r="D78" s="581"/>
      <c r="E78" s="581"/>
      <c r="F78" s="581"/>
      <c r="G78" s="581"/>
      <c r="H78" s="581"/>
      <c r="I78" s="581"/>
      <c r="J78" s="582"/>
      <c r="K78" s="582"/>
      <c r="L78" s="583"/>
      <c r="M78" s="583"/>
      <c r="N78" s="584"/>
      <c r="O78" s="584"/>
      <c r="P78" s="584"/>
      <c r="Q78" s="584"/>
      <c r="R78" s="584"/>
      <c r="S78" s="584"/>
      <c r="T78" s="585"/>
      <c r="U78" s="585"/>
      <c r="V78" s="571"/>
      <c r="W78" s="571"/>
    </row>
    <row r="79" spans="1:23">
      <c r="A79" s="580"/>
      <c r="B79" s="571"/>
      <c r="C79" s="571"/>
      <c r="D79" s="581"/>
      <c r="E79" s="581"/>
      <c r="F79" s="581"/>
      <c r="G79" s="581"/>
      <c r="H79" s="581"/>
      <c r="I79" s="581"/>
      <c r="J79" s="582"/>
      <c r="K79" s="582"/>
      <c r="L79" s="583"/>
      <c r="M79" s="583"/>
      <c r="N79" s="584"/>
      <c r="O79" s="584"/>
      <c r="P79" s="584"/>
      <c r="Q79" s="584"/>
      <c r="R79" s="584"/>
      <c r="S79" s="584"/>
      <c r="T79" s="585"/>
      <c r="U79" s="585"/>
      <c r="V79" s="571"/>
      <c r="W79" s="571"/>
    </row>
    <row r="80" spans="1:23">
      <c r="A80" s="571"/>
      <c r="B80" s="571"/>
      <c r="C80" s="571"/>
      <c r="D80" s="571"/>
      <c r="E80" s="571"/>
      <c r="F80" s="571"/>
      <c r="G80" s="571"/>
      <c r="H80" s="571"/>
      <c r="I80" s="571"/>
      <c r="J80" s="571"/>
      <c r="K80" s="571"/>
      <c r="L80" s="571"/>
      <c r="M80" s="571"/>
      <c r="N80" s="571"/>
      <c r="O80" s="571"/>
      <c r="P80" s="571"/>
      <c r="Q80" s="571"/>
      <c r="R80" s="571"/>
      <c r="S80" s="571"/>
      <c r="T80" s="571"/>
      <c r="U80" s="571"/>
      <c r="V80" s="571"/>
      <c r="W80" s="571"/>
    </row>
    <row r="81" spans="1:23">
      <c r="A81" s="571"/>
      <c r="B81" s="571"/>
      <c r="C81" s="571"/>
      <c r="D81" s="571"/>
      <c r="E81" s="571"/>
      <c r="F81" s="571"/>
      <c r="G81" s="571"/>
      <c r="H81" s="571"/>
      <c r="I81" s="571"/>
      <c r="J81" s="571"/>
      <c r="K81" s="571"/>
      <c r="L81" s="571"/>
      <c r="M81" s="571"/>
      <c r="N81" s="571"/>
      <c r="O81" s="571"/>
      <c r="P81" s="571"/>
      <c r="Q81" s="571"/>
      <c r="R81" s="571"/>
      <c r="S81" s="571"/>
      <c r="T81" s="571"/>
      <c r="U81" s="571"/>
      <c r="V81" s="571"/>
      <c r="W81" s="571"/>
    </row>
    <row r="82" spans="1:23">
      <c r="A82" s="571"/>
      <c r="B82" s="586"/>
      <c r="C82" s="586"/>
      <c r="D82" s="572"/>
      <c r="E82" s="572"/>
      <c r="F82" s="572"/>
      <c r="G82" s="572"/>
      <c r="H82" s="572"/>
      <c r="I82" s="572"/>
      <c r="J82" s="585"/>
      <c r="K82" s="585"/>
      <c r="L82" s="585"/>
      <c r="M82" s="585"/>
      <c r="N82" s="573"/>
      <c r="O82" s="573"/>
      <c r="P82" s="573"/>
      <c r="Q82" s="573"/>
      <c r="R82" s="573"/>
      <c r="S82" s="573"/>
      <c r="T82" s="576"/>
      <c r="U82" s="576"/>
      <c r="V82" s="571"/>
      <c r="W82" s="571"/>
    </row>
    <row r="83" spans="1:23">
      <c r="A83" s="571"/>
      <c r="B83" s="580"/>
      <c r="C83" s="577"/>
      <c r="D83" s="587"/>
      <c r="E83" s="587"/>
      <c r="F83" s="587"/>
      <c r="G83" s="587"/>
      <c r="H83" s="587"/>
      <c r="I83" s="587"/>
      <c r="J83" s="585"/>
      <c r="K83" s="585"/>
      <c r="L83" s="585"/>
      <c r="M83" s="585"/>
      <c r="N83" s="588"/>
      <c r="O83" s="588"/>
      <c r="P83" s="588"/>
      <c r="Q83" s="588"/>
      <c r="R83" s="588"/>
      <c r="S83" s="588"/>
      <c r="T83" s="576"/>
      <c r="U83" s="576"/>
      <c r="V83" s="571"/>
      <c r="W83" s="571"/>
    </row>
    <row r="84" spans="1:23">
      <c r="A84" s="580"/>
      <c r="B84" s="585"/>
      <c r="C84" s="571"/>
      <c r="D84" s="581"/>
      <c r="E84" s="581"/>
      <c r="F84" s="581"/>
      <c r="G84" s="581"/>
      <c r="H84" s="581"/>
      <c r="I84" s="585"/>
      <c r="J84" s="585"/>
      <c r="K84" s="585"/>
      <c r="L84" s="585"/>
      <c r="M84" s="585"/>
      <c r="N84" s="589"/>
      <c r="O84" s="589"/>
      <c r="P84" s="589"/>
      <c r="Q84" s="589"/>
      <c r="R84" s="584"/>
      <c r="S84" s="584"/>
      <c r="T84" s="576"/>
      <c r="U84" s="576"/>
      <c r="V84" s="571"/>
      <c r="W84" s="571"/>
    </row>
    <row r="85" spans="1:23">
      <c r="A85" s="580"/>
      <c r="B85" s="585"/>
      <c r="C85" s="571"/>
      <c r="D85" s="581"/>
      <c r="E85" s="581"/>
      <c r="F85" s="581"/>
      <c r="G85" s="581"/>
      <c r="H85" s="581"/>
      <c r="I85" s="585"/>
      <c r="J85" s="585"/>
      <c r="K85" s="585"/>
      <c r="L85" s="585"/>
      <c r="M85" s="585"/>
      <c r="N85" s="589"/>
      <c r="O85" s="589"/>
      <c r="P85" s="589"/>
      <c r="Q85" s="589"/>
      <c r="R85" s="584"/>
      <c r="S85" s="584"/>
      <c r="T85" s="585"/>
      <c r="U85" s="585"/>
      <c r="V85" s="571"/>
      <c r="W85" s="571"/>
    </row>
    <row r="86" spans="1:23">
      <c r="A86" s="580"/>
      <c r="B86" s="585"/>
      <c r="C86" s="571"/>
      <c r="D86" s="581"/>
      <c r="E86" s="581"/>
      <c r="F86" s="581"/>
      <c r="G86" s="581"/>
      <c r="H86" s="581"/>
      <c r="I86" s="585"/>
      <c r="J86" s="585"/>
      <c r="K86" s="585"/>
      <c r="L86" s="585"/>
      <c r="M86" s="585"/>
      <c r="N86" s="589"/>
      <c r="O86" s="589"/>
      <c r="P86" s="589"/>
      <c r="Q86" s="589"/>
      <c r="R86" s="584"/>
      <c r="S86" s="584"/>
      <c r="T86" s="585"/>
      <c r="U86" s="585"/>
      <c r="V86" s="571"/>
      <c r="W86" s="571"/>
    </row>
    <row r="87" spans="1:23">
      <c r="A87" s="580"/>
      <c r="B87" s="585"/>
      <c r="C87" s="571"/>
      <c r="D87" s="581"/>
      <c r="E87" s="581"/>
      <c r="F87" s="581"/>
      <c r="G87" s="581"/>
      <c r="H87" s="581"/>
      <c r="I87" s="585"/>
      <c r="J87" s="585"/>
      <c r="K87" s="585"/>
      <c r="L87" s="585"/>
      <c r="M87" s="585"/>
      <c r="N87" s="589"/>
      <c r="O87" s="589"/>
      <c r="P87" s="589"/>
      <c r="Q87" s="589"/>
      <c r="R87" s="584"/>
      <c r="S87" s="584"/>
      <c r="T87" s="585"/>
      <c r="U87" s="585"/>
      <c r="V87" s="571"/>
      <c r="W87" s="571"/>
    </row>
    <row r="88" spans="1:23">
      <c r="A88" s="580"/>
      <c r="B88" s="585"/>
      <c r="C88" s="571"/>
      <c r="D88" s="581"/>
      <c r="E88" s="581"/>
      <c r="F88" s="581"/>
      <c r="G88" s="581"/>
      <c r="H88" s="581"/>
      <c r="I88" s="585"/>
      <c r="J88" s="585"/>
      <c r="K88" s="585"/>
      <c r="L88" s="585"/>
      <c r="M88" s="585"/>
      <c r="N88" s="589"/>
      <c r="O88" s="589"/>
      <c r="P88" s="589"/>
      <c r="Q88" s="589"/>
      <c r="R88" s="584"/>
      <c r="S88" s="584"/>
      <c r="T88" s="585"/>
      <c r="U88" s="585"/>
      <c r="V88" s="571"/>
      <c r="W88" s="571"/>
    </row>
    <row r="89" spans="1:23">
      <c r="A89" s="580"/>
      <c r="B89" s="585"/>
      <c r="C89" s="571"/>
      <c r="D89" s="581"/>
      <c r="E89" s="581"/>
      <c r="F89" s="581"/>
      <c r="G89" s="581"/>
      <c r="H89" s="581"/>
      <c r="I89" s="585"/>
      <c r="J89" s="585"/>
      <c r="K89" s="585"/>
      <c r="L89" s="585"/>
      <c r="M89" s="585"/>
      <c r="N89" s="589"/>
      <c r="O89" s="589"/>
      <c r="P89" s="589"/>
      <c r="Q89" s="589"/>
      <c r="R89" s="584"/>
      <c r="S89" s="584"/>
      <c r="T89" s="585"/>
      <c r="U89" s="585"/>
      <c r="V89" s="571"/>
      <c r="W89" s="571"/>
    </row>
    <row r="90" spans="1:23">
      <c r="A90" s="580"/>
      <c r="B90" s="585"/>
      <c r="C90" s="571"/>
      <c r="D90" s="581"/>
      <c r="E90" s="581"/>
      <c r="F90" s="581"/>
      <c r="G90" s="581"/>
      <c r="H90" s="581"/>
      <c r="I90" s="585"/>
      <c r="J90" s="585"/>
      <c r="K90" s="585"/>
      <c r="L90" s="585"/>
      <c r="M90" s="585"/>
      <c r="N90" s="589"/>
      <c r="O90" s="589"/>
      <c r="P90" s="589"/>
      <c r="Q90" s="589"/>
      <c r="R90" s="584"/>
      <c r="S90" s="584"/>
      <c r="T90" s="585"/>
      <c r="U90" s="585"/>
      <c r="V90" s="571"/>
      <c r="W90" s="571"/>
    </row>
    <row r="91" spans="1:23">
      <c r="A91" s="580"/>
      <c r="B91" s="585"/>
      <c r="C91" s="571"/>
      <c r="D91" s="581"/>
      <c r="E91" s="581"/>
      <c r="F91" s="581"/>
      <c r="G91" s="581"/>
      <c r="H91" s="581"/>
      <c r="I91" s="585"/>
      <c r="J91" s="585"/>
      <c r="K91" s="585"/>
      <c r="L91" s="585"/>
      <c r="M91" s="585"/>
      <c r="N91" s="589"/>
      <c r="O91" s="589"/>
      <c r="P91" s="589"/>
      <c r="Q91" s="589"/>
      <c r="R91" s="584"/>
      <c r="S91" s="584"/>
      <c r="T91" s="585"/>
      <c r="U91" s="585"/>
      <c r="V91" s="571"/>
      <c r="W91" s="571"/>
    </row>
    <row r="92" spans="1:23">
      <c r="A92" s="580"/>
      <c r="B92" s="585"/>
      <c r="C92" s="571"/>
      <c r="D92" s="581"/>
      <c r="E92" s="581"/>
      <c r="F92" s="581"/>
      <c r="G92" s="581"/>
      <c r="H92" s="581"/>
      <c r="I92" s="585"/>
      <c r="J92" s="585"/>
      <c r="K92" s="585"/>
      <c r="L92" s="585"/>
      <c r="M92" s="585"/>
      <c r="N92" s="589"/>
      <c r="O92" s="589"/>
      <c r="P92" s="589"/>
      <c r="Q92" s="589"/>
      <c r="R92" s="584"/>
      <c r="S92" s="584"/>
      <c r="T92" s="585"/>
      <c r="U92" s="585"/>
      <c r="V92" s="571"/>
      <c r="W92" s="571"/>
    </row>
    <row r="93" spans="1:23">
      <c r="A93" s="580"/>
      <c r="B93" s="585"/>
      <c r="C93" s="571"/>
      <c r="D93" s="581"/>
      <c r="E93" s="581"/>
      <c r="F93" s="581"/>
      <c r="G93" s="581"/>
      <c r="H93" s="581"/>
      <c r="I93" s="585"/>
      <c r="J93" s="585"/>
      <c r="K93" s="585"/>
      <c r="L93" s="585"/>
      <c r="M93" s="585"/>
      <c r="N93" s="589"/>
      <c r="O93" s="589"/>
      <c r="P93" s="589"/>
      <c r="Q93" s="589"/>
      <c r="R93" s="584"/>
      <c r="S93" s="584"/>
      <c r="T93" s="585"/>
      <c r="U93" s="585"/>
      <c r="V93" s="571"/>
      <c r="W93" s="571"/>
    </row>
    <row r="94" spans="1:23">
      <c r="A94" s="580"/>
      <c r="B94" s="585"/>
      <c r="C94" s="571"/>
      <c r="D94" s="581"/>
      <c r="E94" s="581"/>
      <c r="F94" s="581"/>
      <c r="G94" s="581"/>
      <c r="H94" s="581"/>
      <c r="I94" s="585"/>
      <c r="J94" s="585"/>
      <c r="K94" s="585"/>
      <c r="L94" s="585"/>
      <c r="M94" s="585"/>
      <c r="N94" s="589"/>
      <c r="O94" s="589"/>
      <c r="P94" s="589"/>
      <c r="Q94" s="589"/>
      <c r="R94" s="584"/>
      <c r="S94" s="584"/>
      <c r="T94" s="585"/>
      <c r="U94" s="585"/>
      <c r="V94" s="571"/>
      <c r="W94" s="571"/>
    </row>
    <row r="95" spans="1:23">
      <c r="A95" s="580"/>
      <c r="B95" s="585"/>
      <c r="C95" s="571"/>
      <c r="D95" s="581"/>
      <c r="E95" s="581"/>
      <c r="F95" s="581"/>
      <c r="G95" s="581"/>
      <c r="H95" s="581"/>
      <c r="I95" s="585"/>
      <c r="J95" s="585"/>
      <c r="K95" s="585"/>
      <c r="L95" s="585"/>
      <c r="M95" s="585"/>
      <c r="N95" s="589"/>
      <c r="O95" s="589"/>
      <c r="P95" s="589"/>
      <c r="Q95" s="589"/>
      <c r="R95" s="584"/>
      <c r="S95" s="584"/>
      <c r="T95" s="585"/>
      <c r="U95" s="585"/>
      <c r="V95" s="571"/>
      <c r="W95" s="571"/>
    </row>
    <row r="96" spans="1:23">
      <c r="A96" s="580"/>
      <c r="B96" s="585"/>
      <c r="C96" s="571"/>
      <c r="D96" s="581"/>
      <c r="E96" s="581"/>
      <c r="F96" s="581"/>
      <c r="G96" s="581"/>
      <c r="H96" s="581"/>
      <c r="I96" s="585"/>
      <c r="J96" s="585"/>
      <c r="K96" s="585"/>
      <c r="L96" s="585"/>
      <c r="M96" s="585"/>
      <c r="N96" s="589"/>
      <c r="O96" s="589"/>
      <c r="P96" s="589"/>
      <c r="Q96" s="589"/>
      <c r="R96" s="584"/>
      <c r="S96" s="584"/>
      <c r="T96" s="585"/>
      <c r="U96" s="585"/>
      <c r="V96" s="571"/>
      <c r="W96" s="571"/>
    </row>
    <row r="97" spans="1:23">
      <c r="A97" s="580"/>
      <c r="B97" s="585"/>
      <c r="C97" s="571"/>
      <c r="D97" s="581"/>
      <c r="E97" s="581"/>
      <c r="F97" s="581"/>
      <c r="G97" s="581"/>
      <c r="H97" s="581"/>
      <c r="I97" s="585"/>
      <c r="J97" s="585"/>
      <c r="K97" s="585"/>
      <c r="L97" s="585"/>
      <c r="M97" s="585"/>
      <c r="N97" s="589"/>
      <c r="O97" s="589"/>
      <c r="P97" s="589"/>
      <c r="Q97" s="589"/>
      <c r="R97" s="584"/>
      <c r="S97" s="584"/>
      <c r="T97" s="571"/>
      <c r="U97" s="571"/>
      <c r="V97" s="571"/>
      <c r="W97" s="571"/>
    </row>
    <row r="98" spans="1:23">
      <c r="A98" s="571"/>
      <c r="B98" s="571"/>
      <c r="C98" s="590"/>
      <c r="D98" s="571"/>
      <c r="E98" s="571"/>
      <c r="F98" s="571"/>
      <c r="G98" s="571"/>
      <c r="H98" s="571"/>
      <c r="I98" s="571"/>
      <c r="J98" s="571"/>
      <c r="K98" s="571"/>
      <c r="L98" s="571"/>
      <c r="M98" s="571"/>
      <c r="N98" s="591"/>
      <c r="O98" s="591"/>
      <c r="P98" s="591"/>
      <c r="Q98" s="591"/>
      <c r="R98" s="571"/>
      <c r="S98" s="571"/>
      <c r="T98" s="571"/>
      <c r="U98" s="571"/>
      <c r="V98" s="571"/>
      <c r="W98" s="571"/>
    </row>
    <row r="99" spans="1:23">
      <c r="A99" s="571"/>
      <c r="B99" s="592"/>
      <c r="C99" s="571"/>
      <c r="D99" s="571"/>
      <c r="E99" s="571"/>
      <c r="F99" s="571"/>
      <c r="G99" s="571"/>
      <c r="H99" s="571"/>
      <c r="I99" s="571"/>
      <c r="J99" s="571"/>
      <c r="K99" s="571"/>
      <c r="L99" s="571"/>
      <c r="M99" s="571"/>
      <c r="N99" s="571"/>
      <c r="O99" s="571"/>
      <c r="P99" s="571"/>
      <c r="Q99" s="571"/>
      <c r="R99" s="571"/>
      <c r="S99" s="571"/>
      <c r="T99" s="571"/>
      <c r="U99" s="571"/>
      <c r="V99" s="571"/>
      <c r="W99" s="571"/>
    </row>
    <row r="100" spans="1:23">
      <c r="A100" s="571"/>
      <c r="B100" s="571"/>
      <c r="C100" s="571"/>
      <c r="D100" s="571"/>
      <c r="E100" s="571"/>
      <c r="F100" s="571"/>
      <c r="G100" s="571"/>
      <c r="H100" s="571"/>
      <c r="I100" s="571"/>
      <c r="J100" s="571"/>
      <c r="K100" s="571"/>
      <c r="L100" s="571"/>
      <c r="M100" s="571"/>
      <c r="N100" s="571"/>
      <c r="O100" s="571"/>
      <c r="P100" s="571"/>
      <c r="Q100" s="571"/>
      <c r="R100" s="571"/>
      <c r="S100" s="571"/>
      <c r="T100" s="571"/>
      <c r="U100" s="571"/>
      <c r="V100" s="571"/>
      <c r="W100" s="571"/>
    </row>
    <row r="101" spans="1:23">
      <c r="A101" s="571"/>
      <c r="B101" s="571"/>
      <c r="C101" s="571"/>
      <c r="D101" s="571"/>
      <c r="E101" s="571"/>
      <c r="F101" s="571"/>
      <c r="G101" s="571"/>
      <c r="H101" s="571"/>
      <c r="I101" s="571"/>
      <c r="J101" s="571"/>
      <c r="K101" s="571"/>
      <c r="L101" s="571"/>
      <c r="M101" s="571"/>
      <c r="N101" s="571"/>
      <c r="O101" s="571"/>
      <c r="P101" s="571"/>
      <c r="Q101" s="571"/>
      <c r="R101" s="571"/>
      <c r="S101" s="571"/>
      <c r="T101" s="571"/>
      <c r="U101" s="571"/>
      <c r="V101" s="571"/>
      <c r="W101" s="571"/>
    </row>
    <row r="102" spans="1:23">
      <c r="A102" s="571"/>
      <c r="B102" s="571"/>
      <c r="C102" s="571"/>
      <c r="D102" s="571"/>
      <c r="E102" s="571"/>
      <c r="F102" s="571"/>
      <c r="G102" s="571"/>
      <c r="H102" s="571"/>
      <c r="I102" s="571"/>
      <c r="J102" s="571"/>
      <c r="K102" s="571"/>
      <c r="L102" s="571"/>
      <c r="M102" s="571"/>
      <c r="N102" s="571"/>
      <c r="O102" s="571"/>
      <c r="P102" s="571"/>
      <c r="Q102" s="571"/>
      <c r="R102" s="571"/>
      <c r="S102" s="571"/>
      <c r="T102" s="571"/>
      <c r="U102" s="571"/>
      <c r="V102" s="571"/>
      <c r="W102" s="571"/>
    </row>
    <row r="103" spans="1:23">
      <c r="A103" s="571"/>
      <c r="B103" s="571"/>
      <c r="C103" s="571"/>
      <c r="D103" s="571"/>
      <c r="E103" s="571"/>
      <c r="F103" s="571"/>
      <c r="G103" s="571"/>
      <c r="H103" s="571"/>
      <c r="I103" s="571"/>
      <c r="J103" s="571"/>
      <c r="K103" s="571"/>
      <c r="L103" s="571"/>
      <c r="M103" s="571"/>
      <c r="N103" s="571"/>
      <c r="O103" s="571"/>
      <c r="P103" s="571"/>
      <c r="Q103" s="571"/>
      <c r="R103" s="571"/>
      <c r="S103" s="571"/>
      <c r="T103" s="571"/>
      <c r="U103" s="571"/>
      <c r="V103" s="571"/>
      <c r="W103" s="571"/>
    </row>
    <row r="104" spans="1:23">
      <c r="A104" s="571"/>
      <c r="B104" s="571"/>
      <c r="C104" s="571"/>
      <c r="D104" s="571"/>
      <c r="E104" s="571"/>
      <c r="F104" s="571"/>
      <c r="G104" s="571"/>
      <c r="H104" s="571"/>
      <c r="I104" s="571"/>
      <c r="J104" s="571"/>
      <c r="K104" s="571"/>
      <c r="L104" s="571"/>
      <c r="M104" s="571"/>
      <c r="N104" s="571"/>
      <c r="O104" s="571"/>
      <c r="P104" s="571"/>
      <c r="Q104" s="571"/>
      <c r="R104" s="571"/>
      <c r="S104" s="571"/>
      <c r="T104" s="571"/>
      <c r="U104" s="571"/>
      <c r="V104" s="571"/>
      <c r="W104" s="571"/>
    </row>
    <row r="105" spans="1:23">
      <c r="A105" s="571"/>
      <c r="B105" s="571"/>
      <c r="C105" s="571"/>
      <c r="D105" s="571"/>
      <c r="E105" s="571"/>
      <c r="F105" s="571"/>
      <c r="G105" s="571"/>
      <c r="H105" s="571"/>
      <c r="I105" s="571"/>
      <c r="J105" s="571"/>
      <c r="K105" s="571"/>
      <c r="L105" s="571"/>
      <c r="M105" s="571"/>
      <c r="N105" s="571"/>
      <c r="O105" s="571"/>
      <c r="P105" s="571"/>
      <c r="Q105" s="571"/>
      <c r="R105" s="571"/>
      <c r="S105" s="571"/>
      <c r="T105" s="571"/>
      <c r="U105" s="571"/>
      <c r="V105" s="571"/>
      <c r="W105" s="571"/>
    </row>
    <row r="106" spans="1:23">
      <c r="A106" s="571"/>
      <c r="B106" s="571"/>
      <c r="C106" s="571"/>
      <c r="D106" s="571"/>
      <c r="E106" s="571"/>
      <c r="F106" s="571"/>
      <c r="G106" s="571"/>
      <c r="H106" s="571"/>
      <c r="I106" s="571"/>
      <c r="J106" s="571"/>
      <c r="K106" s="571"/>
      <c r="L106" s="571"/>
      <c r="M106" s="571"/>
      <c r="N106" s="571"/>
      <c r="O106" s="571"/>
      <c r="P106" s="571"/>
      <c r="Q106" s="571"/>
      <c r="R106" s="571"/>
      <c r="S106" s="571"/>
      <c r="T106" s="571"/>
      <c r="U106" s="571"/>
      <c r="V106" s="571"/>
      <c r="W106" s="571"/>
    </row>
    <row r="107" spans="1:23">
      <c r="A107" s="571"/>
      <c r="B107" s="571"/>
      <c r="C107" s="571"/>
      <c r="D107" s="571"/>
      <c r="E107" s="571"/>
      <c r="F107" s="571"/>
      <c r="G107" s="571"/>
      <c r="H107" s="571"/>
      <c r="I107" s="571"/>
      <c r="J107" s="571"/>
      <c r="K107" s="571"/>
      <c r="L107" s="571"/>
      <c r="M107" s="571"/>
      <c r="N107" s="571"/>
      <c r="O107" s="571"/>
      <c r="P107" s="571"/>
      <c r="Q107" s="571"/>
      <c r="R107" s="571"/>
      <c r="S107" s="571"/>
      <c r="T107" s="571"/>
      <c r="U107" s="571"/>
      <c r="V107" s="571"/>
      <c r="W107" s="571"/>
    </row>
  </sheetData>
  <sheetProtection password="B8D9" sheet="1" objects="1" scenarios="1"/>
  <mergeCells count="4">
    <mergeCell ref="B1:I1"/>
    <mergeCell ref="J1:N3"/>
    <mergeCell ref="B3:I5"/>
    <mergeCell ref="J5:N5"/>
  </mergeCells>
  <hyperlinks>
    <hyperlink ref="O2:P3" location="'List of Tables &amp; Charts'!A1" display="return to List of Tables &amp; Charts"/>
    <hyperlink ref="J1:N3" location="'List of Tables &amp; Charts'!A1" display="return to List of Tables &amp; Charts"/>
    <hyperlink ref="J5:N5" location="'Chart 14a (2016) DATA'!A1" display="view Chart 14a data"/>
  </hyperlinks>
  <pageMargins left="0.70866141732283472" right="0.70866141732283472" top="0.74803149606299213" bottom="0.74803149606299213" header="0.31496062992125984" footer="0.31496062992125984"/>
  <pageSetup paperSize="9" scale="87" orientation="landscape" r:id="rId1"/>
  <headerFooter>
    <oddFooter>&amp;L&amp;8Scottish Stroke Care Audit 2017 National Report
Stroke Services in Scottish Hospitals, Data relating to 2016&amp;R&amp;8© NHS National Services Scotland/Crown Copyright</oddFooter>
  </headerFooter>
  <rowBreaks count="1" manualBreakCount="1">
    <brk id="44" max="16383" man="1"/>
  </rowBreaks>
  <drawing r:id="rId2"/>
</worksheet>
</file>

<file path=xl/worksheets/sheet59.xml><?xml version="1.0" encoding="utf-8"?>
<worksheet xmlns="http://schemas.openxmlformats.org/spreadsheetml/2006/main" xmlns:r="http://schemas.openxmlformats.org/officeDocument/2006/relationships">
  <sheetPr codeName="Sheet66">
    <pageSetUpPr fitToPage="1"/>
  </sheetPr>
  <dimension ref="A1:V59"/>
  <sheetViews>
    <sheetView workbookViewId="0">
      <selection sqref="A1:B1"/>
    </sheetView>
  </sheetViews>
  <sheetFormatPr defaultRowHeight="12.75"/>
  <cols>
    <col min="1" max="1" width="16.7109375" style="210" customWidth="1"/>
    <col min="2" max="2" width="45.7109375" style="210" customWidth="1"/>
    <col min="3" max="3" width="6.7109375" style="359" customWidth="1"/>
    <col min="4" max="4" width="10.7109375" style="359" customWidth="1"/>
    <col min="5" max="5" width="6.7109375" style="359" customWidth="1"/>
    <col min="6" max="6" width="10.7109375" style="359" customWidth="1"/>
    <col min="7" max="7" width="6.7109375" style="359" customWidth="1"/>
    <col min="8" max="8" width="10.7109375" style="359" customWidth="1"/>
    <col min="9" max="12" width="1.7109375" style="359" customWidth="1"/>
    <col min="13" max="13" width="9.28515625" style="210" customWidth="1"/>
    <col min="14" max="14" width="11.28515625" style="210" customWidth="1"/>
    <col min="15" max="15" width="9.28515625" style="210" customWidth="1"/>
    <col min="16" max="16" width="11.28515625" style="210" customWidth="1"/>
    <col min="17" max="17" width="9.28515625" style="210" customWidth="1"/>
    <col min="18" max="18" width="11.28515625" style="210" customWidth="1"/>
    <col min="19" max="16384" width="9.140625" style="210"/>
  </cols>
  <sheetData>
    <row r="1" spans="1:22" ht="50.1" customHeight="1">
      <c r="A1" s="1139">
        <v>2016</v>
      </c>
      <c r="B1" s="1140"/>
      <c r="C1" s="1132" t="s">
        <v>42</v>
      </c>
      <c r="D1" s="1132"/>
      <c r="E1" s="1132"/>
      <c r="F1" s="1132"/>
      <c r="G1" s="1132"/>
      <c r="H1" s="1132"/>
      <c r="I1" s="217"/>
      <c r="J1" s="218"/>
      <c r="K1" s="1141" t="s">
        <v>140</v>
      </c>
      <c r="L1" s="1142"/>
      <c r="M1" s="1132" t="s">
        <v>282</v>
      </c>
      <c r="N1" s="1132"/>
      <c r="O1" s="1145" t="s">
        <v>283</v>
      </c>
      <c r="P1" s="1146"/>
      <c r="Q1" s="1132" t="s">
        <v>284</v>
      </c>
      <c r="R1" s="1132"/>
      <c r="S1" s="1133"/>
      <c r="T1" s="1134"/>
    </row>
    <row r="2" spans="1:22" ht="45" customHeight="1">
      <c r="A2" s="219" t="s">
        <v>24</v>
      </c>
      <c r="B2" s="220" t="s">
        <v>25</v>
      </c>
      <c r="C2" s="221" t="s">
        <v>285</v>
      </c>
      <c r="D2" s="221" t="s">
        <v>52</v>
      </c>
      <c r="E2" s="221" t="s">
        <v>286</v>
      </c>
      <c r="F2" s="221" t="s">
        <v>52</v>
      </c>
      <c r="G2" s="221" t="s">
        <v>287</v>
      </c>
      <c r="H2" s="221" t="s">
        <v>52</v>
      </c>
      <c r="I2" s="222" t="s">
        <v>55</v>
      </c>
      <c r="J2" s="223" t="s">
        <v>56</v>
      </c>
      <c r="K2" s="1143"/>
      <c r="L2" s="1144"/>
      <c r="M2" s="224" t="s">
        <v>26</v>
      </c>
      <c r="N2" s="224" t="s">
        <v>27</v>
      </c>
      <c r="O2" s="224" t="s">
        <v>26</v>
      </c>
      <c r="P2" s="224" t="s">
        <v>27</v>
      </c>
      <c r="Q2" s="224" t="s">
        <v>26</v>
      </c>
      <c r="R2" s="224" t="s">
        <v>27</v>
      </c>
      <c r="S2" s="225"/>
      <c r="T2" s="225"/>
      <c r="U2" s="226"/>
      <c r="V2" s="226"/>
    </row>
    <row r="3" spans="1:22">
      <c r="A3" s="227" t="s">
        <v>134</v>
      </c>
      <c r="B3" s="227" t="s">
        <v>134</v>
      </c>
      <c r="C3" s="228">
        <f>M3/N3*100</f>
        <v>14.969247467438496</v>
      </c>
      <c r="D3" s="228" t="str">
        <f>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14 - 16</v>
      </c>
      <c r="E3" s="228">
        <f>O3/P3*100</f>
        <v>72.575976845151956</v>
      </c>
      <c r="F3" s="228" t="str">
        <f>IF(AND(AND(P3&gt;0,O3&gt;0),ROUND(SUM(100*((2*(O3)+1.96^2)-(1.96*(SQRT(1.96^2+4*(O3)*(1-((O3)/P3))))))/(2*(P3+1.96^2))),0)&lt;0),CONCATENATE(SUM(1*0)," - ",ROUND(SUM(100*((2*(O3)+1.96^2)+(1.96*(SQRT(1.96^2+4*(O3)*(1-((O3)/P3))))))/(2*(P3+1.96^2))),0)),IF(AND(AND(P3&gt;0,O3&gt;0),ROUND(SUM(100*((2*(O3)+1.96^2)-(1.96*(SQRT(1.96^2+4*(O3)*(1-((O3)/P3))))))/(2*(P3+1.96^2))),0)&gt;=0),CONCATENATE(ROUND(SUM(100*((2*(O3)+1.96^2)-(1.96*(SQRT(1.96^2+4*(O3)*(1-((O3)/P3))))))/(2*(P3+1.96^2))),0)," - ",ROUND(SUM(100*((2*(O3)+1.96^2)+(1.96*(SQRT(1.96^2+4*(O3)*(1-((O3)/P3))))))/(2*(P3+1.96^2))),0)),""))</f>
        <v>72 - 73</v>
      </c>
      <c r="G3" s="228">
        <f>Q3/R3*100</f>
        <v>12.454775687409551</v>
      </c>
      <c r="H3" s="228" t="str">
        <f>IF(AND(AND(R3&gt;0,Q3&gt;0),ROUND(SUM(100*((2*(Q3)+1.96^2)-(1.96*(SQRT(1.96^2+4*(Q3)*(1-((Q3)/R3))))))/(2*(R3+1.96^2))),0)&lt;0),CONCATENATE(SUM(1*0)," - ",ROUND(SUM(100*((2*(Q3)+1.96^2)+(1.96*(SQRT(1.96^2+4*(Q3)*(1-((Q3)/R3))))))/(2*(R3+1.96^2))),0)),IF(AND(AND(R3&gt;0,Q3&gt;0),ROUND(SUM(100*((2*(Q3)+1.96^2)-(1.96*(SQRT(1.96^2+4*(Q3)*(1-((Q3)/R3))))))/(2*(R3+1.96^2))),0)&gt;=0),CONCATENATE(ROUND(SUM(100*((2*(Q3)+1.96^2)-(1.96*(SQRT(1.96^2+4*(Q3)*(1-((Q3)/R3))))))/(2*(R3+1.96^2))),0)," - ",ROUND(SUM(100*((2*(Q3)+1.96^2)+(1.96*(SQRT(1.96^2+4*(Q3)*(1-((Q3)/R3))))))/(2*(R3+1.96^2))),0)),""))</f>
        <v>12 - 13</v>
      </c>
      <c r="I3" s="234"/>
      <c r="J3" s="235"/>
      <c r="K3" s="1147"/>
      <c r="L3" s="1148"/>
      <c r="M3" s="416">
        <f t="shared" ref="M3:R3" si="0">SUM(M4:M31)</f>
        <v>1655</v>
      </c>
      <c r="N3" s="416">
        <f t="shared" si="0"/>
        <v>11056</v>
      </c>
      <c r="O3" s="416">
        <f t="shared" si="0"/>
        <v>8024</v>
      </c>
      <c r="P3" s="416">
        <f t="shared" si="0"/>
        <v>11056</v>
      </c>
      <c r="Q3" s="416">
        <f t="shared" si="0"/>
        <v>1377</v>
      </c>
      <c r="R3" s="416">
        <f t="shared" si="0"/>
        <v>11056</v>
      </c>
      <c r="S3" s="233"/>
      <c r="T3" s="233"/>
    </row>
    <row r="4" spans="1:22">
      <c r="A4" s="227" t="s">
        <v>58</v>
      </c>
      <c r="B4" s="227" t="s">
        <v>57</v>
      </c>
      <c r="C4" s="228">
        <f t="shared" ref="C4:C31" si="1">M4/N4*100</f>
        <v>19.047619047619047</v>
      </c>
      <c r="D4" s="228" t="str">
        <f t="shared" ref="D4:D31" si="2">IF(AND(AND(N4&gt;0,M4&gt;0),ROUND(SUM(100*((2*M4+1.96^2)-(1.96*(SQRT(1.96^2+4*M4*(1-(M4/N4))))))/(2*(N4+1.96^2))),0)&lt;0),CONCATENATE(SUM(1*0)," - ",ROUND(SUM(100*((2*M4+1.96^2)+(1.96*(SQRT(1.96^2+4*M4*(1-(M4/N4))))))/(2*(N4+1.96^2))),0)),IF(AND(AND(N4&gt;0,M4&gt;0),ROUND(SUM(100*((2*M4+1.96^2)-(1.96*(SQRT(1.96^2+4*M4*(1-(M4/N4))))))/(2*(N4+1.96^2))),0)&gt;=0),CONCATENATE(ROUND(SUM(100*((2*M4+1.96^2)-(1.96*(SQRT(1.96^2+4*M4*(1-(M4/N4))))))/(2*(N4+1.96^2))),0)," - ",ROUND(SUM(100*((2*M4+1.96^2)+(1.96*(SQRT(1.96^2+4*M4*(1-(M4/N4))))))/(2*(N4+1.96^2))),0)),""))</f>
        <v>11 - 30</v>
      </c>
      <c r="E4" s="228">
        <f>O4/P4*100</f>
        <v>50.793650793650791</v>
      </c>
      <c r="F4" s="228" t="str">
        <f>IF(AND(AND(P4&gt;0,O4&gt;0),ROUND(SUM(100*((2*(O4)+1.96^2)-(1.96*(SQRT(1.96^2+4*(O4)*(1-((O4)/P4))))))/(2*(P4+1.96^2))),0)&lt;0),CONCATENATE(SUM(1*0)," - ",ROUND(SUM(100*((2*(O4)+1.96^2)+(1.96*(SQRT(1.96^2+4*(O4)*(1-((O4)/P4))))))/(2*(P4+1.96^2))),0)),IF(AND(AND(P4&gt;0,O4&gt;0),ROUND(SUM(100*((2*(O4)+1.96^2)-(1.96*(SQRT(1.96^2+4*(O4)*(1-((O4)/P4))))))/(2*(P4+1.96^2))),0)&gt;=0),CONCATENATE(ROUND(SUM(100*((2*(O4)+1.96^2)-(1.96*(SQRT(1.96^2+4*(O4)*(1-((O4)/P4))))))/(2*(P4+1.96^2))),0)," - ",ROUND(SUM(100*((2*(O4)+1.96^2)+(1.96*(SQRT(1.96^2+4*(O4)*(1-((O4)/P4))))))/(2*(P4+1.96^2))),0)),""))</f>
        <v>39 - 63</v>
      </c>
      <c r="G4" s="228">
        <f>Q4/R4*100</f>
        <v>30.158730158730158</v>
      </c>
      <c r="H4" s="228" t="str">
        <f>IF(AND(AND(R4&gt;0,Q4&gt;0),ROUND(SUM(100*((2*(Q4)+1.96^2)-(1.96*(SQRT(1.96^2+4*(Q4)*(1-((Q4)/R4))))))/(2*(R4+1.96^2))),0)&lt;0),CONCATENATE(SUM(1*0)," - ",ROUND(SUM(100*((2*(Q4)+1.96^2)+(1.96*(SQRT(1.96^2+4*(Q4)*(1-((Q4)/R4))))))/(2*(R4+1.96^2))),0)),IF(AND(AND(R4&gt;0,Q4&gt;0),ROUND(SUM(100*((2*(Q4)+1.96^2)-(1.96*(SQRT(1.96^2+4*(Q4)*(1-((Q4)/R4))))))/(2*(R4+1.96^2))),0)&gt;=0),CONCATENATE(ROUND(SUM(100*((2*(Q4)+1.96^2)-(1.96*(SQRT(1.96^2+4*(Q4)*(1-((Q4)/R4))))))/(2*(R4+1.96^2))),0)," - ",ROUND(SUM(100*((2*(Q4)+1.96^2)+(1.96*(SQRT(1.96^2+4*(Q4)*(1-((Q4)/R4))))))/(2*(R4+1.96^2))),0)),""))</f>
        <v>20 - 42</v>
      </c>
      <c r="I4" s="229"/>
      <c r="J4" s="230"/>
      <c r="K4" s="1135"/>
      <c r="L4" s="1136"/>
      <c r="M4" s="416">
        <v>12</v>
      </c>
      <c r="N4" s="416">
        <v>63</v>
      </c>
      <c r="O4" s="416">
        <v>32</v>
      </c>
      <c r="P4" s="416">
        <v>63</v>
      </c>
      <c r="Q4" s="416">
        <v>19</v>
      </c>
      <c r="R4" s="416">
        <v>63</v>
      </c>
      <c r="S4" s="225"/>
      <c r="T4" s="225"/>
      <c r="U4" s="226"/>
      <c r="V4" s="226"/>
    </row>
    <row r="5" spans="1:22">
      <c r="A5" s="227" t="s">
        <v>60</v>
      </c>
      <c r="B5" s="227" t="s">
        <v>61</v>
      </c>
      <c r="C5" s="228">
        <f t="shared" si="1"/>
        <v>30.506993006993007</v>
      </c>
      <c r="D5" s="228" t="str">
        <f t="shared" si="2"/>
        <v>28 - 33</v>
      </c>
      <c r="E5" s="228">
        <f t="shared" ref="E5:E31" si="3">O5/P5*100</f>
        <v>58.56643356643356</v>
      </c>
      <c r="F5" s="228" t="str">
        <f t="shared" ref="F5:F31" si="4">IF(AND(AND(P5&gt;0,O5&gt;0),ROUND(SUM(100*((2*(O5)+1.96^2)-(1.96*(SQRT(1.96^2+4*(O5)*(1-((O5)/P5))))))/(2*(P5+1.96^2))),0)&lt;0),CONCATENATE(SUM(1*0)," - ",ROUND(SUM(100*((2*(O5)+1.96^2)+(1.96*(SQRT(1.96^2+4*(O5)*(1-((O5)/P5))))))/(2*(P5+1.96^2))),0)),IF(AND(AND(P5&gt;0,O5&gt;0),ROUND(SUM(100*((2*(O5)+1.96^2)-(1.96*(SQRT(1.96^2+4*(O5)*(1-((O5)/P5))))))/(2*(P5+1.96^2))),0)&gt;=0),CONCATENATE(ROUND(SUM(100*((2*(O5)+1.96^2)-(1.96*(SQRT(1.96^2+4*(O5)*(1-((O5)/P5))))))/(2*(P5+1.96^2))),0)," - ",ROUND(SUM(100*((2*(O5)+1.96^2)+(1.96*(SQRT(1.96^2+4*(O5)*(1-((O5)/P5))))))/(2*(P5+1.96^2))),0)),""))</f>
        <v>56 - 61</v>
      </c>
      <c r="G5" s="228">
        <f t="shared" ref="G5:G31" si="5">Q5/R5*100</f>
        <v>10.926573426573427</v>
      </c>
      <c r="H5" s="228" t="str">
        <f t="shared" ref="H5:H31" si="6">IF(AND(AND(R5&gt;0,Q5&gt;0),ROUND(SUM(100*((2*(Q5)+1.96^2)-(1.96*(SQRT(1.96^2+4*(Q5)*(1-((Q5)/R5))))))/(2*(R5+1.96^2))),0)&lt;0),CONCATENATE(SUM(1*0)," - ",ROUND(SUM(100*((2*(Q5)+1.96^2)+(1.96*(SQRT(1.96^2+4*(Q5)*(1-((Q5)/R5))))))/(2*(R5+1.96^2))),0)),IF(AND(AND(R5&gt;0,Q5&gt;0),ROUND(SUM(100*((2*(Q5)+1.96^2)-(1.96*(SQRT(1.96^2+4*(Q5)*(1-((Q5)/R5))))))/(2*(R5+1.96^2))),0)&gt;=0),CONCATENATE(ROUND(SUM(100*((2*(Q5)+1.96^2)-(1.96*(SQRT(1.96^2+4*(Q5)*(1-((Q5)/R5))))))/(2*(R5+1.96^2))),0)," - ",ROUND(SUM(100*((2*(Q5)+1.96^2)+(1.96*(SQRT(1.96^2+4*(Q5)*(1-((Q5)/R5))))))/(2*(R5+1.96^2))),0)),""))</f>
        <v>9 - 13</v>
      </c>
      <c r="I5" s="231"/>
      <c r="J5" s="232"/>
      <c r="K5" s="1137"/>
      <c r="L5" s="1138"/>
      <c r="M5" s="416">
        <v>349</v>
      </c>
      <c r="N5" s="416">
        <v>1144</v>
      </c>
      <c r="O5" s="416">
        <v>670</v>
      </c>
      <c r="P5" s="416">
        <v>1144</v>
      </c>
      <c r="Q5" s="416">
        <v>125</v>
      </c>
      <c r="R5" s="416">
        <v>1144</v>
      </c>
      <c r="S5" s="233"/>
      <c r="T5" s="233"/>
    </row>
    <row r="6" spans="1:22">
      <c r="A6" s="227" t="s">
        <v>28</v>
      </c>
      <c r="B6" s="227" t="s">
        <v>63</v>
      </c>
      <c r="C6" s="228">
        <f t="shared" si="1"/>
        <v>10.37344398340249</v>
      </c>
      <c r="D6" s="228" t="str">
        <f t="shared" si="2"/>
        <v>7 - 15</v>
      </c>
      <c r="E6" s="228">
        <f t="shared" si="3"/>
        <v>81.742738589211612</v>
      </c>
      <c r="F6" s="228" t="str">
        <f t="shared" si="4"/>
        <v>76 - 86</v>
      </c>
      <c r="G6" s="228">
        <f t="shared" si="5"/>
        <v>7.8838174273858916</v>
      </c>
      <c r="H6" s="228" t="str">
        <f t="shared" si="6"/>
        <v>5 - 12</v>
      </c>
      <c r="I6" s="231"/>
      <c r="J6" s="232"/>
      <c r="K6" s="1137"/>
      <c r="L6" s="1138"/>
      <c r="M6" s="416">
        <v>25</v>
      </c>
      <c r="N6" s="416">
        <v>241</v>
      </c>
      <c r="O6" s="416">
        <v>197</v>
      </c>
      <c r="P6" s="416">
        <v>241</v>
      </c>
      <c r="Q6" s="416">
        <v>19</v>
      </c>
      <c r="R6" s="416">
        <v>241</v>
      </c>
      <c r="S6" s="233"/>
      <c r="T6" s="233"/>
    </row>
    <row r="7" spans="1:22">
      <c r="A7" s="227" t="s">
        <v>65</v>
      </c>
      <c r="B7" s="227" t="s">
        <v>66</v>
      </c>
      <c r="C7" s="228">
        <f t="shared" si="1"/>
        <v>10.72961373390558</v>
      </c>
      <c r="D7" s="228" t="str">
        <f t="shared" si="2"/>
        <v>7 - 15</v>
      </c>
      <c r="E7" s="228">
        <f t="shared" si="3"/>
        <v>69.957081545064383</v>
      </c>
      <c r="F7" s="228" t="str">
        <f t="shared" si="4"/>
        <v>64 - 75</v>
      </c>
      <c r="G7" s="228">
        <f t="shared" si="5"/>
        <v>19.313304721030043</v>
      </c>
      <c r="H7" s="228" t="str">
        <f t="shared" si="6"/>
        <v>15 - 25</v>
      </c>
      <c r="I7" s="231"/>
      <c r="J7" s="232"/>
      <c r="K7" s="1137"/>
      <c r="L7" s="1138"/>
      <c r="M7" s="416">
        <v>25</v>
      </c>
      <c r="N7" s="416">
        <v>233</v>
      </c>
      <c r="O7" s="416">
        <v>163</v>
      </c>
      <c r="P7" s="416">
        <v>233</v>
      </c>
      <c r="Q7" s="416">
        <v>45</v>
      </c>
      <c r="R7" s="416">
        <v>233</v>
      </c>
      <c r="S7" s="233"/>
      <c r="T7" s="233"/>
    </row>
    <row r="8" spans="1:22">
      <c r="A8" s="227" t="s">
        <v>68</v>
      </c>
      <c r="B8" s="227" t="s">
        <v>69</v>
      </c>
      <c r="C8" s="228">
        <f t="shared" si="1"/>
        <v>5.7142857142857144</v>
      </c>
      <c r="D8" s="228" t="str">
        <f t="shared" si="2"/>
        <v>2 - 19</v>
      </c>
      <c r="E8" s="228">
        <f t="shared" si="3"/>
        <v>82.857142857142861</v>
      </c>
      <c r="F8" s="228" t="str">
        <f t="shared" si="4"/>
        <v>67 - 92</v>
      </c>
      <c r="G8" s="228">
        <f t="shared" si="5"/>
        <v>11.428571428571429</v>
      </c>
      <c r="H8" s="228" t="str">
        <f t="shared" si="6"/>
        <v>5 - 26</v>
      </c>
      <c r="I8" s="231"/>
      <c r="J8" s="232"/>
      <c r="K8" s="1137"/>
      <c r="L8" s="1138"/>
      <c r="M8" s="416">
        <v>2</v>
      </c>
      <c r="N8" s="416">
        <v>35</v>
      </c>
      <c r="O8" s="416">
        <v>29</v>
      </c>
      <c r="P8" s="416">
        <v>35</v>
      </c>
      <c r="Q8" s="416">
        <v>4</v>
      </c>
      <c r="R8" s="416">
        <v>35</v>
      </c>
      <c r="S8" s="233"/>
      <c r="T8" s="233"/>
    </row>
    <row r="9" spans="1:22">
      <c r="A9" s="227" t="s">
        <v>174</v>
      </c>
      <c r="B9" s="227" t="s">
        <v>71</v>
      </c>
      <c r="C9" s="228">
        <f t="shared" si="1"/>
        <v>11.360634081902246</v>
      </c>
      <c r="D9" s="228" t="str">
        <f t="shared" si="2"/>
        <v>9 - 14</v>
      </c>
      <c r="E9" s="228">
        <f t="shared" si="3"/>
        <v>83.091149273447812</v>
      </c>
      <c r="F9" s="228" t="str">
        <f t="shared" si="4"/>
        <v>80 - 86</v>
      </c>
      <c r="G9" s="228">
        <f t="shared" si="5"/>
        <v>5.5482166446499335</v>
      </c>
      <c r="H9" s="228" t="str">
        <f t="shared" si="6"/>
        <v>4 - 7</v>
      </c>
      <c r="I9" s="231"/>
      <c r="J9" s="232"/>
      <c r="K9" s="1137"/>
      <c r="L9" s="1138"/>
      <c r="M9" s="416">
        <v>86</v>
      </c>
      <c r="N9" s="416">
        <v>757</v>
      </c>
      <c r="O9" s="416">
        <v>629</v>
      </c>
      <c r="P9" s="416">
        <v>757</v>
      </c>
      <c r="Q9" s="416">
        <v>42</v>
      </c>
      <c r="R9" s="416">
        <v>757</v>
      </c>
      <c r="S9" s="233"/>
      <c r="T9" s="233"/>
    </row>
    <row r="10" spans="1:22">
      <c r="A10" s="227" t="s">
        <v>183</v>
      </c>
      <c r="B10" s="227" t="s">
        <v>73</v>
      </c>
      <c r="C10" s="228">
        <f t="shared" si="1"/>
        <v>15.670436187399032</v>
      </c>
      <c r="D10" s="228" t="str">
        <f t="shared" si="2"/>
        <v>13 - 19</v>
      </c>
      <c r="E10" s="228">
        <f t="shared" si="3"/>
        <v>66.882067851373179</v>
      </c>
      <c r="F10" s="228" t="str">
        <f t="shared" si="4"/>
        <v>63 - 70</v>
      </c>
      <c r="G10" s="228">
        <f t="shared" si="5"/>
        <v>17.447495961227787</v>
      </c>
      <c r="H10" s="228" t="str">
        <f t="shared" si="6"/>
        <v>15 - 21</v>
      </c>
      <c r="I10" s="231"/>
      <c r="J10" s="232"/>
      <c r="K10" s="1137"/>
      <c r="L10" s="1138"/>
      <c r="M10" s="416">
        <v>97</v>
      </c>
      <c r="N10" s="416">
        <v>619</v>
      </c>
      <c r="O10" s="416">
        <v>414</v>
      </c>
      <c r="P10" s="416">
        <v>619</v>
      </c>
      <c r="Q10" s="416">
        <v>108</v>
      </c>
      <c r="R10" s="416">
        <v>619</v>
      </c>
      <c r="S10" s="233"/>
      <c r="T10" s="233"/>
    </row>
    <row r="11" spans="1:22">
      <c r="A11" s="227" t="s">
        <v>175</v>
      </c>
      <c r="B11" s="227" t="s">
        <v>75</v>
      </c>
      <c r="C11" s="228">
        <f t="shared" si="1"/>
        <v>11.170212765957446</v>
      </c>
      <c r="D11" s="228" t="str">
        <f t="shared" si="2"/>
        <v>9 - 14</v>
      </c>
      <c r="E11" s="228">
        <f t="shared" si="3"/>
        <v>77.659574468085097</v>
      </c>
      <c r="F11" s="228" t="str">
        <f t="shared" si="4"/>
        <v>75 - 80</v>
      </c>
      <c r="G11" s="228">
        <f t="shared" si="5"/>
        <v>11.170212765957446</v>
      </c>
      <c r="H11" s="228" t="str">
        <f t="shared" si="6"/>
        <v>9 - 14</v>
      </c>
      <c r="I11" s="231"/>
      <c r="J11" s="232"/>
      <c r="K11" s="1137"/>
      <c r="L11" s="1138"/>
      <c r="M11" s="416">
        <v>84</v>
      </c>
      <c r="N11" s="416">
        <v>752</v>
      </c>
      <c r="O11" s="416">
        <v>584</v>
      </c>
      <c r="P11" s="416">
        <v>752</v>
      </c>
      <c r="Q11" s="416">
        <v>84</v>
      </c>
      <c r="R11" s="416">
        <v>752</v>
      </c>
      <c r="S11" s="233"/>
      <c r="T11" s="233"/>
    </row>
    <row r="12" spans="1:22">
      <c r="A12" s="227" t="s">
        <v>77</v>
      </c>
      <c r="B12" s="227" t="s">
        <v>78</v>
      </c>
      <c r="C12" s="228">
        <f t="shared" si="1"/>
        <v>3.4722222222222223</v>
      </c>
      <c r="D12" s="228" t="str">
        <f t="shared" si="2"/>
        <v>1 - 8</v>
      </c>
      <c r="E12" s="228">
        <f t="shared" si="3"/>
        <v>88.194444444444443</v>
      </c>
      <c r="F12" s="228" t="str">
        <f t="shared" si="4"/>
        <v>82 - 92</v>
      </c>
      <c r="G12" s="228">
        <f t="shared" si="5"/>
        <v>8.3333333333333321</v>
      </c>
      <c r="H12" s="228" t="str">
        <f t="shared" si="6"/>
        <v>5 - 14</v>
      </c>
      <c r="I12" s="231"/>
      <c r="J12" s="232"/>
      <c r="K12" s="1137"/>
      <c r="L12" s="1138"/>
      <c r="M12" s="416">
        <v>5</v>
      </c>
      <c r="N12" s="416">
        <v>144</v>
      </c>
      <c r="O12" s="416">
        <v>127</v>
      </c>
      <c r="P12" s="416">
        <v>144</v>
      </c>
      <c r="Q12" s="416">
        <v>12</v>
      </c>
      <c r="R12" s="416">
        <v>144</v>
      </c>
      <c r="S12" s="233"/>
      <c r="T12" s="233"/>
    </row>
    <row r="13" spans="1:22">
      <c r="A13" s="227" t="s">
        <v>184</v>
      </c>
      <c r="B13" s="227" t="s">
        <v>80</v>
      </c>
      <c r="C13" s="228">
        <f t="shared" si="1"/>
        <v>15.19674355495251</v>
      </c>
      <c r="D13" s="228" t="str">
        <f t="shared" si="2"/>
        <v>13 - 18</v>
      </c>
      <c r="E13" s="228">
        <f t="shared" si="3"/>
        <v>74.491180461329719</v>
      </c>
      <c r="F13" s="228" t="str">
        <f t="shared" si="4"/>
        <v>71 - 78</v>
      </c>
      <c r="G13" s="228">
        <f t="shared" si="5"/>
        <v>10.312075983717776</v>
      </c>
      <c r="H13" s="228" t="str">
        <f t="shared" si="6"/>
        <v>8 - 13</v>
      </c>
      <c r="I13" s="231"/>
      <c r="J13" s="232"/>
      <c r="K13" s="1137"/>
      <c r="L13" s="1138"/>
      <c r="M13" s="416">
        <v>112</v>
      </c>
      <c r="N13" s="416">
        <v>737</v>
      </c>
      <c r="O13" s="416">
        <v>549</v>
      </c>
      <c r="P13" s="416">
        <v>737</v>
      </c>
      <c r="Q13" s="416">
        <v>76</v>
      </c>
      <c r="R13" s="416">
        <v>737</v>
      </c>
      <c r="S13" s="233"/>
      <c r="T13" s="233"/>
    </row>
    <row r="14" spans="1:22">
      <c r="A14" s="227" t="s">
        <v>82</v>
      </c>
      <c r="B14" s="227" t="s">
        <v>83</v>
      </c>
      <c r="C14" s="228">
        <f t="shared" si="1"/>
        <v>12.389380530973451</v>
      </c>
      <c r="D14" s="228" t="str">
        <f t="shared" si="2"/>
        <v>9 - 17</v>
      </c>
      <c r="E14" s="228">
        <f t="shared" si="3"/>
        <v>75.221238938053091</v>
      </c>
      <c r="F14" s="228" t="str">
        <f t="shared" si="4"/>
        <v>69 - 80</v>
      </c>
      <c r="G14" s="228">
        <f t="shared" si="5"/>
        <v>12.389380530973451</v>
      </c>
      <c r="H14" s="228" t="str">
        <f t="shared" si="6"/>
        <v>9 - 17</v>
      </c>
      <c r="I14" s="231"/>
      <c r="J14" s="232"/>
      <c r="K14" s="1137"/>
      <c r="L14" s="1138"/>
      <c r="M14" s="416">
        <v>28</v>
      </c>
      <c r="N14" s="416">
        <v>226</v>
      </c>
      <c r="O14" s="416">
        <v>170</v>
      </c>
      <c r="P14" s="416">
        <v>226</v>
      </c>
      <c r="Q14" s="416">
        <v>28</v>
      </c>
      <c r="R14" s="416">
        <v>226</v>
      </c>
      <c r="S14" s="233"/>
      <c r="T14" s="233"/>
    </row>
    <row r="15" spans="1:22">
      <c r="A15" s="227" t="s">
        <v>459</v>
      </c>
      <c r="B15" s="227" t="s">
        <v>460</v>
      </c>
      <c r="C15" s="228">
        <f t="shared" si="1"/>
        <v>20.10832769126608</v>
      </c>
      <c r="D15" s="228" t="str">
        <f t="shared" si="2"/>
        <v>18 - 22</v>
      </c>
      <c r="E15" s="228">
        <f t="shared" si="3"/>
        <v>70.074475287745429</v>
      </c>
      <c r="F15" s="228" t="str">
        <f t="shared" si="4"/>
        <v>68 - 72</v>
      </c>
      <c r="G15" s="228">
        <f t="shared" si="5"/>
        <v>9.8171970209884893</v>
      </c>
      <c r="H15" s="228" t="str">
        <f t="shared" si="6"/>
        <v>8 - 11</v>
      </c>
      <c r="I15" s="231"/>
      <c r="J15" s="232"/>
      <c r="K15" s="1137"/>
      <c r="L15" s="1138"/>
      <c r="M15" s="416">
        <v>297</v>
      </c>
      <c r="N15" s="416">
        <v>1477</v>
      </c>
      <c r="O15" s="416">
        <v>1035</v>
      </c>
      <c r="P15" s="416">
        <v>1477</v>
      </c>
      <c r="Q15" s="416">
        <v>145</v>
      </c>
      <c r="R15" s="416">
        <v>1477</v>
      </c>
      <c r="S15" s="233"/>
      <c r="T15" s="233"/>
    </row>
    <row r="16" spans="1:22">
      <c r="A16" s="227" t="s">
        <v>185</v>
      </c>
      <c r="B16" s="227" t="s">
        <v>85</v>
      </c>
      <c r="C16" s="228">
        <f t="shared" si="1"/>
        <v>12.413793103448276</v>
      </c>
      <c r="D16" s="228" t="str">
        <f t="shared" si="2"/>
        <v>10 - 16</v>
      </c>
      <c r="E16" s="228">
        <f t="shared" si="3"/>
        <v>77.011494252873561</v>
      </c>
      <c r="F16" s="228" t="str">
        <f t="shared" si="4"/>
        <v>73 - 81</v>
      </c>
      <c r="G16" s="228">
        <f t="shared" si="5"/>
        <v>10.574712643678161</v>
      </c>
      <c r="H16" s="228" t="str">
        <f t="shared" si="6"/>
        <v>8 - 14</v>
      </c>
      <c r="I16" s="231"/>
      <c r="J16" s="232"/>
      <c r="K16" s="1137"/>
      <c r="L16" s="1138"/>
      <c r="M16" s="416">
        <v>54</v>
      </c>
      <c r="N16" s="416">
        <v>435</v>
      </c>
      <c r="O16" s="416">
        <v>335</v>
      </c>
      <c r="P16" s="416">
        <v>435</v>
      </c>
      <c r="Q16" s="416">
        <v>46</v>
      </c>
      <c r="R16" s="416">
        <v>435</v>
      </c>
      <c r="S16" s="233"/>
      <c r="T16" s="233"/>
    </row>
    <row r="17" spans="1:20">
      <c r="A17" s="227" t="s">
        <v>89</v>
      </c>
      <c r="B17" s="227" t="s">
        <v>90</v>
      </c>
      <c r="C17" s="228">
        <f t="shared" si="1"/>
        <v>11.111111111111111</v>
      </c>
      <c r="D17" s="228" t="str">
        <f t="shared" si="2"/>
        <v>4 - 25</v>
      </c>
      <c r="E17" s="228">
        <f t="shared" si="3"/>
        <v>88.888888888888886</v>
      </c>
      <c r="F17" s="228" t="str">
        <f t="shared" si="4"/>
        <v>75 - 96</v>
      </c>
      <c r="G17" s="228">
        <f t="shared" si="5"/>
        <v>0</v>
      </c>
      <c r="H17" s="228" t="str">
        <f t="shared" si="6"/>
        <v/>
      </c>
      <c r="I17" s="231"/>
      <c r="J17" s="232"/>
      <c r="K17" s="1137"/>
      <c r="L17" s="1138"/>
      <c r="M17" s="416">
        <v>4</v>
      </c>
      <c r="N17" s="416">
        <v>36</v>
      </c>
      <c r="O17" s="416">
        <v>32</v>
      </c>
      <c r="P17" s="416">
        <v>36</v>
      </c>
      <c r="Q17" s="416">
        <v>0</v>
      </c>
      <c r="R17" s="416">
        <v>36</v>
      </c>
      <c r="S17" s="233"/>
      <c r="T17" s="233"/>
    </row>
    <row r="18" spans="1:20">
      <c r="A18" s="227" t="s">
        <v>92</v>
      </c>
      <c r="B18" s="227" t="s">
        <v>93</v>
      </c>
      <c r="C18" s="228">
        <f t="shared" si="1"/>
        <v>11.688311688311687</v>
      </c>
      <c r="D18" s="228" t="str">
        <f t="shared" si="2"/>
        <v>6 - 21</v>
      </c>
      <c r="E18" s="228">
        <f t="shared" si="3"/>
        <v>88.311688311688314</v>
      </c>
      <c r="F18" s="228" t="str">
        <f t="shared" si="4"/>
        <v>79 - 94</v>
      </c>
      <c r="G18" s="228">
        <f t="shared" si="5"/>
        <v>0</v>
      </c>
      <c r="H18" s="228" t="str">
        <f t="shared" si="6"/>
        <v/>
      </c>
      <c r="I18" s="231"/>
      <c r="J18" s="232"/>
      <c r="K18" s="1137"/>
      <c r="L18" s="1138"/>
      <c r="M18" s="416">
        <v>9</v>
      </c>
      <c r="N18" s="416">
        <v>77</v>
      </c>
      <c r="O18" s="416">
        <v>68</v>
      </c>
      <c r="P18" s="416">
        <v>77</v>
      </c>
      <c r="Q18" s="416">
        <v>0</v>
      </c>
      <c r="R18" s="416">
        <v>77</v>
      </c>
      <c r="S18" s="233"/>
      <c r="T18" s="233"/>
    </row>
    <row r="19" spans="1:20">
      <c r="A19" s="227" t="s">
        <v>95</v>
      </c>
      <c r="B19" s="227" t="s">
        <v>96</v>
      </c>
      <c r="C19" s="228">
        <f t="shared" si="1"/>
        <v>14.705882352941178</v>
      </c>
      <c r="D19" s="228" t="str">
        <f t="shared" si="2"/>
        <v>8 - 25</v>
      </c>
      <c r="E19" s="228">
        <f t="shared" si="3"/>
        <v>75</v>
      </c>
      <c r="F19" s="228" t="str">
        <f t="shared" si="4"/>
        <v>64 - 84</v>
      </c>
      <c r="G19" s="228">
        <f t="shared" si="5"/>
        <v>10.294117647058822</v>
      </c>
      <c r="H19" s="228" t="str">
        <f t="shared" si="6"/>
        <v>5 - 20</v>
      </c>
      <c r="I19" s="231"/>
      <c r="J19" s="232"/>
      <c r="K19" s="1137"/>
      <c r="L19" s="1138"/>
      <c r="M19" s="416">
        <v>10</v>
      </c>
      <c r="N19" s="416">
        <v>68</v>
      </c>
      <c r="O19" s="416">
        <v>51</v>
      </c>
      <c r="P19" s="416">
        <v>68</v>
      </c>
      <c r="Q19" s="416">
        <v>7</v>
      </c>
      <c r="R19" s="416">
        <v>68</v>
      </c>
      <c r="S19" s="233"/>
      <c r="T19" s="233"/>
    </row>
    <row r="20" spans="1:20">
      <c r="A20" s="227" t="s">
        <v>98</v>
      </c>
      <c r="B20" s="227" t="s">
        <v>99</v>
      </c>
      <c r="C20" s="228">
        <f t="shared" si="1"/>
        <v>11.111111111111111</v>
      </c>
      <c r="D20" s="228" t="str">
        <f t="shared" si="2"/>
        <v>8 - 15</v>
      </c>
      <c r="E20" s="228">
        <f t="shared" si="3"/>
        <v>88.603988603988597</v>
      </c>
      <c r="F20" s="228" t="str">
        <f t="shared" si="4"/>
        <v>85 - 92</v>
      </c>
      <c r="G20" s="228">
        <f t="shared" si="5"/>
        <v>0.28490028490028491</v>
      </c>
      <c r="H20" s="228" t="str">
        <f t="shared" si="6"/>
        <v>0 - 2</v>
      </c>
      <c r="I20" s="231"/>
      <c r="J20" s="232"/>
      <c r="K20" s="1137"/>
      <c r="L20" s="1138"/>
      <c r="M20" s="416">
        <v>39</v>
      </c>
      <c r="N20" s="416">
        <v>351</v>
      </c>
      <c r="O20" s="416">
        <v>311</v>
      </c>
      <c r="P20" s="416">
        <v>351</v>
      </c>
      <c r="Q20" s="416">
        <v>1</v>
      </c>
      <c r="R20" s="416">
        <v>351</v>
      </c>
      <c r="S20" s="233"/>
      <c r="T20" s="233"/>
    </row>
    <row r="21" spans="1:20">
      <c r="A21" s="227" t="s">
        <v>101</v>
      </c>
      <c r="B21" s="227" t="s">
        <v>102</v>
      </c>
      <c r="C21" s="228">
        <f>M21/N21*100</f>
        <v>8.1632653061224492</v>
      </c>
      <c r="D21" s="228" t="str">
        <f>IF(AND(AND(N21&gt;0,M21&gt;0),ROUND(SUM(100*((2*M21+1.96^2)-(1.96*(SQRT(1.96^2+4*M21*(1-(M21/N21))))))/(2*(N21+1.96^2))),0)&lt;0),CONCATENATE(SUM(1*0)," - ",ROUND(SUM(100*((2*M21+1.96^2)+(1.96*(SQRT(1.96^2+4*M21*(1-(M21/N21))))))/(2*(N21+1.96^2))),0)),IF(AND(AND(N21&gt;0,M21&gt;0),ROUND(SUM(100*((2*M21+1.96^2)-(1.96*(SQRT(1.96^2+4*M21*(1-(M21/N21))))))/(2*(N21+1.96^2))),0)&gt;=0),CONCATENATE(ROUND(SUM(100*((2*M21+1.96^2)-(1.96*(SQRT(1.96^2+4*M21*(1-(M21/N21))))))/(2*(N21+1.96^2))),0)," - ",ROUND(SUM(100*((2*M21+1.96^2)+(1.96*(SQRT(1.96^2+4*M21*(1-(M21/N21))))))/(2*(N21+1.96^2))),0)),""))</f>
        <v>6 - 12</v>
      </c>
      <c r="E21" s="228">
        <f>O21/P21*100</f>
        <v>67.638483965014572</v>
      </c>
      <c r="F21" s="228" t="str">
        <f>IF(AND(AND(P21&gt;0,O21&gt;0),ROUND(SUM(100*((2*(O21)+1.96^2)-(1.96*(SQRT(1.96^2+4*(O21)*(1-((O21)/P21))))))/(2*(P21+1.96^2))),0)&lt;0),CONCATENATE(SUM(1*0)," - ",ROUND(SUM(100*((2*(O21)+1.96^2)+(1.96*(SQRT(1.96^2+4*(O21)*(1-((O21)/P21))))))/(2*(P21+1.96^2))),0)),IF(AND(AND(P21&gt;0,O21&gt;0),ROUND(SUM(100*((2*(O21)+1.96^2)-(1.96*(SQRT(1.96^2+4*(O21)*(1-((O21)/P21))))))/(2*(P21+1.96^2))),0)&gt;=0),CONCATENATE(ROUND(SUM(100*((2*(O21)+1.96^2)-(1.96*(SQRT(1.96^2+4*(O21)*(1-((O21)/P21))))))/(2*(P21+1.96^2))),0)," - ",ROUND(SUM(100*((2*(O21)+1.96^2)+(1.96*(SQRT(1.96^2+4*(O21)*(1-((O21)/P21))))))/(2*(P21+1.96^2))),0)),""))</f>
        <v>63 - 72</v>
      </c>
      <c r="G21" s="228">
        <f>Q21/R21*100</f>
        <v>24.198250728862973</v>
      </c>
      <c r="H21" s="228" t="str">
        <f>IF(AND(AND(R21&gt;0,Q21&gt;0),ROUND(SUM(100*((2*(Q21)+1.96^2)-(1.96*(SQRT(1.96^2+4*(Q21)*(1-((Q21)/R21))))))/(2*(R21+1.96^2))),0)&lt;0),CONCATENATE(SUM(1*0)," - ",ROUND(SUM(100*((2*(Q21)+1.96^2)+(1.96*(SQRT(1.96^2+4*(Q21)*(1-((Q21)/R21))))))/(2*(R21+1.96^2))),0)),IF(AND(AND(R21&gt;0,Q21&gt;0),ROUND(SUM(100*((2*(Q21)+1.96^2)-(1.96*(SQRT(1.96^2+4*(Q21)*(1-((Q21)/R21))))))/(2*(R21+1.96^2))),0)&gt;=0),CONCATENATE(ROUND(SUM(100*((2*(Q21)+1.96^2)-(1.96*(SQRT(1.96^2+4*(Q21)*(1-((Q21)/R21))))))/(2*(R21+1.96^2))),0)," - ",ROUND(SUM(100*((2*(Q21)+1.96^2)+(1.96*(SQRT(1.96^2+4*(Q21)*(1-((Q21)/R21))))))/(2*(R21+1.96^2))),0)),""))</f>
        <v>20 - 29</v>
      </c>
      <c r="I21" s="231"/>
      <c r="J21" s="232"/>
      <c r="K21" s="1137"/>
      <c r="L21" s="1138"/>
      <c r="M21" s="416">
        <v>28</v>
      </c>
      <c r="N21" s="416">
        <v>343</v>
      </c>
      <c r="O21" s="416">
        <v>232</v>
      </c>
      <c r="P21" s="416">
        <v>343</v>
      </c>
      <c r="Q21" s="416">
        <v>83</v>
      </c>
      <c r="R21" s="416">
        <v>343</v>
      </c>
      <c r="S21" s="233"/>
      <c r="T21" s="233"/>
    </row>
    <row r="22" spans="1:20">
      <c r="A22" s="227" t="s">
        <v>104</v>
      </c>
      <c r="B22" s="227" t="s">
        <v>105</v>
      </c>
      <c r="C22" s="228">
        <f>M22/N22*100</f>
        <v>1.6233766233766231</v>
      </c>
      <c r="D22" s="228" t="str">
        <f>IF(AND(AND(N22&gt;0,M22&gt;0),ROUND(SUM(100*((2*M22+1.96^2)-(1.96*(SQRT(1.96^2+4*M22*(1-(M22/N22))))))/(2*(N22+1.96^2))),0)&lt;0),CONCATENATE(SUM(1*0)," - ",ROUND(SUM(100*((2*M22+1.96^2)+(1.96*(SQRT(1.96^2+4*M22*(1-(M22/N22))))))/(2*(N22+1.96^2))),0)),IF(AND(AND(N22&gt;0,M22&gt;0),ROUND(SUM(100*((2*M22+1.96^2)-(1.96*(SQRT(1.96^2+4*M22*(1-(M22/N22))))))/(2*(N22+1.96^2))),0)&gt;=0),CONCATENATE(ROUND(SUM(100*((2*M22+1.96^2)-(1.96*(SQRT(1.96^2+4*M22*(1-(M22/N22))))))/(2*(N22+1.96^2))),0)," - ",ROUND(SUM(100*((2*M22+1.96^2)+(1.96*(SQRT(1.96^2+4*M22*(1-(M22/N22))))))/(2*(N22+1.96^2))),0)),""))</f>
        <v>1 - 4</v>
      </c>
      <c r="E22" s="228">
        <f>O22/P22*100</f>
        <v>73.376623376623371</v>
      </c>
      <c r="F22" s="228" t="str">
        <f>IF(AND(AND(P22&gt;0,O22&gt;0),ROUND(SUM(100*((2*(O22)+1.96^2)-(1.96*(SQRT(1.96^2+4*(O22)*(1-((O22)/P22))))))/(2*(P22+1.96^2))),0)&lt;0),CONCATENATE(SUM(1*0)," - ",ROUND(SUM(100*((2*(O22)+1.96^2)+(1.96*(SQRT(1.96^2+4*(O22)*(1-((O22)/P22))))))/(2*(P22+1.96^2))),0)),IF(AND(AND(P22&gt;0,O22&gt;0),ROUND(SUM(100*((2*(O22)+1.96^2)-(1.96*(SQRT(1.96^2+4*(O22)*(1-((O22)/P22))))))/(2*(P22+1.96^2))),0)&gt;=0),CONCATENATE(ROUND(SUM(100*((2*(O22)+1.96^2)-(1.96*(SQRT(1.96^2+4*(O22)*(1-((O22)/P22))))))/(2*(P22+1.96^2))),0)," - ",ROUND(SUM(100*((2*(O22)+1.96^2)+(1.96*(SQRT(1.96^2+4*(O22)*(1-((O22)/P22))))))/(2*(P22+1.96^2))),0)),""))</f>
        <v>68 - 78</v>
      </c>
      <c r="G22" s="228">
        <f>Q22/R22*100</f>
        <v>25</v>
      </c>
      <c r="H22" s="228" t="str">
        <f>IF(AND(AND(R22&gt;0,Q22&gt;0),ROUND(SUM(100*((2*(Q22)+1.96^2)-(1.96*(SQRT(1.96^2+4*(Q22)*(1-((Q22)/R22))))))/(2*(R22+1.96^2))),0)&lt;0),CONCATENATE(SUM(1*0)," - ",ROUND(SUM(100*((2*(Q22)+1.96^2)+(1.96*(SQRT(1.96^2+4*(Q22)*(1-((Q22)/R22))))))/(2*(R22+1.96^2))),0)),IF(AND(AND(R22&gt;0,Q22&gt;0),ROUND(SUM(100*((2*(Q22)+1.96^2)-(1.96*(SQRT(1.96^2+4*(Q22)*(1-((Q22)/R22))))))/(2*(R22+1.96^2))),0)&gt;=0),CONCATENATE(ROUND(SUM(100*((2*(Q22)+1.96^2)-(1.96*(SQRT(1.96^2+4*(Q22)*(1-((Q22)/R22))))))/(2*(R22+1.96^2))),0)," - ",ROUND(SUM(100*((2*(Q22)+1.96^2)+(1.96*(SQRT(1.96^2+4*(Q22)*(1-((Q22)/R22))))))/(2*(R22+1.96^2))),0)),""))</f>
        <v>20 - 30</v>
      </c>
      <c r="I22" s="231"/>
      <c r="J22" s="232"/>
      <c r="K22" s="1137"/>
      <c r="L22" s="1138"/>
      <c r="M22" s="416">
        <v>5</v>
      </c>
      <c r="N22" s="416">
        <v>308</v>
      </c>
      <c r="O22" s="416">
        <v>226</v>
      </c>
      <c r="P22" s="416">
        <v>308</v>
      </c>
      <c r="Q22" s="416">
        <v>77</v>
      </c>
      <c r="R22" s="416">
        <v>308</v>
      </c>
      <c r="S22" s="233"/>
      <c r="T22" s="233"/>
    </row>
    <row r="23" spans="1:20">
      <c r="A23" s="227" t="s">
        <v>107</v>
      </c>
      <c r="B23" s="227" t="s">
        <v>106</v>
      </c>
      <c r="C23" s="228">
        <f>M23/N23*100</f>
        <v>5.4495912806539506</v>
      </c>
      <c r="D23" s="228" t="str">
        <f>IF(AND(AND(N23&gt;0,M23&gt;0),ROUND(SUM(100*((2*M23+1.96^2)-(1.96*(SQRT(1.96^2+4*M23*(1-(M23/N23))))))/(2*(N23+1.96^2))),0)&lt;0),CONCATENATE(SUM(1*0)," - ",ROUND(SUM(100*((2*M23+1.96^2)+(1.96*(SQRT(1.96^2+4*M23*(1-(M23/N23))))))/(2*(N23+1.96^2))),0)),IF(AND(AND(N23&gt;0,M23&gt;0),ROUND(SUM(100*((2*M23+1.96^2)-(1.96*(SQRT(1.96^2+4*M23*(1-(M23/N23))))))/(2*(N23+1.96^2))),0)&gt;=0),CONCATENATE(ROUND(SUM(100*((2*M23+1.96^2)-(1.96*(SQRT(1.96^2+4*M23*(1-(M23/N23))))))/(2*(N23+1.96^2))),0)," - ",ROUND(SUM(100*((2*M23+1.96^2)+(1.96*(SQRT(1.96^2+4*M23*(1-(M23/N23))))))/(2*(N23+1.96^2))),0)),""))</f>
        <v>4 - 8</v>
      </c>
      <c r="E23" s="228">
        <f>O23/P23*100</f>
        <v>76.566757493188007</v>
      </c>
      <c r="F23" s="228" t="str">
        <f>IF(AND(AND(P23&gt;0,O23&gt;0),ROUND(SUM(100*((2*(O23)+1.96^2)-(1.96*(SQRT(1.96^2+4*(O23)*(1-((O23)/P23))))))/(2*(P23+1.96^2))),0)&lt;0),CONCATENATE(SUM(1*0)," - ",ROUND(SUM(100*((2*(O23)+1.96^2)+(1.96*(SQRT(1.96^2+4*(O23)*(1-((O23)/P23))))))/(2*(P23+1.96^2))),0)),IF(AND(AND(P23&gt;0,O23&gt;0),ROUND(SUM(100*((2*(O23)+1.96^2)-(1.96*(SQRT(1.96^2+4*(O23)*(1-((O23)/P23))))))/(2*(P23+1.96^2))),0)&gt;=0),CONCATENATE(ROUND(SUM(100*((2*(O23)+1.96^2)-(1.96*(SQRT(1.96^2+4*(O23)*(1-((O23)/P23))))))/(2*(P23+1.96^2))),0)," - ",ROUND(SUM(100*((2*(O23)+1.96^2)+(1.96*(SQRT(1.96^2+4*(O23)*(1-((O23)/P23))))))/(2*(P23+1.96^2))),0)),""))</f>
        <v>72 - 81</v>
      </c>
      <c r="G23" s="228">
        <f>Q23/R23*100</f>
        <v>17.983651226158038</v>
      </c>
      <c r="H23" s="228" t="str">
        <f>IF(AND(AND(R23&gt;0,Q23&gt;0),ROUND(SUM(100*((2*(Q23)+1.96^2)-(1.96*(SQRT(1.96^2+4*(Q23)*(1-((Q23)/R23))))))/(2*(R23+1.96^2))),0)&lt;0),CONCATENATE(SUM(1*0)," - ",ROUND(SUM(100*((2*(Q23)+1.96^2)+(1.96*(SQRT(1.96^2+4*(Q23)*(1-((Q23)/R23))))))/(2*(R23+1.96^2))),0)),IF(AND(AND(R23&gt;0,Q23&gt;0),ROUND(SUM(100*((2*(Q23)+1.96^2)-(1.96*(SQRT(1.96^2+4*(Q23)*(1-((Q23)/R23))))))/(2*(R23+1.96^2))),0)&gt;=0),CONCATENATE(ROUND(SUM(100*((2*(Q23)+1.96^2)-(1.96*(SQRT(1.96^2+4*(Q23)*(1-((Q23)/R23))))))/(2*(R23+1.96^2))),0)," - ",ROUND(SUM(100*((2*(Q23)+1.96^2)+(1.96*(SQRT(1.96^2+4*(Q23)*(1-((Q23)/R23))))))/(2*(R23+1.96^2))),0)),""))</f>
        <v>14 - 22</v>
      </c>
      <c r="I23" s="231"/>
      <c r="J23" s="232"/>
      <c r="K23" s="1137"/>
      <c r="L23" s="1138"/>
      <c r="M23" s="416">
        <v>20</v>
      </c>
      <c r="N23" s="416">
        <v>367</v>
      </c>
      <c r="O23" s="416">
        <v>281</v>
      </c>
      <c r="P23" s="416">
        <v>367</v>
      </c>
      <c r="Q23" s="416">
        <v>66</v>
      </c>
      <c r="R23" s="416">
        <v>367</v>
      </c>
      <c r="S23" s="233"/>
      <c r="T23" s="233"/>
    </row>
    <row r="24" spans="1:20">
      <c r="A24" s="227" t="s">
        <v>109</v>
      </c>
      <c r="B24" s="227" t="s">
        <v>110</v>
      </c>
      <c r="C24" s="228">
        <f>M24/N24*100</f>
        <v>19.495798319327733</v>
      </c>
      <c r="D24" s="228" t="str">
        <f>IF(AND(AND(N24&gt;0,M24&gt;0),ROUND(SUM(100*((2*M24+1.96^2)-(1.96*(SQRT(1.96^2+4*M24*(1-(M24/N24))))))/(2*(N24+1.96^2))),0)&lt;0),CONCATENATE(SUM(1*0)," - ",ROUND(SUM(100*((2*M24+1.96^2)+(1.96*(SQRT(1.96^2+4*M24*(1-(M24/N24))))))/(2*(N24+1.96^2))),0)),IF(AND(AND(N24&gt;0,M24&gt;0),ROUND(SUM(100*((2*M24+1.96^2)-(1.96*(SQRT(1.96^2+4*M24*(1-(M24/N24))))))/(2*(N24+1.96^2))),0)&gt;=0),CONCATENATE(ROUND(SUM(100*((2*M24+1.96^2)-(1.96*(SQRT(1.96^2+4*M24*(1-(M24/N24))))))/(2*(N24+1.96^2))),0)," - ",ROUND(SUM(100*((2*M24+1.96^2)+(1.96*(SQRT(1.96^2+4*M24*(1-(M24/N24))))))/(2*(N24+1.96^2))),0)),""))</f>
        <v>17 - 22</v>
      </c>
      <c r="E24" s="228">
        <f>O24/P24*100</f>
        <v>66.218487394957975</v>
      </c>
      <c r="F24" s="228" t="str">
        <f>IF(AND(AND(P24&gt;0,O24&gt;0),ROUND(SUM(100*((2*(O24)+1.96^2)-(1.96*(SQRT(1.96^2+4*(O24)*(1-((O24)/P24))))))/(2*(P24+1.96^2))),0)&lt;0),CONCATENATE(SUM(1*0)," - ",ROUND(SUM(100*((2*(O24)+1.96^2)+(1.96*(SQRT(1.96^2+4*(O24)*(1-((O24)/P24))))))/(2*(P24+1.96^2))),0)),IF(AND(AND(P24&gt;0,O24&gt;0),ROUND(SUM(100*((2*(O24)+1.96^2)-(1.96*(SQRT(1.96^2+4*(O24)*(1-((O24)/P24))))))/(2*(P24+1.96^2))),0)&gt;=0),CONCATENATE(ROUND(SUM(100*((2*(O24)+1.96^2)-(1.96*(SQRT(1.96^2+4*(O24)*(1-((O24)/P24))))))/(2*(P24+1.96^2))),0)," - ",ROUND(SUM(100*((2*(O24)+1.96^2)+(1.96*(SQRT(1.96^2+4*(O24)*(1-((O24)/P24))))))/(2*(P24+1.96^2))),0)),""))</f>
        <v>63 - 69</v>
      </c>
      <c r="G24" s="228">
        <f>Q24/R24*100</f>
        <v>14.285714285714285</v>
      </c>
      <c r="H24" s="228" t="str">
        <f>IF(AND(AND(R24&gt;0,Q24&gt;0),ROUND(SUM(100*((2*(Q24)+1.96^2)-(1.96*(SQRT(1.96^2+4*(Q24)*(1-((Q24)/R24))))))/(2*(R24+1.96^2))),0)&lt;0),CONCATENATE(SUM(1*0)," - ",ROUND(SUM(100*((2*(Q24)+1.96^2)+(1.96*(SQRT(1.96^2+4*(Q24)*(1-((Q24)/R24))))))/(2*(R24+1.96^2))),0)),IF(AND(AND(R24&gt;0,Q24&gt;0),ROUND(SUM(100*((2*(Q24)+1.96^2)-(1.96*(SQRT(1.96^2+4*(Q24)*(1-((Q24)/R24))))))/(2*(R24+1.96^2))),0)&gt;=0),CONCATENATE(ROUND(SUM(100*((2*(Q24)+1.96^2)-(1.96*(SQRT(1.96^2+4*(Q24)*(1-((Q24)/R24))))))/(2*(R24+1.96^2))),0)," - ",ROUND(SUM(100*((2*(Q24)+1.96^2)+(1.96*(SQRT(1.96^2+4*(Q24)*(1-((Q24)/R24))))))/(2*(R24+1.96^2))),0)),""))</f>
        <v>12 - 16</v>
      </c>
      <c r="I24" s="231"/>
      <c r="J24" s="232"/>
      <c r="K24" s="1137"/>
      <c r="L24" s="1138"/>
      <c r="M24" s="416">
        <v>232</v>
      </c>
      <c r="N24" s="416">
        <v>1190</v>
      </c>
      <c r="O24" s="416">
        <v>788</v>
      </c>
      <c r="P24" s="416">
        <v>1190</v>
      </c>
      <c r="Q24" s="416">
        <v>170</v>
      </c>
      <c r="R24" s="416">
        <v>1190</v>
      </c>
      <c r="S24" s="233"/>
      <c r="T24" s="233"/>
    </row>
    <row r="25" spans="1:20">
      <c r="A25" s="227" t="s">
        <v>112</v>
      </c>
      <c r="B25" s="227" t="s">
        <v>113</v>
      </c>
      <c r="C25" s="228">
        <f>M25/N25*100</f>
        <v>3.2028469750889679</v>
      </c>
      <c r="D25" s="228" t="str">
        <f>IF(AND(AND(N25&gt;0,M25&gt;0),ROUND(SUM(100*((2*M25+1.96^2)-(1.96*(SQRT(1.96^2+4*M25*(1-(M25/N25))))))/(2*(N25+1.96^2))),0)&lt;0),CONCATENATE(SUM(1*0)," - ",ROUND(SUM(100*((2*M25+1.96^2)+(1.96*(SQRT(1.96^2+4*M25*(1-(M25/N25))))))/(2*(N25+1.96^2))),0)),IF(AND(AND(N25&gt;0,M25&gt;0),ROUND(SUM(100*((2*M25+1.96^2)-(1.96*(SQRT(1.96^2+4*M25*(1-(M25/N25))))))/(2*(N25+1.96^2))),0)&gt;=0),CONCATENATE(ROUND(SUM(100*((2*M25+1.96^2)-(1.96*(SQRT(1.96^2+4*M25*(1-(M25/N25))))))/(2*(N25+1.96^2))),0)," - ",ROUND(SUM(100*((2*M25+1.96^2)+(1.96*(SQRT(1.96^2+4*M25*(1-(M25/N25))))))/(2*(N25+1.96^2))),0)),""))</f>
        <v>2 - 6</v>
      </c>
      <c r="E25" s="228">
        <f>O25/P25*100</f>
        <v>81.494661921708186</v>
      </c>
      <c r="F25" s="228" t="str">
        <f>IF(AND(AND(P25&gt;0,O25&gt;0),ROUND(SUM(100*((2*(O25)+1.96^2)-(1.96*(SQRT(1.96^2+4*(O25)*(1-((O25)/P25))))))/(2*(P25+1.96^2))),0)&lt;0),CONCATENATE(SUM(1*0)," - ",ROUND(SUM(100*((2*(O25)+1.96^2)+(1.96*(SQRT(1.96^2+4*(O25)*(1-((O25)/P25))))))/(2*(P25+1.96^2))),0)),IF(AND(AND(P25&gt;0,O25&gt;0),ROUND(SUM(100*((2*(O25)+1.96^2)-(1.96*(SQRT(1.96^2+4*(O25)*(1-((O25)/P25))))))/(2*(P25+1.96^2))),0)&gt;=0),CONCATENATE(ROUND(SUM(100*((2*(O25)+1.96^2)-(1.96*(SQRT(1.96^2+4*(O25)*(1-((O25)/P25))))))/(2*(P25+1.96^2))),0)," - ",ROUND(SUM(100*((2*(O25)+1.96^2)+(1.96*(SQRT(1.96^2+4*(O25)*(1-((O25)/P25))))))/(2*(P25+1.96^2))),0)),""))</f>
        <v>77 - 86</v>
      </c>
      <c r="G25" s="228">
        <f>Q25/R25*100</f>
        <v>15.302491103202847</v>
      </c>
      <c r="H25" s="228" t="str">
        <f>IF(AND(AND(R25&gt;0,Q25&gt;0),ROUND(SUM(100*((2*(Q25)+1.96^2)-(1.96*(SQRT(1.96^2+4*(Q25)*(1-((Q25)/R25))))))/(2*(R25+1.96^2))),0)&lt;0),CONCATENATE(SUM(1*0)," - ",ROUND(SUM(100*((2*(Q25)+1.96^2)+(1.96*(SQRT(1.96^2+4*(Q25)*(1-((Q25)/R25))))))/(2*(R25+1.96^2))),0)),IF(AND(AND(R25&gt;0,Q25&gt;0),ROUND(SUM(100*((2*(Q25)+1.96^2)-(1.96*(SQRT(1.96^2+4*(Q25)*(1-((Q25)/R25))))))/(2*(R25+1.96^2))),0)&gt;=0),CONCATENATE(ROUND(SUM(100*((2*(Q25)+1.96^2)-(1.96*(SQRT(1.96^2+4*(Q25)*(1-((Q25)/R25))))))/(2*(R25+1.96^2))),0)," - ",ROUND(SUM(100*((2*(Q25)+1.96^2)+(1.96*(SQRT(1.96^2+4*(Q25)*(1-((Q25)/R25))))))/(2*(R25+1.96^2))),0)),""))</f>
        <v>12 - 20</v>
      </c>
      <c r="I25" s="231"/>
      <c r="J25" s="232"/>
      <c r="K25" s="1137"/>
      <c r="L25" s="1138"/>
      <c r="M25" s="416">
        <v>9</v>
      </c>
      <c r="N25" s="416">
        <v>281</v>
      </c>
      <c r="O25" s="416">
        <v>229</v>
      </c>
      <c r="P25" s="416">
        <v>281</v>
      </c>
      <c r="Q25" s="416">
        <v>43</v>
      </c>
      <c r="R25" s="416">
        <v>281</v>
      </c>
      <c r="S25" s="233"/>
      <c r="T25" s="233"/>
    </row>
    <row r="26" spans="1:20">
      <c r="A26" s="227" t="s">
        <v>115</v>
      </c>
      <c r="B26" s="227" t="s">
        <v>116</v>
      </c>
      <c r="C26" s="228">
        <f t="shared" si="1"/>
        <v>14.338235294117647</v>
      </c>
      <c r="D26" s="228" t="str">
        <f t="shared" si="2"/>
        <v>11 - 19</v>
      </c>
      <c r="E26" s="228">
        <f t="shared" si="3"/>
        <v>73.529411764705884</v>
      </c>
      <c r="F26" s="228" t="str">
        <f t="shared" si="4"/>
        <v>68 - 78</v>
      </c>
      <c r="G26" s="228">
        <f t="shared" si="5"/>
        <v>12.132352941176471</v>
      </c>
      <c r="H26" s="228" t="str">
        <f t="shared" si="6"/>
        <v>9 - 17</v>
      </c>
      <c r="I26" s="231"/>
      <c r="J26" s="232"/>
      <c r="K26" s="1137"/>
      <c r="L26" s="1138"/>
      <c r="M26" s="416">
        <v>39</v>
      </c>
      <c r="N26" s="416">
        <v>272</v>
      </c>
      <c r="O26" s="416">
        <v>200</v>
      </c>
      <c r="P26" s="416">
        <v>272</v>
      </c>
      <c r="Q26" s="416">
        <v>33</v>
      </c>
      <c r="R26" s="416">
        <v>272</v>
      </c>
      <c r="S26" s="233"/>
      <c r="T26" s="233"/>
    </row>
    <row r="27" spans="1:20">
      <c r="A27" s="227" t="s">
        <v>118</v>
      </c>
      <c r="B27" s="227" t="s">
        <v>119</v>
      </c>
      <c r="C27" s="228">
        <f>M27/N27*100</f>
        <v>7.6923076923076925</v>
      </c>
      <c r="D27" s="228" t="str">
        <f>IF(AND(AND(N27&gt;0,M27&gt;0),ROUND(SUM(100*((2*M27+1.96^2)-(1.96*(SQRT(1.96^2+4*M27*(1-(M27/N27))))))/(2*(N27+1.96^2))),0)&lt;0),CONCATENATE(SUM(1*0)," - ",ROUND(SUM(100*((2*M27+1.96^2)+(1.96*(SQRT(1.96^2+4*M27*(1-(M27/N27))))))/(2*(N27+1.96^2))),0)),IF(AND(AND(N27&gt;0,M27&gt;0),ROUND(SUM(100*((2*M27+1.96^2)-(1.96*(SQRT(1.96^2+4*M27*(1-(M27/N27))))))/(2*(N27+1.96^2))),0)&gt;=0),CONCATENATE(ROUND(SUM(100*((2*M27+1.96^2)-(1.96*(SQRT(1.96^2+4*M27*(1-(M27/N27))))))/(2*(N27+1.96^2))),0)," - ",ROUND(SUM(100*((2*M27+1.96^2)+(1.96*(SQRT(1.96^2+4*M27*(1-(M27/N27))))))/(2*(N27+1.96^2))),0)),""))</f>
        <v>3 - 20</v>
      </c>
      <c r="E27" s="228">
        <f>O27/P27*100</f>
        <v>76.923076923076934</v>
      </c>
      <c r="F27" s="228" t="str">
        <f>IF(AND(AND(P27&gt;0,O27&gt;0),ROUND(SUM(100*((2*(O27)+1.96^2)-(1.96*(SQRT(1.96^2+4*(O27)*(1-((O27)/P27))))))/(2*(P27+1.96^2))),0)&lt;0),CONCATENATE(SUM(1*0)," - ",ROUND(SUM(100*((2*(O27)+1.96^2)+(1.96*(SQRT(1.96^2+4*(O27)*(1-((O27)/P27))))))/(2*(P27+1.96^2))),0)),IF(AND(AND(P27&gt;0,O27&gt;0),ROUND(SUM(100*((2*(O27)+1.96^2)-(1.96*(SQRT(1.96^2+4*(O27)*(1-((O27)/P27))))))/(2*(P27+1.96^2))),0)&gt;=0),CONCATENATE(ROUND(SUM(100*((2*(O27)+1.96^2)-(1.96*(SQRT(1.96^2+4*(O27)*(1-((O27)/P27))))))/(2*(P27+1.96^2))),0)," - ",ROUND(SUM(100*((2*(O27)+1.96^2)+(1.96*(SQRT(1.96^2+4*(O27)*(1-((O27)/P27))))))/(2*(P27+1.96^2))),0)),""))</f>
        <v>62 - 87</v>
      </c>
      <c r="G27" s="228">
        <f>Q27/R27*100</f>
        <v>15.384615384615385</v>
      </c>
      <c r="H27" s="228" t="str">
        <f>IF(AND(AND(R27&gt;0,Q27&gt;0),ROUND(SUM(100*((2*(Q27)+1.96^2)-(1.96*(SQRT(1.96^2+4*(Q27)*(1-((Q27)/R27))))))/(2*(R27+1.96^2))),0)&lt;0),CONCATENATE(SUM(1*0)," - ",ROUND(SUM(100*((2*(Q27)+1.96^2)+(1.96*(SQRT(1.96^2+4*(Q27)*(1-((Q27)/R27))))))/(2*(R27+1.96^2))),0)),IF(AND(AND(R27&gt;0,Q27&gt;0),ROUND(SUM(100*((2*(Q27)+1.96^2)-(1.96*(SQRT(1.96^2+4*(Q27)*(1-((Q27)/R27))))))/(2*(R27+1.96^2))),0)&gt;=0),CONCATENATE(ROUND(SUM(100*((2*(Q27)+1.96^2)-(1.96*(SQRT(1.96^2+4*(Q27)*(1-((Q27)/R27))))))/(2*(R27+1.96^2))),0)," - ",ROUND(SUM(100*((2*(Q27)+1.96^2)+(1.96*(SQRT(1.96^2+4*(Q27)*(1-((Q27)/R27))))))/(2*(R27+1.96^2))),0)),""))</f>
        <v>7 - 30</v>
      </c>
      <c r="I27" s="231"/>
      <c r="J27" s="232"/>
      <c r="K27" s="1137"/>
      <c r="L27" s="1138"/>
      <c r="M27" s="416">
        <v>3</v>
      </c>
      <c r="N27" s="416">
        <v>39</v>
      </c>
      <c r="O27" s="416">
        <v>30</v>
      </c>
      <c r="P27" s="416">
        <v>39</v>
      </c>
      <c r="Q27" s="416">
        <v>6</v>
      </c>
      <c r="R27" s="416">
        <v>39</v>
      </c>
      <c r="S27" s="233"/>
      <c r="T27" s="233"/>
    </row>
    <row r="28" spans="1:20">
      <c r="A28" s="227" t="s">
        <v>121</v>
      </c>
      <c r="B28" s="227" t="s">
        <v>122</v>
      </c>
      <c r="C28" s="228">
        <f>M28/N28*100</f>
        <v>4.6511627906976747</v>
      </c>
      <c r="D28" s="228" t="str">
        <f>IF(AND(AND(N28&gt;0,M28&gt;0),ROUND(SUM(100*((2*M28+1.96^2)-(1.96*(SQRT(1.96^2+4*M28*(1-(M28/N28))))))/(2*(N28+1.96^2))),0)&lt;0),CONCATENATE(SUM(1*0)," - ",ROUND(SUM(100*((2*M28+1.96^2)+(1.96*(SQRT(1.96^2+4*M28*(1-(M28/N28))))))/(2*(N28+1.96^2))),0)),IF(AND(AND(N28&gt;0,M28&gt;0),ROUND(SUM(100*((2*M28+1.96^2)-(1.96*(SQRT(1.96^2+4*M28*(1-(M28/N28))))))/(2*(N28+1.96^2))),0)&gt;=0),CONCATENATE(ROUND(SUM(100*((2*M28+1.96^2)-(1.96*(SQRT(1.96^2+4*M28*(1-(M28/N28))))))/(2*(N28+1.96^2))),0)," - ",ROUND(SUM(100*((2*M28+1.96^2)+(1.96*(SQRT(1.96^2+4*M28*(1-(M28/N28))))))/(2*(N28+1.96^2))),0)),""))</f>
        <v>1 - 15</v>
      </c>
      <c r="E28" s="228">
        <f>O28/P28*100</f>
        <v>88.372093023255815</v>
      </c>
      <c r="F28" s="228" t="str">
        <f>IF(AND(AND(P28&gt;0,O28&gt;0),ROUND(SUM(100*((2*(O28)+1.96^2)-(1.96*(SQRT(1.96^2+4*(O28)*(1-((O28)/P28))))))/(2*(P28+1.96^2))),0)&lt;0),CONCATENATE(SUM(1*0)," - ",ROUND(SUM(100*((2*(O28)+1.96^2)+(1.96*(SQRT(1.96^2+4*(O28)*(1-((O28)/P28))))))/(2*(P28+1.96^2))),0)),IF(AND(AND(P28&gt;0,O28&gt;0),ROUND(SUM(100*((2*(O28)+1.96^2)-(1.96*(SQRT(1.96^2+4*(O28)*(1-((O28)/P28))))))/(2*(P28+1.96^2))),0)&gt;=0),CONCATENATE(ROUND(SUM(100*((2*(O28)+1.96^2)-(1.96*(SQRT(1.96^2+4*(O28)*(1-((O28)/P28))))))/(2*(P28+1.96^2))),0)," - ",ROUND(SUM(100*((2*(O28)+1.96^2)+(1.96*(SQRT(1.96^2+4*(O28)*(1-((O28)/P28))))))/(2*(P28+1.96^2))),0)),""))</f>
        <v>76 - 95</v>
      </c>
      <c r="G28" s="228">
        <f>Q28/R28*100</f>
        <v>6.9767441860465116</v>
      </c>
      <c r="H28" s="228" t="str">
        <f>IF(AND(AND(R28&gt;0,Q28&gt;0),ROUND(SUM(100*((2*(Q28)+1.96^2)-(1.96*(SQRT(1.96^2+4*(Q28)*(1-((Q28)/R28))))))/(2*(R28+1.96^2))),0)&lt;0),CONCATENATE(SUM(1*0)," - ",ROUND(SUM(100*((2*(Q28)+1.96^2)+(1.96*(SQRT(1.96^2+4*(Q28)*(1-((Q28)/R28))))))/(2*(R28+1.96^2))),0)),IF(AND(AND(R28&gt;0,Q28&gt;0),ROUND(SUM(100*((2*(Q28)+1.96^2)-(1.96*(SQRT(1.96^2+4*(Q28)*(1-((Q28)/R28))))))/(2*(R28+1.96^2))),0)&gt;=0),CONCATENATE(ROUND(SUM(100*((2*(Q28)+1.96^2)-(1.96*(SQRT(1.96^2+4*(Q28)*(1-((Q28)/R28))))))/(2*(R28+1.96^2))),0)," - ",ROUND(SUM(100*((2*(Q28)+1.96^2)+(1.96*(SQRT(1.96^2+4*(Q28)*(1-((Q28)/R28))))))/(2*(R28+1.96^2))),0)),""))</f>
        <v>2 - 19</v>
      </c>
      <c r="I28" s="231"/>
      <c r="J28" s="232"/>
      <c r="K28" s="1137"/>
      <c r="L28" s="1138"/>
      <c r="M28" s="416">
        <v>2</v>
      </c>
      <c r="N28" s="416">
        <v>43</v>
      </c>
      <c r="O28" s="416">
        <v>38</v>
      </c>
      <c r="P28" s="416">
        <v>43</v>
      </c>
      <c r="Q28" s="416">
        <v>3</v>
      </c>
      <c r="R28" s="416">
        <v>43</v>
      </c>
      <c r="S28" s="233"/>
      <c r="T28" s="233"/>
    </row>
    <row r="29" spans="1:20">
      <c r="A29" s="227" t="s">
        <v>124</v>
      </c>
      <c r="B29" s="227" t="s">
        <v>125</v>
      </c>
      <c r="C29" s="228">
        <f t="shared" si="1"/>
        <v>11.376146788990827</v>
      </c>
      <c r="D29" s="228" t="str">
        <f t="shared" si="2"/>
        <v>9 - 14</v>
      </c>
      <c r="E29" s="228">
        <f t="shared" si="3"/>
        <v>72.293577981651381</v>
      </c>
      <c r="F29" s="228" t="str">
        <f t="shared" si="4"/>
        <v>68 - 76</v>
      </c>
      <c r="G29" s="228">
        <f t="shared" si="5"/>
        <v>16.330275229357799</v>
      </c>
      <c r="H29" s="228" t="str">
        <f t="shared" si="6"/>
        <v>13 - 20</v>
      </c>
      <c r="I29" s="231"/>
      <c r="J29" s="232"/>
      <c r="K29" s="1137"/>
      <c r="L29" s="1138"/>
      <c r="M29" s="416">
        <v>62</v>
      </c>
      <c r="N29" s="416">
        <v>545</v>
      </c>
      <c r="O29" s="416">
        <v>394</v>
      </c>
      <c r="P29" s="416">
        <v>545</v>
      </c>
      <c r="Q29" s="416">
        <v>89</v>
      </c>
      <c r="R29" s="416">
        <v>545</v>
      </c>
      <c r="S29" s="233"/>
      <c r="T29" s="233"/>
    </row>
    <row r="30" spans="1:20">
      <c r="A30" s="227" t="s">
        <v>127</v>
      </c>
      <c r="B30" s="227" t="s">
        <v>128</v>
      </c>
      <c r="C30" s="228">
        <f t="shared" si="1"/>
        <v>6.9672131147540979</v>
      </c>
      <c r="D30" s="228" t="str">
        <f t="shared" si="2"/>
        <v>4 - 11</v>
      </c>
      <c r="E30" s="228">
        <f t="shared" si="3"/>
        <v>75</v>
      </c>
      <c r="F30" s="228" t="str">
        <f t="shared" si="4"/>
        <v>69 - 80</v>
      </c>
      <c r="G30" s="228">
        <f t="shared" si="5"/>
        <v>18.032786885245901</v>
      </c>
      <c r="H30" s="228" t="str">
        <f t="shared" si="6"/>
        <v>14 - 23</v>
      </c>
      <c r="I30" s="231"/>
      <c r="J30" s="232"/>
      <c r="K30" s="1137"/>
      <c r="L30" s="1138"/>
      <c r="M30" s="416">
        <v>17</v>
      </c>
      <c r="N30" s="416">
        <v>244</v>
      </c>
      <c r="O30" s="416">
        <v>183</v>
      </c>
      <c r="P30" s="416">
        <v>244</v>
      </c>
      <c r="Q30" s="416">
        <v>44</v>
      </c>
      <c r="R30" s="416">
        <v>244</v>
      </c>
      <c r="S30" s="233"/>
      <c r="T30" s="233"/>
    </row>
    <row r="31" spans="1:20">
      <c r="A31" s="227" t="s">
        <v>37</v>
      </c>
      <c r="B31" s="227" t="s">
        <v>133</v>
      </c>
      <c r="C31" s="228">
        <f t="shared" si="1"/>
        <v>0</v>
      </c>
      <c r="D31" s="228" t="str">
        <f t="shared" si="2"/>
        <v/>
      </c>
      <c r="E31" s="228">
        <f t="shared" si="3"/>
        <v>93.103448275862064</v>
      </c>
      <c r="F31" s="228" t="str">
        <f t="shared" si="4"/>
        <v>78 - 98</v>
      </c>
      <c r="G31" s="228">
        <f t="shared" si="5"/>
        <v>6.8965517241379306</v>
      </c>
      <c r="H31" s="228" t="str">
        <f t="shared" si="6"/>
        <v>2 - 22</v>
      </c>
      <c r="I31" s="231"/>
      <c r="J31" s="232"/>
      <c r="K31" s="1137"/>
      <c r="L31" s="1138"/>
      <c r="M31" s="416">
        <v>0</v>
      </c>
      <c r="N31" s="416">
        <v>29</v>
      </c>
      <c r="O31" s="416">
        <v>27</v>
      </c>
      <c r="P31" s="416">
        <v>29</v>
      </c>
      <c r="Q31" s="416">
        <v>2</v>
      </c>
      <c r="R31" s="416">
        <v>29</v>
      </c>
      <c r="S31" s="233"/>
      <c r="T31" s="233"/>
    </row>
    <row r="32" spans="1:20">
      <c r="A32" s="212"/>
      <c r="M32" s="811"/>
    </row>
    <row r="33" spans="1:20">
      <c r="A33" s="236"/>
      <c r="C33" s="215"/>
      <c r="D33" s="215"/>
      <c r="E33" s="215"/>
      <c r="F33" s="215"/>
      <c r="G33" s="215"/>
      <c r="H33" s="215"/>
      <c r="I33" s="215"/>
    </row>
    <row r="34" spans="1:20" ht="50.1" customHeight="1">
      <c r="A34" s="1159" t="s">
        <v>135</v>
      </c>
      <c r="B34" s="1160"/>
      <c r="C34" s="1161" t="str">
        <f>C2&amp;" (%)"</f>
        <v>Initial Only (%)</v>
      </c>
      <c r="D34" s="1162"/>
      <c r="E34" s="1161" t="str">
        <f>E2&amp;" (%)"</f>
        <v>Initial AND Final (%)</v>
      </c>
      <c r="F34" s="1162"/>
      <c r="G34" s="1161" t="str">
        <f>G2&amp;" (%)"</f>
        <v>Final Only (%)</v>
      </c>
      <c r="H34" s="1163"/>
      <c r="I34" s="1164"/>
      <c r="J34" s="1165"/>
      <c r="K34" s="1165"/>
      <c r="L34" s="1166"/>
      <c r="M34" s="1132" t="s">
        <v>282</v>
      </c>
      <c r="N34" s="1132"/>
      <c r="O34" s="1145" t="s">
        <v>283</v>
      </c>
      <c r="P34" s="1146"/>
      <c r="Q34" s="1132" t="s">
        <v>284</v>
      </c>
      <c r="R34" s="1132"/>
      <c r="S34" s="1149"/>
      <c r="T34" s="1134"/>
    </row>
    <row r="35" spans="1:20" ht="35.1" customHeight="1">
      <c r="A35" s="237"/>
      <c r="B35" s="238" t="s">
        <v>137</v>
      </c>
      <c r="C35" s="239" t="s">
        <v>138</v>
      </c>
      <c r="D35" s="240" t="s">
        <v>52</v>
      </c>
      <c r="E35" s="239" t="s">
        <v>138</v>
      </c>
      <c r="F35" s="240" t="s">
        <v>52</v>
      </c>
      <c r="G35" s="239" t="s">
        <v>138</v>
      </c>
      <c r="H35" s="241" t="s">
        <v>52</v>
      </c>
      <c r="I35" s="1167"/>
      <c r="J35" s="1168"/>
      <c r="K35" s="1168"/>
      <c r="L35" s="1169"/>
      <c r="M35" s="242" t="s">
        <v>26</v>
      </c>
      <c r="N35" s="243" t="s">
        <v>27</v>
      </c>
      <c r="O35" s="243" t="s">
        <v>26</v>
      </c>
      <c r="P35" s="243" t="s">
        <v>27</v>
      </c>
      <c r="Q35" s="243" t="s">
        <v>26</v>
      </c>
      <c r="R35" s="244" t="s">
        <v>27</v>
      </c>
      <c r="S35" s="245"/>
      <c r="T35" s="225"/>
    </row>
    <row r="36" spans="1:20">
      <c r="A36" s="1150"/>
      <c r="B36" s="246" t="s">
        <v>33</v>
      </c>
      <c r="C36" s="228">
        <f>M36/N36*100</f>
        <v>29.908864954432481</v>
      </c>
      <c r="D36" s="228" t="str">
        <f>IF(AND(AND(N36&gt;0,M36&gt;0),ROUND(SUM(100*((2*M36+1.96^2)-(1.96*(SQRT(1.96^2+4*M36*(1-(M36/N36))))))/(2*(N36+1.96^2))),0)&lt;0),CONCATENATE(SUM(1*0)," - ",ROUND(SUM(100*((2*M36+1.96^2)+(1.96*(SQRT(1.96^2+4*M36*(1-(M36/N36))))))/(2*(N36+1.96^2))),0)),IF(AND(AND(N36&gt;0,M36&gt;0),ROUND(SUM(100*((2*M36+1.96^2)-(1.96*(SQRT(1.96^2+4*M36*(1-(M36/N36))))))/(2*(N36+1.96^2))),0)&gt;=0),CONCATENATE(ROUND(SUM(100*((2*M36+1.96^2)-(1.96*(SQRT(1.96^2+4*M36*(1-(M36/N36))))))/(2*(N36+1.96^2))),0)," - ",ROUND(SUM(100*((2*M36+1.96^2)+(1.96*(SQRT(1.96^2+4*M36*(1-(M36/N36))))))/(2*(N36+1.96^2))),0)),""))</f>
        <v>27 - 33</v>
      </c>
      <c r="E36" s="228">
        <f>O36/P36*100</f>
        <v>58.16072908036454</v>
      </c>
      <c r="F36" s="228" t="str">
        <f>IF(AND(AND(P36&gt;0,O36&gt;0),ROUND(SUM(100*((2*(O36)+1.96^2)-(1.96*(SQRT(1.96^2+4*(O36)*(1-((O36)/P36))))))/(2*(P36+1.96^2))),0)&lt;0),CONCATENATE(SUM(1*0)," - ",ROUND(SUM(100*((2*(O36)+1.96^2)+(1.96*(SQRT(1.96^2+4*(O36)*(1-((O36)/P36))))))/(2*(P36+1.96^2))),0)),IF(AND(AND(P36&gt;0,O36&gt;0),ROUND(SUM(100*((2*(O36)+1.96^2)-(1.96*(SQRT(1.96^2+4*(O36)*(1-((O36)/P36))))))/(2*(P36+1.96^2))),0)&gt;=0),CONCATENATE(ROUND(SUM(100*((2*(O36)+1.96^2)-(1.96*(SQRT(1.96^2+4*(O36)*(1-((O36)/P36))))))/(2*(P36+1.96^2))),0)," - ",ROUND(SUM(100*((2*(O36)+1.96^2)+(1.96*(SQRT(1.96^2+4*(O36)*(1-((O36)/P36))))))/(2*(P36+1.96^2))),0)),""))</f>
        <v>55 - 61</v>
      </c>
      <c r="G36" s="228">
        <f>Q36/R36*100</f>
        <v>11.930405965202983</v>
      </c>
      <c r="H36" s="247" t="str">
        <f>IF(AND(AND(R36&gt;0,Q36&gt;0),ROUND(SUM(100*((2*(Q36)+1.96^2)-(1.96*(SQRT(1.96^2+4*(Q36)*(1-((Q36)/R36))))))/(2*(R36+1.96^2))),0)&lt;0),CONCATENATE(SUM(1*0)," - ",ROUND(SUM(100*((2*(Q36)+1.96^2)+(1.96*(SQRT(1.96^2+4*(Q36)*(1-((Q36)/R36))))))/(2*(R36+1.96^2))),0)),IF(AND(AND(R36&gt;0,Q36&gt;0),ROUND(SUM(100*((2*(Q36)+1.96^2)-(1.96*(SQRT(1.96^2+4*(Q36)*(1-((Q36)/R36))))))/(2*(R36+1.96^2))),0)&gt;=0),CONCATENATE(ROUND(SUM(100*((2*(Q36)+1.96^2)-(1.96*(SQRT(1.96^2+4*(Q36)*(1-((Q36)/R36))))))/(2*(R36+1.96^2))),0)," - ",ROUND(SUM(100*((2*(Q36)+1.96^2)+(1.96*(SQRT(1.96^2+4*(Q36)*(1-((Q36)/R36))))))/(2*(R36+1.96^2))),0)),""))</f>
        <v>10 - 14</v>
      </c>
      <c r="I36" s="1153"/>
      <c r="J36" s="1154"/>
      <c r="K36" s="1154"/>
      <c r="L36" s="1155"/>
      <c r="M36" s="417">
        <v>361</v>
      </c>
      <c r="N36" s="417">
        <v>1207</v>
      </c>
      <c r="O36" s="418">
        <v>702</v>
      </c>
      <c r="P36" s="418">
        <v>1207</v>
      </c>
      <c r="Q36" s="419">
        <v>144</v>
      </c>
      <c r="R36" s="419">
        <v>1207</v>
      </c>
      <c r="S36" s="245"/>
      <c r="T36" s="225"/>
    </row>
    <row r="37" spans="1:20">
      <c r="A37" s="1151"/>
      <c r="B37" s="246" t="s">
        <v>28</v>
      </c>
      <c r="C37" s="228">
        <f t="shared" ref="C37:C49" si="7">M37/N37*100</f>
        <v>10.37344398340249</v>
      </c>
      <c r="D37" s="228" t="str">
        <f t="shared" ref="D37:D49" si="8">IF(AND(AND(N37&gt;0,M37&gt;0),ROUND(SUM(100*((2*M37+1.96^2)-(1.96*(SQRT(1.96^2+4*M37*(1-(M37/N37))))))/(2*(N37+1.96^2))),0)&lt;0),CONCATENATE(SUM(1*0)," - ",ROUND(SUM(100*((2*M37+1.96^2)+(1.96*(SQRT(1.96^2+4*M37*(1-(M37/N37))))))/(2*(N37+1.96^2))),0)),IF(AND(AND(N37&gt;0,M37&gt;0),ROUND(SUM(100*((2*M37+1.96^2)-(1.96*(SQRT(1.96^2+4*M37*(1-(M37/N37))))))/(2*(N37+1.96^2))),0)&gt;=0),CONCATENATE(ROUND(SUM(100*((2*M37+1.96^2)-(1.96*(SQRT(1.96^2+4*M37*(1-(M37/N37))))))/(2*(N37+1.96^2))),0)," - ",ROUND(SUM(100*((2*M37+1.96^2)+(1.96*(SQRT(1.96^2+4*M37*(1-(M37/N37))))))/(2*(N37+1.96^2))),0)),""))</f>
        <v>7 - 15</v>
      </c>
      <c r="E37" s="228">
        <f t="shared" ref="E37:E49" si="9">O37/P37*100</f>
        <v>81.742738589211612</v>
      </c>
      <c r="F37" s="228" t="str">
        <f t="shared" ref="F37:F49" si="10">IF(AND(AND(P37&gt;0,O37&gt;0),ROUND(SUM(100*((2*(O37)+1.96^2)-(1.96*(SQRT(1.96^2+4*(O37)*(1-((O37)/P37))))))/(2*(P37+1.96^2))),0)&lt;0),CONCATENATE(SUM(1*0)," - ",ROUND(SUM(100*((2*(O37)+1.96^2)+(1.96*(SQRT(1.96^2+4*(O37)*(1-((O37)/P37))))))/(2*(P37+1.96^2))),0)),IF(AND(AND(P37&gt;0,O37&gt;0),ROUND(SUM(100*((2*(O37)+1.96^2)-(1.96*(SQRT(1.96^2+4*(O37)*(1-((O37)/P37))))))/(2*(P37+1.96^2))),0)&gt;=0),CONCATENATE(ROUND(SUM(100*((2*(O37)+1.96^2)-(1.96*(SQRT(1.96^2+4*(O37)*(1-((O37)/P37))))))/(2*(P37+1.96^2))),0)," - ",ROUND(SUM(100*((2*(O37)+1.96^2)+(1.96*(SQRT(1.96^2+4*(O37)*(1-((O37)/P37))))))/(2*(P37+1.96^2))),0)),""))</f>
        <v>76 - 86</v>
      </c>
      <c r="G37" s="228">
        <f t="shared" ref="G37:G49" si="11">Q37/R37*100</f>
        <v>7.8838174273858916</v>
      </c>
      <c r="H37" s="247" t="str">
        <f t="shared" ref="H37:H49" si="12">IF(AND(AND(R37&gt;0,Q37&gt;0),ROUND(SUM(100*((2*(Q37)+1.96^2)-(1.96*(SQRT(1.96^2+4*(Q37)*(1-((Q37)/R37))))))/(2*(R37+1.96^2))),0)&lt;0),CONCATENATE(SUM(1*0)," - ",ROUND(SUM(100*((2*(Q37)+1.96^2)+(1.96*(SQRT(1.96^2+4*(Q37)*(1-((Q37)/R37))))))/(2*(R37+1.96^2))),0)),IF(AND(AND(R37&gt;0,Q37&gt;0),ROUND(SUM(100*((2*(Q37)+1.96^2)-(1.96*(SQRT(1.96^2+4*(Q37)*(1-((Q37)/R37))))))/(2*(R37+1.96^2))),0)&gt;=0),CONCATENATE(ROUND(SUM(100*((2*(Q37)+1.96^2)-(1.96*(SQRT(1.96^2+4*(Q37)*(1-((Q37)/R37))))))/(2*(R37+1.96^2))),0)," - ",ROUND(SUM(100*((2*(Q37)+1.96^2)+(1.96*(SQRT(1.96^2+4*(Q37)*(1-((Q37)/R37))))))/(2*(R37+1.96^2))),0)),""))</f>
        <v>5 - 12</v>
      </c>
      <c r="I37" s="1153"/>
      <c r="J37" s="1154"/>
      <c r="K37" s="1154"/>
      <c r="L37" s="1155"/>
      <c r="M37" s="417">
        <v>25</v>
      </c>
      <c r="N37" s="417">
        <v>241</v>
      </c>
      <c r="O37" s="417">
        <v>197</v>
      </c>
      <c r="P37" s="417">
        <v>241</v>
      </c>
      <c r="Q37" s="419">
        <v>19</v>
      </c>
      <c r="R37" s="419">
        <v>241</v>
      </c>
      <c r="S37" s="248"/>
      <c r="T37" s="233"/>
    </row>
    <row r="38" spans="1:20">
      <c r="A38" s="1151"/>
      <c r="B38" s="246" t="s">
        <v>31</v>
      </c>
      <c r="C38" s="228">
        <f t="shared" si="7"/>
        <v>10.074626865671641</v>
      </c>
      <c r="D38" s="228" t="str">
        <f t="shared" si="8"/>
        <v>7 - 14</v>
      </c>
      <c r="E38" s="228">
        <f t="shared" si="9"/>
        <v>71.641791044776113</v>
      </c>
      <c r="F38" s="228" t="str">
        <f t="shared" si="10"/>
        <v>66 - 77</v>
      </c>
      <c r="G38" s="228">
        <f t="shared" si="11"/>
        <v>18.28358208955224</v>
      </c>
      <c r="H38" s="247" t="str">
        <f t="shared" si="12"/>
        <v>14 - 23</v>
      </c>
      <c r="I38" s="1153"/>
      <c r="J38" s="1154"/>
      <c r="K38" s="1154"/>
      <c r="L38" s="1155"/>
      <c r="M38" s="417">
        <v>27</v>
      </c>
      <c r="N38" s="417">
        <v>268</v>
      </c>
      <c r="O38" s="417">
        <v>192</v>
      </c>
      <c r="P38" s="417">
        <v>268</v>
      </c>
      <c r="Q38" s="419">
        <v>49</v>
      </c>
      <c r="R38" s="419">
        <v>268</v>
      </c>
      <c r="S38" s="248"/>
      <c r="T38" s="233"/>
    </row>
    <row r="39" spans="1:20">
      <c r="A39" s="1151"/>
      <c r="B39" s="246" t="s">
        <v>30</v>
      </c>
      <c r="C39" s="228">
        <f t="shared" si="7"/>
        <v>11.360634081902246</v>
      </c>
      <c r="D39" s="228" t="str">
        <f t="shared" si="8"/>
        <v>9 - 14</v>
      </c>
      <c r="E39" s="228">
        <f t="shared" si="9"/>
        <v>83.091149273447812</v>
      </c>
      <c r="F39" s="228" t="str">
        <f t="shared" si="10"/>
        <v>80 - 86</v>
      </c>
      <c r="G39" s="228">
        <f t="shared" si="11"/>
        <v>5.5482166446499335</v>
      </c>
      <c r="H39" s="247" t="str">
        <f t="shared" si="12"/>
        <v>4 - 7</v>
      </c>
      <c r="I39" s="1153"/>
      <c r="J39" s="1154"/>
      <c r="K39" s="1154"/>
      <c r="L39" s="1155"/>
      <c r="M39" s="417">
        <v>86</v>
      </c>
      <c r="N39" s="417">
        <v>757</v>
      </c>
      <c r="O39" s="417">
        <v>629</v>
      </c>
      <c r="P39" s="417">
        <v>757</v>
      </c>
      <c r="Q39" s="419">
        <v>42</v>
      </c>
      <c r="R39" s="419">
        <v>757</v>
      </c>
      <c r="S39" s="248"/>
      <c r="T39" s="233"/>
    </row>
    <row r="40" spans="1:20">
      <c r="A40" s="1151"/>
      <c r="B40" s="246" t="s">
        <v>35</v>
      </c>
      <c r="C40" s="228">
        <f t="shared" si="7"/>
        <v>15.670436187399032</v>
      </c>
      <c r="D40" s="228" t="str">
        <f t="shared" si="8"/>
        <v>13 - 19</v>
      </c>
      <c r="E40" s="228">
        <f t="shared" si="9"/>
        <v>66.882067851373179</v>
      </c>
      <c r="F40" s="228" t="str">
        <f t="shared" si="10"/>
        <v>63 - 70</v>
      </c>
      <c r="G40" s="228">
        <f t="shared" si="11"/>
        <v>17.447495961227787</v>
      </c>
      <c r="H40" s="247" t="str">
        <f t="shared" si="12"/>
        <v>15 - 21</v>
      </c>
      <c r="I40" s="1153"/>
      <c r="J40" s="1154"/>
      <c r="K40" s="1154"/>
      <c r="L40" s="1155"/>
      <c r="M40" s="417">
        <v>97</v>
      </c>
      <c r="N40" s="417">
        <v>619</v>
      </c>
      <c r="O40" s="417">
        <v>414</v>
      </c>
      <c r="P40" s="417">
        <v>619</v>
      </c>
      <c r="Q40" s="419">
        <v>108</v>
      </c>
      <c r="R40" s="419">
        <v>619</v>
      </c>
      <c r="S40" s="248"/>
      <c r="T40" s="233"/>
    </row>
    <row r="41" spans="1:20">
      <c r="A41" s="1151"/>
      <c r="B41" s="246" t="s">
        <v>34</v>
      </c>
      <c r="C41" s="228">
        <f t="shared" si="7"/>
        <v>9.9330357142857135</v>
      </c>
      <c r="D41" s="228" t="str">
        <f t="shared" si="8"/>
        <v>8 - 12</v>
      </c>
      <c r="E41" s="228">
        <f t="shared" si="9"/>
        <v>79.352678571428569</v>
      </c>
      <c r="F41" s="228" t="str">
        <f t="shared" si="10"/>
        <v>77 - 82</v>
      </c>
      <c r="G41" s="228">
        <f t="shared" si="11"/>
        <v>10.714285714285714</v>
      </c>
      <c r="H41" s="247" t="str">
        <f t="shared" si="12"/>
        <v>9 - 13</v>
      </c>
      <c r="I41" s="1153"/>
      <c r="J41" s="1154"/>
      <c r="K41" s="1154"/>
      <c r="L41" s="1155"/>
      <c r="M41" s="417">
        <v>89</v>
      </c>
      <c r="N41" s="417">
        <v>896</v>
      </c>
      <c r="O41" s="417">
        <v>711</v>
      </c>
      <c r="P41" s="417">
        <v>896</v>
      </c>
      <c r="Q41" s="419">
        <v>96</v>
      </c>
      <c r="R41" s="419">
        <v>896</v>
      </c>
      <c r="S41" s="248"/>
      <c r="T41" s="233"/>
    </row>
    <row r="42" spans="1:20">
      <c r="A42" s="1151"/>
      <c r="B42" s="246" t="s">
        <v>40</v>
      </c>
      <c r="C42" s="228">
        <f t="shared" si="7"/>
        <v>17.078260869565216</v>
      </c>
      <c r="D42" s="228" t="str">
        <f t="shared" si="8"/>
        <v>16 - 18</v>
      </c>
      <c r="E42" s="228">
        <f t="shared" si="9"/>
        <v>72.660869565217396</v>
      </c>
      <c r="F42" s="228" t="str">
        <f t="shared" si="10"/>
        <v>71 - 74</v>
      </c>
      <c r="G42" s="228">
        <f t="shared" si="11"/>
        <v>10.260869565217391</v>
      </c>
      <c r="H42" s="247" t="str">
        <f t="shared" si="12"/>
        <v>9 - 11</v>
      </c>
      <c r="I42" s="1153"/>
      <c r="J42" s="1154"/>
      <c r="K42" s="1154"/>
      <c r="L42" s="1155"/>
      <c r="M42" s="417">
        <v>491</v>
      </c>
      <c r="N42" s="417">
        <v>2875</v>
      </c>
      <c r="O42" s="417">
        <v>2089</v>
      </c>
      <c r="P42" s="417">
        <v>2875</v>
      </c>
      <c r="Q42" s="419">
        <v>295</v>
      </c>
      <c r="R42" s="419">
        <v>2875</v>
      </c>
      <c r="S42" s="248"/>
      <c r="T42" s="233"/>
    </row>
    <row r="43" spans="1:20">
      <c r="A43" s="1151"/>
      <c r="B43" s="246" t="s">
        <v>36</v>
      </c>
      <c r="C43" s="228">
        <f t="shared" si="7"/>
        <v>11.654135338345863</v>
      </c>
      <c r="D43" s="228" t="str">
        <f t="shared" si="8"/>
        <v>9 - 15</v>
      </c>
      <c r="E43" s="228">
        <f t="shared" si="9"/>
        <v>86.842105263157904</v>
      </c>
      <c r="F43" s="228" t="str">
        <f t="shared" si="10"/>
        <v>84 - 89</v>
      </c>
      <c r="G43" s="228">
        <f t="shared" si="11"/>
        <v>1.5037593984962405</v>
      </c>
      <c r="H43" s="247" t="str">
        <f t="shared" si="12"/>
        <v>1 - 3</v>
      </c>
      <c r="I43" s="1153"/>
      <c r="J43" s="1154"/>
      <c r="K43" s="1154"/>
      <c r="L43" s="1155"/>
      <c r="M43" s="417">
        <v>62</v>
      </c>
      <c r="N43" s="417">
        <v>532</v>
      </c>
      <c r="O43" s="417">
        <v>462</v>
      </c>
      <c r="P43" s="417">
        <v>532</v>
      </c>
      <c r="Q43" s="419">
        <v>8</v>
      </c>
      <c r="R43" s="419">
        <v>532</v>
      </c>
      <c r="S43" s="248"/>
      <c r="T43" s="233"/>
    </row>
    <row r="44" spans="1:20" ht="14.25">
      <c r="A44" s="1151"/>
      <c r="B44" s="246" t="s">
        <v>288</v>
      </c>
      <c r="C44" s="228">
        <f t="shared" si="7"/>
        <v>5.2062868369351669</v>
      </c>
      <c r="D44" s="228" t="str">
        <f t="shared" si="8"/>
        <v>4 - 7</v>
      </c>
      <c r="E44" s="228">
        <f t="shared" si="9"/>
        <v>72.59332023575638</v>
      </c>
      <c r="F44" s="228" t="str">
        <f t="shared" si="10"/>
        <v>70 - 75</v>
      </c>
      <c r="G44" s="228">
        <f t="shared" si="11"/>
        <v>22.200392927308449</v>
      </c>
      <c r="H44" s="247" t="str">
        <f t="shared" si="12"/>
        <v>20 - 25</v>
      </c>
      <c r="I44" s="1153"/>
      <c r="J44" s="1154"/>
      <c r="K44" s="1154"/>
      <c r="L44" s="1155"/>
      <c r="M44" s="417">
        <v>53</v>
      </c>
      <c r="N44" s="417">
        <v>1018</v>
      </c>
      <c r="O44" s="417">
        <v>739</v>
      </c>
      <c r="P44" s="417">
        <v>1018</v>
      </c>
      <c r="Q44" s="419">
        <v>226</v>
      </c>
      <c r="R44" s="419">
        <v>1018</v>
      </c>
      <c r="S44" s="248"/>
      <c r="T44" s="233"/>
    </row>
    <row r="45" spans="1:20">
      <c r="A45" s="1151"/>
      <c r="B45" s="246" t="s">
        <v>38</v>
      </c>
      <c r="C45" s="228">
        <f t="shared" si="7"/>
        <v>16.064257028112451</v>
      </c>
      <c r="D45" s="228" t="str">
        <f t="shared" si="8"/>
        <v>14 - 18</v>
      </c>
      <c r="E45" s="228">
        <f t="shared" si="9"/>
        <v>69.822145725760194</v>
      </c>
      <c r="F45" s="228" t="str">
        <f t="shared" si="10"/>
        <v>68 - 72</v>
      </c>
      <c r="G45" s="228">
        <f t="shared" si="11"/>
        <v>14.113597246127366</v>
      </c>
      <c r="H45" s="247" t="str">
        <f t="shared" si="12"/>
        <v>13 - 16</v>
      </c>
      <c r="I45" s="1153"/>
      <c r="J45" s="1154"/>
      <c r="K45" s="1154"/>
      <c r="L45" s="1155"/>
      <c r="M45" s="417">
        <v>280</v>
      </c>
      <c r="N45" s="417">
        <v>1743</v>
      </c>
      <c r="O45" s="417">
        <v>1217</v>
      </c>
      <c r="P45" s="417">
        <v>1743</v>
      </c>
      <c r="Q45" s="419">
        <v>246</v>
      </c>
      <c r="R45" s="419">
        <v>1743</v>
      </c>
      <c r="S45" s="248"/>
      <c r="T45" s="233"/>
    </row>
    <row r="46" spans="1:20">
      <c r="A46" s="1151"/>
      <c r="B46" s="246" t="s">
        <v>41</v>
      </c>
      <c r="C46" s="228">
        <f t="shared" si="7"/>
        <v>7.6923076923076925</v>
      </c>
      <c r="D46" s="228" t="str">
        <f t="shared" si="8"/>
        <v>3 - 20</v>
      </c>
      <c r="E46" s="228">
        <f t="shared" si="9"/>
        <v>76.923076923076934</v>
      </c>
      <c r="F46" s="228" t="str">
        <f t="shared" si="10"/>
        <v>62 - 87</v>
      </c>
      <c r="G46" s="228">
        <f t="shared" si="11"/>
        <v>15.384615384615385</v>
      </c>
      <c r="H46" s="247" t="str">
        <f t="shared" si="12"/>
        <v>7 - 30</v>
      </c>
      <c r="I46" s="1153"/>
      <c r="J46" s="1154"/>
      <c r="K46" s="1154"/>
      <c r="L46" s="1155"/>
      <c r="M46" s="417">
        <v>3</v>
      </c>
      <c r="N46" s="417">
        <v>39</v>
      </c>
      <c r="O46" s="417">
        <v>30</v>
      </c>
      <c r="P46" s="417">
        <v>39</v>
      </c>
      <c r="Q46" s="419">
        <v>6</v>
      </c>
      <c r="R46" s="419">
        <v>39</v>
      </c>
      <c r="S46" s="248"/>
      <c r="T46" s="233"/>
    </row>
    <row r="47" spans="1:20">
      <c r="A47" s="1151"/>
      <c r="B47" s="246" t="s">
        <v>39</v>
      </c>
      <c r="C47" s="228">
        <f t="shared" si="7"/>
        <v>4.6511627906976747</v>
      </c>
      <c r="D47" s="228" t="str">
        <f t="shared" si="8"/>
        <v>1 - 15</v>
      </c>
      <c r="E47" s="228">
        <f t="shared" si="9"/>
        <v>88.372093023255815</v>
      </c>
      <c r="F47" s="228" t="str">
        <f t="shared" si="10"/>
        <v>76 - 95</v>
      </c>
      <c r="G47" s="228">
        <f t="shared" si="11"/>
        <v>6.9767441860465116</v>
      </c>
      <c r="H47" s="247" t="str">
        <f t="shared" si="12"/>
        <v>2 - 19</v>
      </c>
      <c r="I47" s="1153"/>
      <c r="J47" s="1154"/>
      <c r="K47" s="1154"/>
      <c r="L47" s="1155"/>
      <c r="M47" s="417">
        <v>2</v>
      </c>
      <c r="N47" s="417">
        <v>43</v>
      </c>
      <c r="O47" s="417">
        <v>38</v>
      </c>
      <c r="P47" s="417">
        <v>43</v>
      </c>
      <c r="Q47" s="419">
        <v>3</v>
      </c>
      <c r="R47" s="419">
        <v>43</v>
      </c>
      <c r="S47" s="248"/>
      <c r="T47" s="233"/>
    </row>
    <row r="48" spans="1:20">
      <c r="A48" s="1151"/>
      <c r="B48" s="246" t="s">
        <v>32</v>
      </c>
      <c r="C48" s="228">
        <f t="shared" si="7"/>
        <v>10.012674271229404</v>
      </c>
      <c r="D48" s="228" t="str">
        <f t="shared" si="8"/>
        <v>8 - 12</v>
      </c>
      <c r="E48" s="228">
        <f t="shared" si="9"/>
        <v>73.130544993662866</v>
      </c>
      <c r="F48" s="228" t="str">
        <f t="shared" si="10"/>
        <v>70 - 76</v>
      </c>
      <c r="G48" s="228">
        <f t="shared" si="11"/>
        <v>16.856780735107733</v>
      </c>
      <c r="H48" s="247" t="str">
        <f t="shared" si="12"/>
        <v>14 - 20</v>
      </c>
      <c r="I48" s="1153"/>
      <c r="J48" s="1154"/>
      <c r="K48" s="1154"/>
      <c r="L48" s="1155"/>
      <c r="M48" s="417">
        <v>79</v>
      </c>
      <c r="N48" s="417">
        <v>789</v>
      </c>
      <c r="O48" s="417">
        <v>577</v>
      </c>
      <c r="P48" s="417">
        <v>789</v>
      </c>
      <c r="Q48" s="419">
        <v>133</v>
      </c>
      <c r="R48" s="419">
        <v>789</v>
      </c>
      <c r="S48" s="248"/>
      <c r="T48" s="233"/>
    </row>
    <row r="49" spans="1:20">
      <c r="A49" s="1152"/>
      <c r="B49" s="246" t="s">
        <v>37</v>
      </c>
      <c r="C49" s="228">
        <f t="shared" si="7"/>
        <v>0</v>
      </c>
      <c r="D49" s="228" t="str">
        <f t="shared" si="8"/>
        <v/>
      </c>
      <c r="E49" s="228">
        <f t="shared" si="9"/>
        <v>93.103448275862064</v>
      </c>
      <c r="F49" s="228" t="str">
        <f t="shared" si="10"/>
        <v>78 - 98</v>
      </c>
      <c r="G49" s="228">
        <f t="shared" si="11"/>
        <v>6.8965517241379306</v>
      </c>
      <c r="H49" s="247" t="str">
        <f t="shared" si="12"/>
        <v>2 - 22</v>
      </c>
      <c r="I49" s="1156"/>
      <c r="J49" s="1157"/>
      <c r="K49" s="1157"/>
      <c r="L49" s="1158"/>
      <c r="M49" s="417">
        <v>0</v>
      </c>
      <c r="N49" s="417">
        <v>29</v>
      </c>
      <c r="O49" s="417">
        <v>27</v>
      </c>
      <c r="P49" s="417">
        <v>29</v>
      </c>
      <c r="Q49" s="419">
        <v>2</v>
      </c>
      <c r="R49" s="419">
        <v>29</v>
      </c>
      <c r="S49" s="249"/>
      <c r="T49" s="250"/>
    </row>
    <row r="50" spans="1:20">
      <c r="A50" s="236"/>
      <c r="B50" s="214"/>
      <c r="C50" s="215"/>
      <c r="D50" s="215"/>
      <c r="E50" s="215"/>
      <c r="F50" s="215"/>
      <c r="G50" s="215"/>
      <c r="H50" s="215"/>
      <c r="I50" s="215"/>
      <c r="J50" s="215"/>
      <c r="M50" s="216"/>
      <c r="N50" s="216"/>
      <c r="O50" s="216"/>
      <c r="P50" s="216"/>
    </row>
    <row r="51" spans="1:20">
      <c r="A51" s="251" t="s">
        <v>139</v>
      </c>
      <c r="C51" s="215"/>
      <c r="D51" s="215"/>
      <c r="E51" s="215"/>
      <c r="F51" s="215"/>
      <c r="G51" s="215"/>
      <c r="H51" s="215"/>
      <c r="I51" s="215"/>
      <c r="J51" s="215"/>
    </row>
    <row r="52" spans="1:20">
      <c r="A52" s="236"/>
      <c r="C52" s="215"/>
      <c r="D52" s="215"/>
      <c r="E52" s="215"/>
      <c r="F52" s="215"/>
      <c r="G52" s="215"/>
      <c r="H52" s="215"/>
      <c r="I52" s="215"/>
    </row>
    <row r="53" spans="1:20">
      <c r="A53" s="236"/>
      <c r="C53" s="215"/>
      <c r="D53" s="215"/>
      <c r="E53" s="215"/>
      <c r="F53" s="215"/>
      <c r="G53" s="215"/>
      <c r="H53" s="215"/>
      <c r="I53" s="215"/>
    </row>
    <row r="54" spans="1:20">
      <c r="A54" s="236"/>
      <c r="C54" s="215"/>
      <c r="D54" s="215"/>
      <c r="E54" s="215"/>
      <c r="F54" s="215"/>
      <c r="G54" s="215"/>
      <c r="H54" s="215"/>
      <c r="I54" s="215"/>
    </row>
    <row r="55" spans="1:20">
      <c r="A55" s="236"/>
      <c r="C55" s="215"/>
      <c r="D55" s="215"/>
      <c r="E55" s="215"/>
      <c r="F55" s="215"/>
      <c r="G55" s="215"/>
      <c r="H55" s="215"/>
      <c r="I55" s="215"/>
    </row>
    <row r="56" spans="1:20">
      <c r="A56" s="236"/>
      <c r="C56" s="215"/>
      <c r="D56" s="215"/>
      <c r="E56" s="215"/>
      <c r="F56" s="215"/>
      <c r="G56" s="215"/>
      <c r="H56" s="215"/>
      <c r="I56" s="215"/>
    </row>
    <row r="57" spans="1:20">
      <c r="A57" s="236"/>
      <c r="C57" s="215"/>
      <c r="D57" s="215"/>
      <c r="E57" s="215"/>
      <c r="F57" s="215"/>
      <c r="G57" s="215"/>
      <c r="H57" s="215"/>
      <c r="I57" s="215"/>
    </row>
    <row r="58" spans="1:20">
      <c r="A58" s="236"/>
      <c r="C58" s="215"/>
      <c r="D58" s="215"/>
      <c r="E58" s="215"/>
      <c r="F58" s="215"/>
      <c r="G58" s="215"/>
      <c r="H58" s="215"/>
      <c r="I58" s="215"/>
    </row>
    <row r="59" spans="1:20">
      <c r="A59" s="236"/>
      <c r="C59" s="215"/>
      <c r="D59" s="215"/>
      <c r="E59" s="215"/>
      <c r="F59" s="215"/>
      <c r="G59" s="215"/>
      <c r="H59" s="215"/>
      <c r="I59" s="215"/>
    </row>
  </sheetData>
  <sheetProtection password="B8D9" sheet="1" objects="1" scenarios="1"/>
  <mergeCells count="47">
    <mergeCell ref="A36:A49"/>
    <mergeCell ref="I36:L49"/>
    <mergeCell ref="K13:L13"/>
    <mergeCell ref="M34:N34"/>
    <mergeCell ref="O34:P34"/>
    <mergeCell ref="K14:L14"/>
    <mergeCell ref="K15:L15"/>
    <mergeCell ref="K16:L16"/>
    <mergeCell ref="K17:L17"/>
    <mergeCell ref="A34:B34"/>
    <mergeCell ref="C34:D34"/>
    <mergeCell ref="E34:F34"/>
    <mergeCell ref="G34:H34"/>
    <mergeCell ref="I34:L35"/>
    <mergeCell ref="Q34:R34"/>
    <mergeCell ref="S34:T34"/>
    <mergeCell ref="K18:L18"/>
    <mergeCell ref="K30:L30"/>
    <mergeCell ref="K31:L31"/>
    <mergeCell ref="K22:L22"/>
    <mergeCell ref="K29:L29"/>
    <mergeCell ref="K23:L23"/>
    <mergeCell ref="K19:L19"/>
    <mergeCell ref="K20:L20"/>
    <mergeCell ref="K21:L21"/>
    <mergeCell ref="K24:L24"/>
    <mergeCell ref="K25:L25"/>
    <mergeCell ref="K26:L26"/>
    <mergeCell ref="K27:L27"/>
    <mergeCell ref="K28:L28"/>
    <mergeCell ref="K12:L12"/>
    <mergeCell ref="K6:L6"/>
    <mergeCell ref="K7:L7"/>
    <mergeCell ref="K8:L8"/>
    <mergeCell ref="K9:L9"/>
    <mergeCell ref="K10:L10"/>
    <mergeCell ref="K11:L11"/>
    <mergeCell ref="Q1:R1"/>
    <mergeCell ref="S1:T1"/>
    <mergeCell ref="K4:L4"/>
    <mergeCell ref="K5:L5"/>
    <mergeCell ref="A1:B1"/>
    <mergeCell ref="C1:H1"/>
    <mergeCell ref="K1:L2"/>
    <mergeCell ref="M1:N1"/>
    <mergeCell ref="O1:P1"/>
    <mergeCell ref="K3:L3"/>
  </mergeCells>
  <pageMargins left="0.70866141732283472" right="0.70866141732283472" top="0.74803149606299213" bottom="0.74803149606299213" header="0.31496062992125984" footer="0.31496062992125984"/>
  <pageSetup paperSize="9" scale="62"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6.xml><?xml version="1.0" encoding="utf-8"?>
<worksheet xmlns="http://schemas.openxmlformats.org/spreadsheetml/2006/main" xmlns:r="http://schemas.openxmlformats.org/officeDocument/2006/relationships">
  <sheetPr codeName="Sheet1">
    <pageSetUpPr fitToPage="1"/>
  </sheetPr>
  <dimension ref="A1:O35"/>
  <sheetViews>
    <sheetView workbookViewId="0"/>
  </sheetViews>
  <sheetFormatPr defaultRowHeight="12.75"/>
  <cols>
    <col min="1" max="1" width="1.7109375" style="325" customWidth="1"/>
    <col min="2" max="2" width="32.7109375" style="325" customWidth="1"/>
    <col min="3" max="4" width="24.7109375" style="325" customWidth="1"/>
    <col min="5" max="5" width="26.85546875" style="325" customWidth="1"/>
    <col min="6" max="6" width="12.7109375" style="325" customWidth="1"/>
    <col min="7" max="7" width="1.7109375" style="325" customWidth="1"/>
    <col min="8" max="8" width="12.7109375" style="325" customWidth="1"/>
    <col min="9" max="9" width="9.140625" style="325"/>
    <col min="10" max="11" width="6.7109375" style="325" customWidth="1"/>
    <col min="12" max="13" width="9.5703125" style="325" bestFit="1" customWidth="1"/>
    <col min="14" max="16384" width="9.140625" style="325"/>
  </cols>
  <sheetData>
    <row r="1" spans="1:15" ht="15.75" customHeight="1">
      <c r="B1" s="26" t="s">
        <v>649</v>
      </c>
      <c r="C1" s="26"/>
      <c r="D1" s="26"/>
      <c r="E1" s="26"/>
      <c r="F1" s="323"/>
    </row>
    <row r="2" spans="1:15">
      <c r="B2" s="323"/>
      <c r="C2" s="323"/>
      <c r="D2" s="105"/>
      <c r="E2" s="105"/>
      <c r="F2" s="105"/>
      <c r="G2" s="105"/>
      <c r="H2" s="105"/>
    </row>
    <row r="3" spans="1:15" ht="15">
      <c r="B3" s="958" t="s">
        <v>45</v>
      </c>
      <c r="C3" s="958"/>
      <c r="F3" s="277"/>
    </row>
    <row r="4" spans="1:15">
      <c r="B4" s="959" t="s">
        <v>277</v>
      </c>
      <c r="C4" s="960" t="s">
        <v>644</v>
      </c>
      <c r="D4" s="960" t="s">
        <v>650</v>
      </c>
      <c r="E4" s="960" t="s">
        <v>261</v>
      </c>
      <c r="F4" s="961" t="s">
        <v>162</v>
      </c>
      <c r="G4" s="962"/>
      <c r="H4" s="963"/>
    </row>
    <row r="5" spans="1:15" ht="31.5" customHeight="1">
      <c r="B5" s="959"/>
      <c r="C5" s="960"/>
      <c r="D5" s="960"/>
      <c r="E5" s="960"/>
      <c r="F5" s="964"/>
      <c r="G5" s="965"/>
      <c r="H5" s="966"/>
    </row>
    <row r="6" spans="1:15">
      <c r="B6" s="162" t="s">
        <v>134</v>
      </c>
      <c r="C6" s="163">
        <f>SUM(C7:C20)</f>
        <v>877</v>
      </c>
      <c r="D6" s="393">
        <f>SUM(D7:D20)</f>
        <v>5404700</v>
      </c>
      <c r="E6" s="164">
        <f>IF(ISERR(C6/D6*100000),"-",C6/D6*100000)</f>
        <v>16.226617573593352</v>
      </c>
      <c r="F6" s="165">
        <f>IF(AND(C6&gt;=0,C6&lt;100),SUM(VLOOKUP(C6,'Poisson sub 100'!$A$4:$C$103,2,FALSE)/D6*100000),IF(C6&gt;=100,SUM((((1.96/2)-SQRT(C6))^2)/D6*100000),""))</f>
        <v>15.170436765255305</v>
      </c>
      <c r="G6" s="166" t="s">
        <v>262</v>
      </c>
      <c r="H6" s="167">
        <f>IF(AND(C6&gt;=0,C6&lt;100),SUM(VLOOKUP(C6,'Poisson sub 100'!$A$4:$C$103,3,FALSE)/D6*100000),IF(C6&gt;=100,SUM((((1.96/2)+SQRT(C6+1))^2)/D6*100000),""))</f>
        <v>17.337452346456121</v>
      </c>
      <c r="J6" s="168"/>
      <c r="K6" s="168"/>
      <c r="L6" s="168"/>
      <c r="M6" s="168"/>
      <c r="N6" s="168"/>
      <c r="O6" s="168"/>
    </row>
    <row r="7" spans="1:15">
      <c r="A7" s="169" t="str">
        <f>B7</f>
        <v>Ayrshire &amp; Arran</v>
      </c>
      <c r="B7" s="170" t="s">
        <v>33</v>
      </c>
      <c r="C7" s="128">
        <v>65</v>
      </c>
      <c r="D7" s="394">
        <v>370560</v>
      </c>
      <c r="E7" s="171">
        <f t="shared" ref="E7:E20" si="0">IF(ISERR(C7/D7*100000),"-",C7/D7*100000)</f>
        <v>17.541018998272886</v>
      </c>
      <c r="F7" s="172">
        <f>IF(AND(C7&gt;=0,C7&lt;100),SUM(VLOOKUP(C7,'Poisson sub 100'!$A$4:$C$103,2,FALSE)/D7*100000),IF(C7&gt;=100,SUM((((1.96/2)-SQRT(C7))^2)/D7*100000),""))</f>
        <v>13.537780656303973</v>
      </c>
      <c r="G7" s="321" t="s">
        <v>262</v>
      </c>
      <c r="H7" s="174">
        <f>IF(AND(C7&gt;=0,C7&lt;100),SUM(VLOOKUP(C7,'Poisson sub 100'!$A$4:$C$103,3,FALSE)/D7*100000),IF(C7&gt;=100,SUM((((1.96/2)+SQRT(C7+1))^2)/D7*100000),""))</f>
        <v>22.357512953367877</v>
      </c>
      <c r="J7" s="168"/>
      <c r="K7" s="168"/>
      <c r="L7" s="168"/>
      <c r="M7" s="168"/>
      <c r="N7" s="168"/>
      <c r="O7" s="168"/>
    </row>
    <row r="8" spans="1:15">
      <c r="A8" s="169" t="str">
        <f t="shared" ref="A8:A21" si="1">B8</f>
        <v>Borders</v>
      </c>
      <c r="B8" s="170" t="s">
        <v>28</v>
      </c>
      <c r="C8" s="128">
        <v>9</v>
      </c>
      <c r="D8" s="394">
        <v>114530</v>
      </c>
      <c r="E8" s="171">
        <f t="shared" si="0"/>
        <v>7.8582030908932152</v>
      </c>
      <c r="F8" s="172">
        <f>IF(AND(C8&gt;=0,C8&lt;100),SUM(VLOOKUP(C8,'Poisson sub 100'!$A$4:$C$103,2,FALSE)/D8*100000),IF(C8&gt;=100,SUM((((1.96/2)-SQRT(C8))^2)/D8*100000),""))</f>
        <v>3.5932943333624379</v>
      </c>
      <c r="G8" s="321" t="s">
        <v>262</v>
      </c>
      <c r="H8" s="174">
        <f>IF(AND(C8&gt;=0,C8&lt;100),SUM(VLOOKUP(C8,'Poisson sub 100'!$A$4:$C$103,3,FALSE)/D8*100000),IF(C8&gt;=100,SUM((((1.96/2)+SQRT(C8+1))^2)/D8*100000),""))</f>
        <v>14.917314240810271</v>
      </c>
      <c r="J8" s="168"/>
      <c r="K8" s="168"/>
      <c r="L8" s="168"/>
      <c r="M8" s="168"/>
      <c r="N8" s="168"/>
      <c r="O8" s="168"/>
    </row>
    <row r="9" spans="1:15">
      <c r="A9" s="169" t="str">
        <f t="shared" si="1"/>
        <v>Dumfries &amp; Galloway</v>
      </c>
      <c r="B9" s="170" t="s">
        <v>31</v>
      </c>
      <c r="C9" s="128">
        <v>28</v>
      </c>
      <c r="D9" s="394">
        <v>149520</v>
      </c>
      <c r="E9" s="171">
        <f t="shared" si="0"/>
        <v>18.726591760299627</v>
      </c>
      <c r="F9" s="172">
        <f>IF(AND(C9&gt;=0,C9&lt;100),SUM(VLOOKUP(C9,'Poisson sub 100'!$A$4:$C$103,2,FALSE)/D9*100000),IF(C9&gt;=100,SUM((((1.96/2)-SQRT(C9))^2)/D9*100000),""))</f>
        <v>12.443686463349383</v>
      </c>
      <c r="G9" s="321" t="s">
        <v>262</v>
      </c>
      <c r="H9" s="174">
        <f>IF(AND(C9&gt;=0,C9&lt;100),SUM(VLOOKUP(C9,'Poisson sub 100'!$A$4:$C$103,3,FALSE)/D9*100000),IF(C9&gt;=100,SUM((((1.96/2)+SQRT(C9+1))^2)/D9*100000),""))</f>
        <v>27.065141787051896</v>
      </c>
      <c r="J9" s="168"/>
      <c r="K9" s="168"/>
      <c r="L9" s="168"/>
      <c r="M9" s="168"/>
      <c r="N9" s="168"/>
      <c r="O9" s="168"/>
    </row>
    <row r="10" spans="1:15">
      <c r="A10" s="169" t="str">
        <f t="shared" si="1"/>
        <v>Fife</v>
      </c>
      <c r="B10" s="170" t="s">
        <v>30</v>
      </c>
      <c r="C10" s="128">
        <v>75</v>
      </c>
      <c r="D10" s="394">
        <v>370330</v>
      </c>
      <c r="E10" s="171">
        <f t="shared" si="0"/>
        <v>20.252207490616478</v>
      </c>
      <c r="F10" s="172">
        <f>IF(AND(C10&gt;=0,C10&lt;100),SUM(VLOOKUP(C10,'Poisson sub 100'!$A$4:$C$103,2,FALSE)/D10*100000),IF(C10&gt;=100,SUM((((1.96/2)-SQRT(C10))^2)/D10*100000),""))</f>
        <v>15.929657332649258</v>
      </c>
      <c r="G10" s="321" t="s">
        <v>262</v>
      </c>
      <c r="H10" s="174">
        <f>IF(AND(C10&gt;=0,C10&lt;100),SUM(VLOOKUP(C10,'Poisson sub 100'!$A$4:$C$103,3,FALSE)/D10*100000),IF(C10&gt;=100,SUM((((1.96/2)+SQRT(C10+1))^2)/D10*100000),""))</f>
        <v>25.386277104204357</v>
      </c>
      <c r="J10" s="168"/>
      <c r="K10" s="168"/>
      <c r="L10" s="168"/>
      <c r="M10" s="168"/>
      <c r="N10" s="168"/>
      <c r="O10" s="168"/>
    </row>
    <row r="11" spans="1:15">
      <c r="A11" s="169" t="str">
        <f t="shared" si="1"/>
        <v>Forth Valley</v>
      </c>
      <c r="B11" s="170" t="s">
        <v>35</v>
      </c>
      <c r="C11" s="128">
        <v>51</v>
      </c>
      <c r="D11" s="394">
        <v>304480</v>
      </c>
      <c r="E11" s="171">
        <f t="shared" si="0"/>
        <v>16.749868628481345</v>
      </c>
      <c r="F11" s="172">
        <f>IF(AND(C11&gt;=0,C11&lt;100),SUM(VLOOKUP(C11,'Poisson sub 100'!$A$4:$C$103,2,FALSE)/D11*100000),IF(C11&gt;=100,SUM((((1.96/2)-SQRT(C11))^2)/D11*100000),""))</f>
        <v>12.471361008933263</v>
      </c>
      <c r="G11" s="321" t="s">
        <v>262</v>
      </c>
      <c r="H11" s="174">
        <f>IF(AND(C11&gt;=0,C11&lt;100),SUM(VLOOKUP(C11,'Poisson sub 100'!$A$4:$C$103,3,FALSE)/D11*100000),IF(C11&gt;=100,SUM((((1.96/2)+SQRT(C11+1))^2)/D11*100000),""))</f>
        <v>22.023121387283236</v>
      </c>
      <c r="J11" s="168"/>
      <c r="K11" s="168"/>
      <c r="L11" s="168"/>
      <c r="M11" s="168"/>
      <c r="N11" s="168"/>
      <c r="O11" s="168"/>
    </row>
    <row r="12" spans="1:15">
      <c r="A12" s="169" t="str">
        <f t="shared" si="1"/>
        <v>Grampian</v>
      </c>
      <c r="B12" s="170" t="s">
        <v>34</v>
      </c>
      <c r="C12" s="128">
        <v>137</v>
      </c>
      <c r="D12" s="394">
        <v>588100</v>
      </c>
      <c r="E12" s="171">
        <f t="shared" si="0"/>
        <v>23.295357932324436</v>
      </c>
      <c r="F12" s="172">
        <f>IF(AND(C12&gt;=0,C12&lt;100),SUM(VLOOKUP(C12,'Poisson sub 100'!$A$4:$C$103,2,FALSE)/D12*100000),IF(C12&gt;=100,SUM((((1.96/2)-SQRT(C12))^2)/D12*100000),""))</f>
        <v>19.557760274611383</v>
      </c>
      <c r="G12" s="321" t="s">
        <v>262</v>
      </c>
      <c r="H12" s="174">
        <f>IF(AND(C12&gt;=0,C12&lt;100),SUM(VLOOKUP(C12,'Poisson sub 100'!$A$4:$C$103,3,FALSE)/D12*100000),IF(C12&gt;=100,SUM((((1.96/2)+SQRT(C12+1))^2)/D12*100000),""))</f>
        <v>27.543816807339333</v>
      </c>
      <c r="J12" s="168"/>
      <c r="K12" s="168"/>
      <c r="L12" s="168"/>
      <c r="M12" s="168"/>
      <c r="N12" s="168"/>
      <c r="O12" s="168"/>
    </row>
    <row r="13" spans="1:15">
      <c r="A13" s="169" t="str">
        <f t="shared" si="1"/>
        <v>Greater Glasgow &amp; Clyde</v>
      </c>
      <c r="B13" s="170" t="s">
        <v>40</v>
      </c>
      <c r="C13" s="128">
        <v>183</v>
      </c>
      <c r="D13" s="394">
        <v>1161370</v>
      </c>
      <c r="E13" s="171">
        <f t="shared" si="0"/>
        <v>15.757252210751096</v>
      </c>
      <c r="F13" s="172">
        <f>IF(AND(C13&gt;=0,C13&lt;100),SUM(VLOOKUP(C13,'Poisson sub 100'!$A$4:$C$103,2,FALSE)/D13*100000),IF(C13&gt;=100,SUM((((1.96/2)-SQRT(C13))^2)/D13*100000),""))</f>
        <v>13.556920830863669</v>
      </c>
      <c r="G13" s="321" t="s">
        <v>262</v>
      </c>
      <c r="H13" s="174">
        <f>IF(AND(C13&gt;=0,C13&lt;100),SUM(VLOOKUP(C13,'Poisson sub 100'!$A$4:$C$103,3,FALSE)/D13*100000),IF(C13&gt;=100,SUM((((1.96/2)+SQRT(C13+1))^2)/D13*100000),""))</f>
        <v>18.215308948384326</v>
      </c>
      <c r="J13" s="168"/>
      <c r="K13" s="168"/>
      <c r="L13" s="168"/>
      <c r="M13" s="168"/>
      <c r="N13" s="168"/>
      <c r="O13" s="168"/>
    </row>
    <row r="14" spans="1:15">
      <c r="A14" s="169" t="str">
        <f t="shared" si="1"/>
        <v>Highland</v>
      </c>
      <c r="B14" s="170" t="s">
        <v>36</v>
      </c>
      <c r="C14" s="128">
        <v>34</v>
      </c>
      <c r="D14" s="394">
        <v>321900</v>
      </c>
      <c r="E14" s="171">
        <f t="shared" si="0"/>
        <v>10.56228642435539</v>
      </c>
      <c r="F14" s="172">
        <f>IF(AND(C14&gt;=0,C14&lt;100),SUM(VLOOKUP(C14,'Poisson sub 100'!$A$4:$C$103,2,FALSE)/D14*100000),IF(C14&gt;=100,SUM((((1.96/2)-SQRT(C14))^2)/D14*100000),""))</f>
        <v>7.3146940043491755</v>
      </c>
      <c r="G14" s="321" t="s">
        <v>262</v>
      </c>
      <c r="H14" s="174">
        <f>IF(AND(C14&gt;=0,C14&lt;100),SUM(VLOOKUP(C14,'Poisson sub 100'!$A$4:$C$103,3,FALSE)/D14*100000),IF(C14&gt;=100,SUM((((1.96/2)+SQRT(C14+1))^2)/D14*100000),""))</f>
        <v>14.759739049394222</v>
      </c>
      <c r="J14" s="168"/>
      <c r="K14" s="168"/>
      <c r="L14" s="168"/>
      <c r="M14" s="168"/>
      <c r="N14" s="168"/>
      <c r="O14" s="168"/>
    </row>
    <row r="15" spans="1:15">
      <c r="A15" s="169" t="str">
        <f t="shared" si="1"/>
        <v>Lanarkshire</v>
      </c>
      <c r="B15" s="170" t="s">
        <v>29</v>
      </c>
      <c r="C15" s="128">
        <v>83</v>
      </c>
      <c r="D15" s="394">
        <v>656490</v>
      </c>
      <c r="E15" s="171">
        <f t="shared" si="0"/>
        <v>12.642995323614983</v>
      </c>
      <c r="F15" s="172">
        <f>IF(AND(C15&gt;=0,C15&lt;100),SUM(VLOOKUP(C15,'Poisson sub 100'!$A$4:$C$103,2,FALSE)/D15*100000),IF(C15&gt;=100,SUM((((1.96/2)-SQRT(C15))^2)/D15*100000),""))</f>
        <v>10.070069612636901</v>
      </c>
      <c r="G15" s="321" t="s">
        <v>262</v>
      </c>
      <c r="H15" s="174">
        <f>IF(AND(C15&gt;=0,C15&lt;100),SUM(VLOOKUP(C15,'Poisson sub 100'!$A$4:$C$103,3,FALSE)/D15*100000),IF(C15&gt;=100,SUM((((1.96/2)+SQRT(C15+1))^2)/D15*100000),""))</f>
        <v>15.672896769181555</v>
      </c>
      <c r="J15" s="168"/>
      <c r="K15" s="168"/>
      <c r="L15" s="168"/>
      <c r="M15" s="168"/>
      <c r="N15" s="168"/>
      <c r="O15" s="168"/>
    </row>
    <row r="16" spans="1:15">
      <c r="A16" s="169" t="str">
        <f t="shared" si="1"/>
        <v>Lothian</v>
      </c>
      <c r="B16" s="170" t="s">
        <v>38</v>
      </c>
      <c r="C16" s="128">
        <v>138</v>
      </c>
      <c r="D16" s="394">
        <v>880000</v>
      </c>
      <c r="E16" s="171">
        <f t="shared" si="0"/>
        <v>15.681818181818182</v>
      </c>
      <c r="F16" s="172">
        <f>IF(AND(C16&gt;=0,C16&lt;100),SUM(VLOOKUP(C16,'Poisson sub 100'!$A$4:$C$103,2,FALSE)/D16*100000),IF(C16&gt;=100,SUM((((1.96/2)-SQRT(C16))^2)/D16*100000),""))</f>
        <v>13.174501517731517</v>
      </c>
      <c r="G16" s="321" t="s">
        <v>262</v>
      </c>
      <c r="H16" s="174">
        <f>IF(AND(C16&gt;=0,C16&lt;100),SUM(VLOOKUP(C16,'Poisson sub 100'!$A$4:$C$103,3,FALSE)/D16*100000),IF(C16&gt;=100,SUM((((1.96/2)+SQRT(C16+1))^2)/D16*100000),""))</f>
        <v>18.530506727295581</v>
      </c>
      <c r="J16" s="168"/>
      <c r="K16" s="168"/>
      <c r="L16" s="168"/>
      <c r="M16" s="168"/>
      <c r="N16" s="168"/>
      <c r="O16" s="168"/>
    </row>
    <row r="17" spans="1:15">
      <c r="A17" s="169" t="str">
        <f t="shared" si="1"/>
        <v>Orkney</v>
      </c>
      <c r="B17" s="170" t="s">
        <v>41</v>
      </c>
      <c r="C17" s="128">
        <v>6</v>
      </c>
      <c r="D17" s="394">
        <v>21850</v>
      </c>
      <c r="E17" s="171">
        <f t="shared" si="0"/>
        <v>27.459954233409615</v>
      </c>
      <c r="F17" s="172">
        <f>IF(AND(C17&gt;=0,C17&lt;100),SUM(VLOOKUP(C17,'Poisson sub 100'!$A$4:$C$103,2,FALSE)/D17*100000),IF(C17&gt;=100,SUM((((1.96/2)-SQRT(C17))^2)/D17*100000),""))</f>
        <v>10.077345537757438</v>
      </c>
      <c r="G17" s="321" t="s">
        <v>262</v>
      </c>
      <c r="H17" s="174">
        <f>IF(AND(C17&gt;=0,C17&lt;100),SUM(VLOOKUP(C17,'Poisson sub 100'!$A$4:$C$103,3,FALSE)/D17*100000),IF(C17&gt;=100,SUM((((1.96/2)+SQRT(C17+1))^2)/D17*100000),""))</f>
        <v>59.768878718535461</v>
      </c>
      <c r="J17" s="168"/>
      <c r="K17" s="168"/>
      <c r="L17" s="168"/>
      <c r="M17" s="168"/>
      <c r="N17" s="168"/>
      <c r="O17" s="168"/>
    </row>
    <row r="18" spans="1:15">
      <c r="A18" s="169" t="str">
        <f t="shared" si="1"/>
        <v>Shetland</v>
      </c>
      <c r="B18" s="170" t="s">
        <v>39</v>
      </c>
      <c r="C18" s="128">
        <v>1</v>
      </c>
      <c r="D18" s="394">
        <v>23200</v>
      </c>
      <c r="E18" s="171">
        <f t="shared" si="0"/>
        <v>4.3103448275862064</v>
      </c>
      <c r="F18" s="172">
        <f>IF(AND(C18&gt;=0,C18&lt;100),SUM(VLOOKUP(C18,'Poisson sub 100'!$A$4:$C$103,2,FALSE)/D18*100000),IF(C18&gt;=100,SUM((((1.96/2)-SQRT(C18))^2)/D18*100000),""))</f>
        <v>0.10905172413793104</v>
      </c>
      <c r="G18" s="321" t="s">
        <v>262</v>
      </c>
      <c r="H18" s="174">
        <f>IF(AND(C18&gt;=0,C18&lt;100),SUM(VLOOKUP(C18,'Poisson sub 100'!$A$4:$C$103,3,FALSE)/D18*100000),IF(C18&gt;=100,SUM((((1.96/2)+SQRT(C18+1))^2)/D18*100000),""))</f>
        <v>24.01551724137931</v>
      </c>
      <c r="J18" s="168"/>
      <c r="K18" s="168"/>
      <c r="L18" s="168"/>
      <c r="M18" s="168"/>
      <c r="N18" s="168"/>
      <c r="O18" s="168"/>
    </row>
    <row r="19" spans="1:15">
      <c r="A19" s="169" t="str">
        <f t="shared" si="1"/>
        <v>Tayside</v>
      </c>
      <c r="B19" s="170" t="s">
        <v>32</v>
      </c>
      <c r="C19" s="128">
        <v>65</v>
      </c>
      <c r="D19" s="394">
        <v>415470</v>
      </c>
      <c r="E19" s="171">
        <f t="shared" si="0"/>
        <v>15.644932245408814</v>
      </c>
      <c r="F19" s="172">
        <f>IF(AND(C19&gt;=0,C19&lt;100),SUM(VLOOKUP(C19,'Poisson sub 100'!$A$4:$C$103,2,FALSE)/D19*100000),IF(C19&gt;=100,SUM((((1.96/2)-SQRT(C19))^2)/D19*100000),""))</f>
        <v>12.074421739235081</v>
      </c>
      <c r="G19" s="321" t="s">
        <v>262</v>
      </c>
      <c r="H19" s="174">
        <f>IF(AND(C19&gt;=0,C19&lt;100),SUM(VLOOKUP(C19,'Poisson sub 100'!$A$4:$C$103,3,FALSE)/D19*100000),IF(C19&gt;=100,SUM((((1.96/2)+SQRT(C19+1))^2)/D19*100000),""))</f>
        <v>19.94078994873276</v>
      </c>
      <c r="J19" s="168"/>
      <c r="K19" s="168"/>
      <c r="L19" s="168"/>
      <c r="M19" s="168"/>
      <c r="N19" s="168"/>
      <c r="O19" s="168"/>
    </row>
    <row r="20" spans="1:15">
      <c r="A20" s="169" t="str">
        <f t="shared" si="1"/>
        <v>Western Isles</v>
      </c>
      <c r="B20" s="170" t="s">
        <v>37</v>
      </c>
      <c r="C20" s="128">
        <v>2</v>
      </c>
      <c r="D20" s="394">
        <v>26900</v>
      </c>
      <c r="E20" s="171">
        <f t="shared" si="0"/>
        <v>7.4349442379182156</v>
      </c>
      <c r="F20" s="172">
        <f>IF(AND(C20&gt;=0,C20&lt;100),SUM(VLOOKUP(C20,'Poisson sub 100'!$A$4:$C$103,2,FALSE)/D20*100000),IF(C20&gt;=100,SUM((((1.96/2)-SQRT(C20))^2)/D20*100000),""))</f>
        <v>0.90037174721189595</v>
      </c>
      <c r="G20" s="321" t="s">
        <v>262</v>
      </c>
      <c r="H20" s="174">
        <f>IF(AND(C20&gt;=0,C20&lt;100),SUM(VLOOKUP(C20,'Poisson sub 100'!$A$4:$C$103,3,FALSE)/D20*100000),IF(C20&gt;=100,SUM((((1.96/2)+SQRT(C20+1))^2)/D20*100000),""))</f>
        <v>26.857620817843866</v>
      </c>
      <c r="J20" s="168"/>
      <c r="K20" s="168"/>
      <c r="L20" s="168"/>
      <c r="M20" s="168"/>
      <c r="N20" s="168"/>
      <c r="O20" s="168"/>
    </row>
    <row r="21" spans="1:15">
      <c r="A21" s="169" t="str">
        <f t="shared" si="1"/>
        <v>Outside Scotland/ Not Known/ Other</v>
      </c>
      <c r="B21" s="170" t="s">
        <v>263</v>
      </c>
      <c r="C21" s="128">
        <v>33</v>
      </c>
      <c r="D21" s="175" t="s">
        <v>262</v>
      </c>
      <c r="E21" s="176" t="s">
        <v>262</v>
      </c>
      <c r="F21" s="951" t="s">
        <v>262</v>
      </c>
      <c r="G21" s="952"/>
      <c r="H21" s="953"/>
    </row>
    <row r="22" spans="1:15">
      <c r="A22" s="169"/>
      <c r="B22" s="177"/>
      <c r="C22" s="178"/>
      <c r="D22" s="179"/>
      <c r="E22" s="180"/>
      <c r="F22" s="181"/>
      <c r="G22" s="181"/>
      <c r="H22" s="181"/>
    </row>
    <row r="23" spans="1:15">
      <c r="A23" s="169"/>
      <c r="B23" s="182" t="s">
        <v>507</v>
      </c>
      <c r="C23" s="183"/>
      <c r="D23" s="184"/>
      <c r="E23" s="185"/>
      <c r="F23" s="186"/>
      <c r="G23" s="186"/>
      <c r="H23" s="186"/>
    </row>
    <row r="24" spans="1:15" ht="26.1" customHeight="1">
      <c r="A24" s="169"/>
      <c r="B24" s="954" t="s">
        <v>508</v>
      </c>
      <c r="C24" s="954"/>
      <c r="D24" s="954"/>
      <c r="E24" s="954"/>
      <c r="F24" s="954"/>
      <c r="G24" s="954"/>
      <c r="H24" s="954"/>
    </row>
    <row r="25" spans="1:15" ht="25.5" customHeight="1">
      <c r="B25" s="955" t="s">
        <v>5</v>
      </c>
      <c r="C25" s="956"/>
      <c r="D25" s="956"/>
      <c r="E25" s="956"/>
      <c r="F25" s="956"/>
      <c r="G25" s="956"/>
      <c r="H25" s="956"/>
    </row>
    <row r="26" spans="1:15">
      <c r="B26" s="943" t="s">
        <v>509</v>
      </c>
      <c r="C26" s="943"/>
      <c r="D26" s="943"/>
      <c r="E26" s="943"/>
      <c r="F26" s="943"/>
      <c r="G26" s="943"/>
      <c r="H26" s="943"/>
    </row>
    <row r="27" spans="1:15" s="386" customFormat="1">
      <c r="B27" s="943"/>
      <c r="C27" s="943"/>
      <c r="D27" s="943"/>
      <c r="E27" s="943"/>
      <c r="F27" s="943"/>
      <c r="G27" s="943"/>
      <c r="H27" s="943"/>
    </row>
    <row r="28" spans="1:15" s="386" customFormat="1">
      <c r="B28" s="943"/>
      <c r="C28" s="943"/>
      <c r="D28" s="943"/>
      <c r="E28" s="943"/>
      <c r="F28" s="943"/>
      <c r="G28" s="943"/>
      <c r="H28" s="943"/>
    </row>
    <row r="29" spans="1:15" ht="24" customHeight="1">
      <c r="B29" s="957" t="s">
        <v>737</v>
      </c>
      <c r="C29" s="956"/>
      <c r="D29" s="956"/>
      <c r="E29" s="956"/>
      <c r="F29" s="956"/>
      <c r="G29" s="956"/>
      <c r="H29" s="956"/>
    </row>
    <row r="30" spans="1:15" ht="24" customHeight="1">
      <c r="B30" s="322"/>
      <c r="C30" s="320"/>
      <c r="D30" s="320"/>
      <c r="E30" s="320"/>
      <c r="F30" s="320"/>
      <c r="G30" s="320"/>
      <c r="H30" s="320"/>
    </row>
    <row r="31" spans="1:15">
      <c r="B31" s="188" t="s">
        <v>264</v>
      </c>
      <c r="C31" s="320"/>
      <c r="D31" s="320"/>
      <c r="E31" s="320"/>
      <c r="F31" s="320"/>
      <c r="G31" s="320"/>
      <c r="H31" s="320"/>
    </row>
    <row r="32" spans="1:15">
      <c r="B32" s="188" t="s">
        <v>265</v>
      </c>
      <c r="C32" s="188"/>
      <c r="D32" s="188"/>
      <c r="E32" s="188"/>
      <c r="F32" s="324"/>
      <c r="G32" s="324"/>
      <c r="H32" s="324"/>
    </row>
    <row r="33" spans="2:2">
      <c r="B33" s="189" t="s">
        <v>266</v>
      </c>
    </row>
    <row r="34" spans="2:2">
      <c r="B34" s="189" t="s">
        <v>267</v>
      </c>
    </row>
    <row r="35" spans="2:2">
      <c r="B35" s="189" t="s">
        <v>268</v>
      </c>
    </row>
  </sheetData>
  <sheetProtection password="B8D9" sheet="1" objects="1" scenarios="1"/>
  <mergeCells count="11">
    <mergeCell ref="F21:H21"/>
    <mergeCell ref="B24:H24"/>
    <mergeCell ref="B25:H25"/>
    <mergeCell ref="B29:H29"/>
    <mergeCell ref="B3:C3"/>
    <mergeCell ref="B4:B5"/>
    <mergeCell ref="C4:C5"/>
    <mergeCell ref="D4:D5"/>
    <mergeCell ref="E4:E5"/>
    <mergeCell ref="F4:H5"/>
    <mergeCell ref="B26:H28"/>
  </mergeCells>
  <hyperlinks>
    <hyperlink ref="D3" location="'List of Tables &amp; Charts'!A1" display="return to List of Tables &amp; Charts"/>
    <hyperlink ref="E3" location="'List of Tables &amp; Charts'!A1" display="return to List of Tables &amp; Charts"/>
    <hyperlink ref="H3" location="'List of Tables &amp; Charts'!A1" display="return to List of Tables &amp; Charts"/>
    <hyperlink ref="B3:C3" location="'List of Tables &amp; Charts'!A1" display="return to List of Tables &amp; Charts"/>
  </hyperlinks>
  <pageMargins left="0.74803149606299213" right="0.74803149606299213" top="0.39370078740157483" bottom="0.74803149606299213" header="0.15748031496062992" footer="0.19685039370078741"/>
  <pageSetup paperSize="9" scale="94" orientation="landscape" r:id="rId1"/>
  <headerFooter alignWithMargins="0">
    <oddFooter>&amp;L&amp;8Scottish Stroke Care Audit 2017 National Report
Stroke Services in Scottish Hospitals, Data relating to 2016&amp;R&amp;8© NHS National Services Scotland/Crown Copyright</oddFooter>
  </headerFooter>
</worksheet>
</file>

<file path=xl/worksheets/sheet60.xml><?xml version="1.0" encoding="utf-8"?>
<worksheet xmlns="http://schemas.openxmlformats.org/spreadsheetml/2006/main" xmlns:r="http://schemas.openxmlformats.org/officeDocument/2006/relationships">
  <sheetPr codeName="Sheet67">
    <pageSetUpPr fitToPage="1"/>
  </sheetPr>
  <dimension ref="A1:W107"/>
  <sheetViews>
    <sheetView workbookViewId="0"/>
  </sheetViews>
  <sheetFormatPr defaultRowHeight="12.75"/>
  <cols>
    <col min="1" max="1" width="1.7109375" style="210" customWidth="1"/>
    <col min="2" max="2" width="16.7109375" style="210" customWidth="1"/>
    <col min="3" max="3" width="45.7109375" style="210" customWidth="1"/>
    <col min="4" max="4" width="6.7109375" style="359" customWidth="1"/>
    <col min="5" max="5" width="10.7109375" style="359" customWidth="1"/>
    <col min="6" max="6" width="6.7109375" style="359" customWidth="1"/>
    <col min="7" max="7" width="10.7109375" style="359" customWidth="1"/>
    <col min="8" max="8" width="6.7109375" style="359" customWidth="1"/>
    <col min="9" max="9" width="10.7109375" style="359" customWidth="1"/>
    <col min="10" max="13" width="1.7109375" style="359" customWidth="1"/>
    <col min="14" max="14" width="9.28515625" style="210" customWidth="1"/>
    <col min="15" max="15" width="11.28515625" style="210" customWidth="1"/>
    <col min="16" max="16" width="9.28515625" style="210" customWidth="1"/>
    <col min="17" max="17" width="11.28515625" style="210" customWidth="1"/>
    <col min="18" max="18" width="9.28515625" style="210" customWidth="1"/>
    <col min="19" max="19" width="11.28515625" style="210" customWidth="1"/>
    <col min="20" max="16384" width="9.140625" style="210"/>
  </cols>
  <sheetData>
    <row r="1" spans="2:20" ht="12.75" customHeight="1">
      <c r="B1" s="1130" t="s">
        <v>540</v>
      </c>
      <c r="C1" s="1130"/>
      <c r="D1" s="1130"/>
      <c r="E1" s="1130"/>
      <c r="F1" s="1130"/>
      <c r="G1" s="1130"/>
      <c r="H1" s="1130"/>
      <c r="I1" s="1130"/>
      <c r="J1" s="1131" t="s">
        <v>45</v>
      </c>
      <c r="K1" s="1131"/>
      <c r="L1" s="1131"/>
      <c r="M1" s="1131"/>
      <c r="N1" s="1131"/>
      <c r="O1" s="30"/>
      <c r="P1" s="209"/>
      <c r="Q1" s="209"/>
      <c r="R1" s="209"/>
      <c r="S1" s="209"/>
      <c r="T1" s="209"/>
    </row>
    <row r="2" spans="2:20" ht="12.75" customHeight="1">
      <c r="J2" s="1131"/>
      <c r="K2" s="1131"/>
      <c r="L2" s="1131"/>
      <c r="M2" s="1131"/>
      <c r="N2" s="1131"/>
      <c r="O2" s="30"/>
      <c r="P2" s="30"/>
      <c r="T2" s="211"/>
    </row>
    <row r="3" spans="2:20" ht="12.6" customHeight="1">
      <c r="B3" s="1044" t="s">
        <v>376</v>
      </c>
      <c r="C3" s="1044"/>
      <c r="D3" s="1044"/>
      <c r="E3" s="1044"/>
      <c r="F3" s="1044"/>
      <c r="G3" s="1044"/>
      <c r="H3" s="1044"/>
      <c r="I3" s="1044"/>
      <c r="J3" s="1131"/>
      <c r="K3" s="1131"/>
      <c r="L3" s="1131"/>
      <c r="M3" s="1131"/>
      <c r="N3" s="1131"/>
      <c r="O3" s="30"/>
      <c r="P3" s="30"/>
      <c r="T3" s="211"/>
    </row>
    <row r="4" spans="2:20" ht="12.6" customHeight="1">
      <c r="B4" s="1044"/>
      <c r="C4" s="1044"/>
      <c r="D4" s="1044"/>
      <c r="E4" s="1044"/>
      <c r="F4" s="1044"/>
      <c r="G4" s="1044"/>
      <c r="H4" s="1044"/>
      <c r="I4" s="1044"/>
      <c r="J4" s="675"/>
      <c r="K4" s="675"/>
      <c r="L4" s="675"/>
      <c r="M4" s="675"/>
      <c r="N4" s="675"/>
      <c r="O4" s="30"/>
      <c r="P4" s="30"/>
      <c r="T4" s="211"/>
    </row>
    <row r="5" spans="2:20" ht="12.6" customHeight="1">
      <c r="B5" s="1044"/>
      <c r="C5" s="1044"/>
      <c r="D5" s="1044"/>
      <c r="E5" s="1044"/>
      <c r="F5" s="1044"/>
      <c r="G5" s="1044"/>
      <c r="H5" s="1044"/>
      <c r="I5" s="1044"/>
      <c r="J5" s="1131" t="s">
        <v>818</v>
      </c>
      <c r="K5" s="1131"/>
      <c r="L5" s="1131"/>
      <c r="M5" s="1131"/>
      <c r="N5" s="1131"/>
      <c r="O5" s="30"/>
      <c r="P5" s="30"/>
      <c r="T5" s="211"/>
    </row>
    <row r="6" spans="2:20" ht="12.6" customHeight="1">
      <c r="B6" s="668"/>
      <c r="C6" s="668"/>
      <c r="D6" s="668"/>
      <c r="E6" s="668"/>
      <c r="F6" s="668"/>
      <c r="G6" s="668"/>
      <c r="H6" s="668"/>
      <c r="I6" s="668"/>
      <c r="J6" s="675"/>
      <c r="K6" s="675"/>
      <c r="L6" s="675"/>
      <c r="M6" s="675"/>
      <c r="N6" s="675"/>
      <c r="O6" s="30"/>
      <c r="P6" s="30"/>
      <c r="T6" s="211"/>
    </row>
    <row r="7" spans="2:20" ht="12.75" customHeight="1"/>
    <row r="36" spans="1:23">
      <c r="B36" s="212"/>
    </row>
    <row r="37" spans="1:23">
      <c r="B37" s="213" t="s">
        <v>541</v>
      </c>
      <c r="C37" s="214"/>
      <c r="D37" s="215"/>
      <c r="E37" s="215"/>
      <c r="F37" s="215"/>
      <c r="G37" s="215"/>
      <c r="H37" s="215"/>
      <c r="I37" s="215"/>
      <c r="J37" s="215"/>
      <c r="K37" s="215"/>
      <c r="N37" s="216"/>
      <c r="O37" s="216"/>
      <c r="P37" s="216"/>
      <c r="Q37" s="216"/>
    </row>
    <row r="38" spans="1:23">
      <c r="B38" s="431" t="s">
        <v>419</v>
      </c>
      <c r="C38" s="428"/>
      <c r="D38" s="429"/>
      <c r="E38" s="429"/>
      <c r="F38" s="429"/>
      <c r="G38" s="429"/>
      <c r="H38" s="429"/>
      <c r="I38" s="429"/>
      <c r="J38" s="429"/>
      <c r="K38" s="429"/>
      <c r="L38" s="430"/>
      <c r="M38" s="430"/>
      <c r="N38" s="216"/>
      <c r="O38" s="216"/>
      <c r="P38" s="216"/>
      <c r="Q38" s="216"/>
    </row>
    <row r="39" spans="1:23">
      <c r="B39" s="431" t="s">
        <v>420</v>
      </c>
      <c r="C39" s="428"/>
      <c r="D39" s="429"/>
      <c r="E39" s="429"/>
      <c r="F39" s="429"/>
      <c r="G39" s="429"/>
      <c r="H39" s="429"/>
      <c r="I39" s="429"/>
      <c r="J39" s="429"/>
      <c r="K39" s="429"/>
      <c r="L39" s="430"/>
      <c r="M39" s="430"/>
      <c r="N39" s="216"/>
      <c r="O39" s="216"/>
      <c r="P39" s="216"/>
      <c r="Q39" s="216"/>
    </row>
    <row r="40" spans="1:23">
      <c r="B40" s="433" t="s">
        <v>416</v>
      </c>
      <c r="C40" s="428"/>
      <c r="D40" s="429"/>
      <c r="E40" s="429"/>
      <c r="F40" s="429"/>
      <c r="G40" s="429"/>
      <c r="H40" s="429"/>
      <c r="I40" s="429"/>
      <c r="J40" s="429"/>
      <c r="K40" s="429"/>
      <c r="L40" s="430"/>
      <c r="M40" s="430"/>
      <c r="N40" s="216"/>
      <c r="O40" s="216"/>
      <c r="P40" s="216"/>
      <c r="Q40" s="216"/>
    </row>
    <row r="41" spans="1:23">
      <c r="B41" s="433" t="s">
        <v>417</v>
      </c>
      <c r="C41" s="428"/>
      <c r="D41" s="429"/>
      <c r="E41" s="429"/>
      <c r="F41" s="429"/>
      <c r="G41" s="429"/>
      <c r="H41" s="429"/>
      <c r="I41" s="429"/>
      <c r="J41" s="429"/>
      <c r="K41" s="429"/>
      <c r="L41" s="430"/>
      <c r="M41" s="430"/>
      <c r="N41" s="216"/>
      <c r="O41" s="216"/>
      <c r="P41" s="216"/>
      <c r="Q41" s="216"/>
    </row>
    <row r="42" spans="1:23">
      <c r="B42" s="431" t="s">
        <v>418</v>
      </c>
      <c r="C42" s="428"/>
      <c r="D42" s="429"/>
      <c r="E42" s="429"/>
      <c r="F42" s="429"/>
      <c r="G42" s="429"/>
      <c r="H42" s="429"/>
      <c r="I42" s="429"/>
      <c r="J42" s="429"/>
      <c r="K42" s="429"/>
      <c r="L42" s="430"/>
      <c r="M42" s="430"/>
      <c r="N42" s="216"/>
      <c r="O42" s="216"/>
      <c r="P42" s="216"/>
      <c r="Q42" s="216"/>
    </row>
    <row r="43" spans="1:23">
      <c r="B43" s="434" t="s">
        <v>421</v>
      </c>
      <c r="C43" s="430"/>
      <c r="D43" s="430"/>
      <c r="E43" s="430"/>
      <c r="F43" s="430"/>
      <c r="G43" s="430"/>
      <c r="H43" s="430"/>
      <c r="I43" s="430"/>
      <c r="J43" s="430"/>
      <c r="K43" s="430"/>
      <c r="L43" s="430"/>
      <c r="M43" s="430"/>
    </row>
    <row r="44" spans="1:23" ht="13.5" customHeight="1">
      <c r="B44" s="434" t="s">
        <v>422</v>
      </c>
      <c r="C44" s="432"/>
      <c r="D44" s="432"/>
      <c r="E44" s="432"/>
      <c r="F44" s="432"/>
      <c r="G44" s="432"/>
      <c r="H44" s="432"/>
      <c r="I44" s="432"/>
      <c r="J44" s="430"/>
      <c r="K44" s="430"/>
      <c r="L44" s="430"/>
      <c r="M44" s="430"/>
    </row>
    <row r="46" spans="1:23">
      <c r="A46" s="571"/>
      <c r="B46" s="572"/>
      <c r="C46" s="572"/>
      <c r="D46" s="573"/>
      <c r="E46" s="573"/>
      <c r="F46" s="573"/>
      <c r="G46" s="573"/>
      <c r="H46" s="573"/>
      <c r="I46" s="573"/>
      <c r="J46" s="574"/>
      <c r="K46" s="574"/>
      <c r="L46" s="575"/>
      <c r="M46" s="575"/>
      <c r="N46" s="573"/>
      <c r="O46" s="573"/>
      <c r="P46" s="573"/>
      <c r="Q46" s="573"/>
      <c r="R46" s="573"/>
      <c r="S46" s="573"/>
      <c r="T46" s="576"/>
      <c r="U46" s="576"/>
      <c r="V46" s="571"/>
      <c r="W46" s="571"/>
    </row>
    <row r="47" spans="1:23">
      <c r="A47" s="571"/>
      <c r="B47" s="577"/>
      <c r="C47" s="577"/>
      <c r="D47" s="573"/>
      <c r="E47" s="573"/>
      <c r="F47" s="573"/>
      <c r="G47" s="573"/>
      <c r="H47" s="573"/>
      <c r="I47" s="573"/>
      <c r="J47" s="578"/>
      <c r="K47" s="578"/>
      <c r="L47" s="575"/>
      <c r="M47" s="575"/>
      <c r="N47" s="579"/>
      <c r="O47" s="579"/>
      <c r="P47" s="579"/>
      <c r="Q47" s="579"/>
      <c r="R47" s="579"/>
      <c r="S47" s="579"/>
      <c r="T47" s="576"/>
      <c r="U47" s="576"/>
      <c r="V47" s="576"/>
      <c r="W47" s="576"/>
    </row>
    <row r="48" spans="1:23">
      <c r="A48" s="580"/>
      <c r="B48" s="571"/>
      <c r="C48" s="571"/>
      <c r="D48" s="581"/>
      <c r="E48" s="581"/>
      <c r="F48" s="581"/>
      <c r="G48" s="581"/>
      <c r="H48" s="581"/>
      <c r="I48" s="581"/>
      <c r="J48" s="582"/>
      <c r="K48" s="582"/>
      <c r="L48" s="583"/>
      <c r="M48" s="583"/>
      <c r="N48" s="584"/>
      <c r="O48" s="584"/>
      <c r="P48" s="584"/>
      <c r="Q48" s="584"/>
      <c r="R48" s="584"/>
      <c r="S48" s="584"/>
      <c r="T48" s="576"/>
      <c r="U48" s="576"/>
      <c r="V48" s="576"/>
      <c r="W48" s="576"/>
    </row>
    <row r="49" spans="1:23">
      <c r="A49" s="580"/>
      <c r="B49" s="571"/>
      <c r="C49" s="571"/>
      <c r="D49" s="581"/>
      <c r="E49" s="581"/>
      <c r="F49" s="581"/>
      <c r="G49" s="581"/>
      <c r="H49" s="581"/>
      <c r="I49" s="581"/>
      <c r="J49" s="582"/>
      <c r="K49" s="582"/>
      <c r="L49" s="583"/>
      <c r="M49" s="583"/>
      <c r="N49" s="584"/>
      <c r="O49" s="584"/>
      <c r="P49" s="584"/>
      <c r="Q49" s="584"/>
      <c r="R49" s="584"/>
      <c r="S49" s="584"/>
      <c r="T49" s="585"/>
      <c r="U49" s="585"/>
      <c r="V49" s="571"/>
      <c r="W49" s="571"/>
    </row>
    <row r="50" spans="1:23">
      <c r="A50" s="580"/>
      <c r="B50" s="571"/>
      <c r="C50" s="571"/>
      <c r="D50" s="581"/>
      <c r="E50" s="581"/>
      <c r="F50" s="581"/>
      <c r="G50" s="581"/>
      <c r="H50" s="581"/>
      <c r="I50" s="581"/>
      <c r="J50" s="582"/>
      <c r="K50" s="582"/>
      <c r="L50" s="583"/>
      <c r="M50" s="583"/>
      <c r="N50" s="584"/>
      <c r="O50" s="584"/>
      <c r="P50" s="584"/>
      <c r="Q50" s="584"/>
      <c r="R50" s="584"/>
      <c r="S50" s="584"/>
      <c r="T50" s="585"/>
      <c r="U50" s="585"/>
      <c r="V50" s="571"/>
      <c r="W50" s="571"/>
    </row>
    <row r="51" spans="1:23">
      <c r="A51" s="580"/>
      <c r="B51" s="571"/>
      <c r="C51" s="571"/>
      <c r="D51" s="581"/>
      <c r="E51" s="581"/>
      <c r="F51" s="581"/>
      <c r="G51" s="581"/>
      <c r="H51" s="581"/>
      <c r="I51" s="581"/>
      <c r="J51" s="582"/>
      <c r="K51" s="582"/>
      <c r="L51" s="583"/>
      <c r="M51" s="583"/>
      <c r="N51" s="584"/>
      <c r="O51" s="584"/>
      <c r="P51" s="584"/>
      <c r="Q51" s="584"/>
      <c r="R51" s="584"/>
      <c r="S51" s="584"/>
      <c r="T51" s="585"/>
      <c r="U51" s="585"/>
      <c r="V51" s="571"/>
      <c r="W51" s="571"/>
    </row>
    <row r="52" spans="1:23">
      <c r="A52" s="580"/>
      <c r="B52" s="571"/>
      <c r="C52" s="571"/>
      <c r="D52" s="581"/>
      <c r="E52" s="581"/>
      <c r="F52" s="581"/>
      <c r="G52" s="581"/>
      <c r="H52" s="581"/>
      <c r="I52" s="581"/>
      <c r="J52" s="582"/>
      <c r="K52" s="582"/>
      <c r="L52" s="583"/>
      <c r="M52" s="583"/>
      <c r="N52" s="584"/>
      <c r="O52" s="584"/>
      <c r="P52" s="584"/>
      <c r="Q52" s="584"/>
      <c r="R52" s="584"/>
      <c r="S52" s="584"/>
      <c r="T52" s="585"/>
      <c r="U52" s="585"/>
      <c r="V52" s="571"/>
      <c r="W52" s="571"/>
    </row>
    <row r="53" spans="1:23">
      <c r="A53" s="580"/>
      <c r="B53" s="571"/>
      <c r="C53" s="571"/>
      <c r="D53" s="581"/>
      <c r="E53" s="581"/>
      <c r="F53" s="581"/>
      <c r="G53" s="581"/>
      <c r="H53" s="581"/>
      <c r="I53" s="581"/>
      <c r="J53" s="582"/>
      <c r="K53" s="582"/>
      <c r="L53" s="583"/>
      <c r="M53" s="583"/>
      <c r="N53" s="584"/>
      <c r="O53" s="584"/>
      <c r="P53" s="584"/>
      <c r="Q53" s="584"/>
      <c r="R53" s="584"/>
      <c r="S53" s="584"/>
      <c r="T53" s="585"/>
      <c r="U53" s="585"/>
      <c r="V53" s="571"/>
      <c r="W53" s="571"/>
    </row>
    <row r="54" spans="1:23">
      <c r="A54" s="580"/>
      <c r="B54" s="571"/>
      <c r="C54" s="571"/>
      <c r="D54" s="581"/>
      <c r="E54" s="581"/>
      <c r="F54" s="581"/>
      <c r="G54" s="581"/>
      <c r="H54" s="581"/>
      <c r="I54" s="581"/>
      <c r="J54" s="582"/>
      <c r="K54" s="582"/>
      <c r="L54" s="583"/>
      <c r="M54" s="583"/>
      <c r="N54" s="584"/>
      <c r="O54" s="584"/>
      <c r="P54" s="584"/>
      <c r="Q54" s="584"/>
      <c r="R54" s="584"/>
      <c r="S54" s="584"/>
      <c r="T54" s="585"/>
      <c r="U54" s="585"/>
      <c r="V54" s="571"/>
      <c r="W54" s="571"/>
    </row>
    <row r="55" spans="1:23">
      <c r="A55" s="580"/>
      <c r="B55" s="571"/>
      <c r="C55" s="571"/>
      <c r="D55" s="581"/>
      <c r="E55" s="581"/>
      <c r="F55" s="581"/>
      <c r="G55" s="581"/>
      <c r="H55" s="581"/>
      <c r="I55" s="581"/>
      <c r="J55" s="582"/>
      <c r="K55" s="582"/>
      <c r="L55" s="583"/>
      <c r="M55" s="583"/>
      <c r="N55" s="584"/>
      <c r="O55" s="584"/>
      <c r="P55" s="584"/>
      <c r="Q55" s="584"/>
      <c r="R55" s="584"/>
      <c r="S55" s="584"/>
      <c r="T55" s="585"/>
      <c r="U55" s="585"/>
      <c r="V55" s="571"/>
      <c r="W55" s="571"/>
    </row>
    <row r="56" spans="1:23">
      <c r="A56" s="580"/>
      <c r="B56" s="571"/>
      <c r="C56" s="571"/>
      <c r="D56" s="581"/>
      <c r="E56" s="581"/>
      <c r="F56" s="581"/>
      <c r="G56" s="581"/>
      <c r="H56" s="581"/>
      <c r="I56" s="581"/>
      <c r="J56" s="582"/>
      <c r="K56" s="582"/>
      <c r="L56" s="583"/>
      <c r="M56" s="583"/>
      <c r="N56" s="584"/>
      <c r="O56" s="584"/>
      <c r="P56" s="584"/>
      <c r="Q56" s="584"/>
      <c r="R56" s="584"/>
      <c r="S56" s="584"/>
      <c r="T56" s="585"/>
      <c r="U56" s="585"/>
      <c r="V56" s="571"/>
      <c r="W56" s="571"/>
    </row>
    <row r="57" spans="1:23">
      <c r="A57" s="580"/>
      <c r="B57" s="571"/>
      <c r="C57" s="571"/>
      <c r="D57" s="581"/>
      <c r="E57" s="581"/>
      <c r="F57" s="581"/>
      <c r="G57" s="581"/>
      <c r="H57" s="581"/>
      <c r="I57" s="581"/>
      <c r="J57" s="582"/>
      <c r="K57" s="582"/>
      <c r="L57" s="583"/>
      <c r="M57" s="583"/>
      <c r="N57" s="584"/>
      <c r="O57" s="584"/>
      <c r="P57" s="584"/>
      <c r="Q57" s="584"/>
      <c r="R57" s="584"/>
      <c r="S57" s="584"/>
      <c r="T57" s="585"/>
      <c r="U57" s="585"/>
      <c r="V57" s="571"/>
      <c r="W57" s="571"/>
    </row>
    <row r="58" spans="1:23">
      <c r="A58" s="580"/>
      <c r="B58" s="571"/>
      <c r="C58" s="571"/>
      <c r="D58" s="581"/>
      <c r="E58" s="581"/>
      <c r="F58" s="581"/>
      <c r="G58" s="581"/>
      <c r="H58" s="581"/>
      <c r="I58" s="581"/>
      <c r="J58" s="582"/>
      <c r="K58" s="582"/>
      <c r="L58" s="583"/>
      <c r="M58" s="583"/>
      <c r="N58" s="584"/>
      <c r="O58" s="584"/>
      <c r="P58" s="584"/>
      <c r="Q58" s="584"/>
      <c r="R58" s="584"/>
      <c r="S58" s="584"/>
      <c r="T58" s="585"/>
      <c r="U58" s="585"/>
      <c r="V58" s="571"/>
      <c r="W58" s="571"/>
    </row>
    <row r="59" spans="1:23">
      <c r="A59" s="580"/>
      <c r="B59" s="571"/>
      <c r="C59" s="571"/>
      <c r="D59" s="581"/>
      <c r="E59" s="581"/>
      <c r="F59" s="581"/>
      <c r="G59" s="581"/>
      <c r="H59" s="581"/>
      <c r="I59" s="581"/>
      <c r="J59" s="582"/>
      <c r="K59" s="582"/>
      <c r="L59" s="583"/>
      <c r="M59" s="583"/>
      <c r="N59" s="584"/>
      <c r="O59" s="584"/>
      <c r="P59" s="584"/>
      <c r="Q59" s="584"/>
      <c r="R59" s="584"/>
      <c r="S59" s="584"/>
      <c r="T59" s="585"/>
      <c r="U59" s="585"/>
      <c r="V59" s="571"/>
      <c r="W59" s="571"/>
    </row>
    <row r="60" spans="1:23">
      <c r="A60" s="580"/>
      <c r="B60" s="571"/>
      <c r="C60" s="571"/>
      <c r="D60" s="581"/>
      <c r="E60" s="581"/>
      <c r="F60" s="581"/>
      <c r="G60" s="581"/>
      <c r="H60" s="581"/>
      <c r="I60" s="581"/>
      <c r="J60" s="582"/>
      <c r="K60" s="582"/>
      <c r="L60" s="583"/>
      <c r="M60" s="583"/>
      <c r="N60" s="584"/>
      <c r="O60" s="584"/>
      <c r="P60" s="584"/>
      <c r="Q60" s="584"/>
      <c r="R60" s="584"/>
      <c r="S60" s="584"/>
      <c r="T60" s="585"/>
      <c r="U60" s="585"/>
      <c r="V60" s="571"/>
      <c r="W60" s="571"/>
    </row>
    <row r="61" spans="1:23">
      <c r="A61" s="580"/>
      <c r="B61" s="571"/>
      <c r="C61" s="571"/>
      <c r="D61" s="581"/>
      <c r="E61" s="581"/>
      <c r="F61" s="581"/>
      <c r="G61" s="581"/>
      <c r="H61" s="581"/>
      <c r="I61" s="581"/>
      <c r="J61" s="582"/>
      <c r="K61" s="582"/>
      <c r="L61" s="583"/>
      <c r="M61" s="583"/>
      <c r="N61" s="584"/>
      <c r="O61" s="584"/>
      <c r="P61" s="584"/>
      <c r="Q61" s="584"/>
      <c r="R61" s="584"/>
      <c r="S61" s="584"/>
      <c r="T61" s="585"/>
      <c r="U61" s="585"/>
      <c r="V61" s="571"/>
      <c r="W61" s="571"/>
    </row>
    <row r="62" spans="1:23">
      <c r="A62" s="580"/>
      <c r="B62" s="571"/>
      <c r="C62" s="571"/>
      <c r="D62" s="581"/>
      <c r="E62" s="581"/>
      <c r="F62" s="581"/>
      <c r="G62" s="581"/>
      <c r="H62" s="581"/>
      <c r="I62" s="581"/>
      <c r="J62" s="582"/>
      <c r="K62" s="582"/>
      <c r="L62" s="583"/>
      <c r="M62" s="583"/>
      <c r="N62" s="584"/>
      <c r="O62" s="584"/>
      <c r="P62" s="584"/>
      <c r="Q62" s="584"/>
      <c r="R62" s="584"/>
      <c r="S62" s="584"/>
      <c r="T62" s="585"/>
      <c r="U62" s="585"/>
      <c r="V62" s="571"/>
      <c r="W62" s="571"/>
    </row>
    <row r="63" spans="1:23">
      <c r="A63" s="580"/>
      <c r="B63" s="571"/>
      <c r="C63" s="571"/>
      <c r="D63" s="581"/>
      <c r="E63" s="581"/>
      <c r="F63" s="581"/>
      <c r="G63" s="581"/>
      <c r="H63" s="581"/>
      <c r="I63" s="581"/>
      <c r="J63" s="582"/>
      <c r="K63" s="582"/>
      <c r="L63" s="583"/>
      <c r="M63" s="583"/>
      <c r="N63" s="584"/>
      <c r="O63" s="584"/>
      <c r="P63" s="584"/>
      <c r="Q63" s="584"/>
      <c r="R63" s="584"/>
      <c r="S63" s="584"/>
      <c r="T63" s="585"/>
      <c r="U63" s="585"/>
      <c r="V63" s="571"/>
      <c r="W63" s="571"/>
    </row>
    <row r="64" spans="1:23">
      <c r="A64" s="580"/>
      <c r="B64" s="571"/>
      <c r="C64" s="571"/>
      <c r="D64" s="581"/>
      <c r="E64" s="581"/>
      <c r="F64" s="581"/>
      <c r="G64" s="581"/>
      <c r="H64" s="581"/>
      <c r="I64" s="581"/>
      <c r="J64" s="582"/>
      <c r="K64" s="582"/>
      <c r="L64" s="583"/>
      <c r="M64" s="583"/>
      <c r="N64" s="584"/>
      <c r="O64" s="584"/>
      <c r="P64" s="584"/>
      <c r="Q64" s="584"/>
      <c r="R64" s="584"/>
      <c r="S64" s="584"/>
      <c r="T64" s="585"/>
      <c r="U64" s="585"/>
      <c r="V64" s="571"/>
      <c r="W64" s="571"/>
    </row>
    <row r="65" spans="1:23">
      <c r="A65" s="580"/>
      <c r="B65" s="571"/>
      <c r="C65" s="571"/>
      <c r="D65" s="581"/>
      <c r="E65" s="581"/>
      <c r="F65" s="581"/>
      <c r="G65" s="581"/>
      <c r="H65" s="581"/>
      <c r="I65" s="581"/>
      <c r="J65" s="582"/>
      <c r="K65" s="582"/>
      <c r="L65" s="583"/>
      <c r="M65" s="583"/>
      <c r="N65" s="584"/>
      <c r="O65" s="584"/>
      <c r="P65" s="584"/>
      <c r="Q65" s="584"/>
      <c r="R65" s="584"/>
      <c r="S65" s="584"/>
      <c r="T65" s="585"/>
      <c r="U65" s="585"/>
      <c r="V65" s="571"/>
      <c r="W65" s="571"/>
    </row>
    <row r="66" spans="1:23">
      <c r="A66" s="580"/>
      <c r="B66" s="571"/>
      <c r="C66" s="571"/>
      <c r="D66" s="581"/>
      <c r="E66" s="581"/>
      <c r="F66" s="581"/>
      <c r="G66" s="581"/>
      <c r="H66" s="581"/>
      <c r="I66" s="581"/>
      <c r="J66" s="582"/>
      <c r="K66" s="582"/>
      <c r="L66" s="583"/>
      <c r="M66" s="583"/>
      <c r="N66" s="584"/>
      <c r="O66" s="584"/>
      <c r="P66" s="584"/>
      <c r="Q66" s="584"/>
      <c r="R66" s="584"/>
      <c r="S66" s="584"/>
      <c r="T66" s="585"/>
      <c r="U66" s="585"/>
      <c r="V66" s="571"/>
      <c r="W66" s="571"/>
    </row>
    <row r="67" spans="1:23">
      <c r="A67" s="580"/>
      <c r="B67" s="571"/>
      <c r="C67" s="571"/>
      <c r="D67" s="581"/>
      <c r="E67" s="581"/>
      <c r="F67" s="581"/>
      <c r="G67" s="581"/>
      <c r="H67" s="581"/>
      <c r="I67" s="581"/>
      <c r="J67" s="582"/>
      <c r="K67" s="582"/>
      <c r="L67" s="583"/>
      <c r="M67" s="583"/>
      <c r="N67" s="584"/>
      <c r="O67" s="584"/>
      <c r="P67" s="584"/>
      <c r="Q67" s="584"/>
      <c r="R67" s="584"/>
      <c r="S67" s="584"/>
      <c r="T67" s="585"/>
      <c r="U67" s="585"/>
      <c r="V67" s="571"/>
      <c r="W67" s="571"/>
    </row>
    <row r="68" spans="1:23">
      <c r="A68" s="580"/>
      <c r="B68" s="571"/>
      <c r="C68" s="571"/>
      <c r="D68" s="581"/>
      <c r="E68" s="581"/>
      <c r="F68" s="581"/>
      <c r="G68" s="581"/>
      <c r="H68" s="581"/>
      <c r="I68" s="581"/>
      <c r="J68" s="582"/>
      <c r="K68" s="582"/>
      <c r="L68" s="583"/>
      <c r="M68" s="583"/>
      <c r="N68" s="584"/>
      <c r="O68" s="584"/>
      <c r="P68" s="584"/>
      <c r="Q68" s="584"/>
      <c r="R68" s="584"/>
      <c r="S68" s="584"/>
      <c r="T68" s="585"/>
      <c r="U68" s="585"/>
      <c r="V68" s="571"/>
      <c r="W68" s="571"/>
    </row>
    <row r="69" spans="1:23">
      <c r="A69" s="580"/>
      <c r="B69" s="571"/>
      <c r="C69" s="571"/>
      <c r="D69" s="581"/>
      <c r="E69" s="581"/>
      <c r="F69" s="581"/>
      <c r="G69" s="581"/>
      <c r="H69" s="581"/>
      <c r="I69" s="581"/>
      <c r="J69" s="582"/>
      <c r="K69" s="582"/>
      <c r="L69" s="583"/>
      <c r="M69" s="583"/>
      <c r="N69" s="584"/>
      <c r="O69" s="584"/>
      <c r="P69" s="584"/>
      <c r="Q69" s="584"/>
      <c r="R69" s="584"/>
      <c r="S69" s="584"/>
      <c r="T69" s="585"/>
      <c r="U69" s="585"/>
      <c r="V69" s="571"/>
      <c r="W69" s="571"/>
    </row>
    <row r="70" spans="1:23">
      <c r="A70" s="580"/>
      <c r="B70" s="571"/>
      <c r="C70" s="571"/>
      <c r="D70" s="581"/>
      <c r="E70" s="581"/>
      <c r="F70" s="581"/>
      <c r="G70" s="581"/>
      <c r="H70" s="581"/>
      <c r="I70" s="581"/>
      <c r="J70" s="582"/>
      <c r="K70" s="582"/>
      <c r="L70" s="583"/>
      <c r="M70" s="583"/>
      <c r="N70" s="584"/>
      <c r="O70" s="584"/>
      <c r="P70" s="584"/>
      <c r="Q70" s="584"/>
      <c r="R70" s="584"/>
      <c r="S70" s="584"/>
      <c r="T70" s="585"/>
      <c r="U70" s="585"/>
      <c r="V70" s="571"/>
      <c r="W70" s="571"/>
    </row>
    <row r="71" spans="1:23">
      <c r="A71" s="580"/>
      <c r="B71" s="571"/>
      <c r="C71" s="571"/>
      <c r="D71" s="581"/>
      <c r="E71" s="581"/>
      <c r="F71" s="581"/>
      <c r="G71" s="581"/>
      <c r="H71" s="581"/>
      <c r="I71" s="581"/>
      <c r="J71" s="582"/>
      <c r="K71" s="582"/>
      <c r="L71" s="583"/>
      <c r="M71" s="583"/>
      <c r="N71" s="584"/>
      <c r="O71" s="584"/>
      <c r="P71" s="584"/>
      <c r="Q71" s="584"/>
      <c r="R71" s="584"/>
      <c r="S71" s="584"/>
      <c r="T71" s="585"/>
      <c r="U71" s="585"/>
      <c r="V71" s="571"/>
      <c r="W71" s="571"/>
    </row>
    <row r="72" spans="1:23">
      <c r="A72" s="580"/>
      <c r="B72" s="571"/>
      <c r="C72" s="571"/>
      <c r="D72" s="581"/>
      <c r="E72" s="581"/>
      <c r="F72" s="581"/>
      <c r="G72" s="581"/>
      <c r="H72" s="581"/>
      <c r="I72" s="581"/>
      <c r="J72" s="582"/>
      <c r="K72" s="582"/>
      <c r="L72" s="583"/>
      <c r="M72" s="583"/>
      <c r="N72" s="584"/>
      <c r="O72" s="584"/>
      <c r="P72" s="584"/>
      <c r="Q72" s="584"/>
      <c r="R72" s="584"/>
      <c r="S72" s="584"/>
      <c r="T72" s="585"/>
      <c r="U72" s="585"/>
      <c r="V72" s="571"/>
      <c r="W72" s="571"/>
    </row>
    <row r="73" spans="1:23">
      <c r="A73" s="580"/>
      <c r="B73" s="571"/>
      <c r="C73" s="571"/>
      <c r="D73" s="581"/>
      <c r="E73" s="581"/>
      <c r="F73" s="581"/>
      <c r="G73" s="581"/>
      <c r="H73" s="581"/>
      <c r="I73" s="581"/>
      <c r="J73" s="582"/>
      <c r="K73" s="582"/>
      <c r="L73" s="583"/>
      <c r="M73" s="583"/>
      <c r="N73" s="584"/>
      <c r="O73" s="584"/>
      <c r="P73" s="584"/>
      <c r="Q73" s="584"/>
      <c r="R73" s="584"/>
      <c r="S73" s="584"/>
      <c r="T73" s="585"/>
      <c r="U73" s="585"/>
      <c r="V73" s="571"/>
      <c r="W73" s="571"/>
    </row>
    <row r="74" spans="1:23">
      <c r="A74" s="580"/>
      <c r="B74" s="571"/>
      <c r="C74" s="571"/>
      <c r="D74" s="581"/>
      <c r="E74" s="581"/>
      <c r="F74" s="581"/>
      <c r="G74" s="581"/>
      <c r="H74" s="581"/>
      <c r="I74" s="581"/>
      <c r="J74" s="582"/>
      <c r="K74" s="582"/>
      <c r="L74" s="583"/>
      <c r="M74" s="583"/>
      <c r="N74" s="584"/>
      <c r="O74" s="584"/>
      <c r="P74" s="584"/>
      <c r="Q74" s="584"/>
      <c r="R74" s="584"/>
      <c r="S74" s="584"/>
      <c r="T74" s="585"/>
      <c r="U74" s="585"/>
      <c r="V74" s="571"/>
      <c r="W74" s="571"/>
    </row>
    <row r="75" spans="1:23">
      <c r="A75" s="580"/>
      <c r="B75" s="571"/>
      <c r="C75" s="571"/>
      <c r="D75" s="581"/>
      <c r="E75" s="581"/>
      <c r="F75" s="581"/>
      <c r="G75" s="581"/>
      <c r="H75" s="581"/>
      <c r="I75" s="581"/>
      <c r="J75" s="582"/>
      <c r="K75" s="582"/>
      <c r="L75" s="583"/>
      <c r="M75" s="583"/>
      <c r="N75" s="584"/>
      <c r="O75" s="584"/>
      <c r="P75" s="584"/>
      <c r="Q75" s="584"/>
      <c r="R75" s="584"/>
      <c r="S75" s="584"/>
      <c r="T75" s="585"/>
      <c r="U75" s="585"/>
      <c r="V75" s="571"/>
      <c r="W75" s="571"/>
    </row>
    <row r="76" spans="1:23">
      <c r="A76" s="580"/>
      <c r="B76" s="571"/>
      <c r="C76" s="571"/>
      <c r="D76" s="581"/>
      <c r="E76" s="581"/>
      <c r="F76" s="581"/>
      <c r="G76" s="581"/>
      <c r="H76" s="581"/>
      <c r="I76" s="581"/>
      <c r="J76" s="582"/>
      <c r="K76" s="582"/>
      <c r="L76" s="583"/>
      <c r="M76" s="583"/>
      <c r="N76" s="584"/>
      <c r="O76" s="584"/>
      <c r="P76" s="584"/>
      <c r="Q76" s="584"/>
      <c r="R76" s="584"/>
      <c r="S76" s="584"/>
      <c r="T76" s="585"/>
      <c r="U76" s="585"/>
      <c r="V76" s="571"/>
      <c r="W76" s="571"/>
    </row>
    <row r="77" spans="1:23">
      <c r="A77" s="580"/>
      <c r="B77" s="571"/>
      <c r="C77" s="571"/>
      <c r="D77" s="581"/>
      <c r="E77" s="581"/>
      <c r="F77" s="581"/>
      <c r="G77" s="581"/>
      <c r="H77" s="581"/>
      <c r="I77" s="581"/>
      <c r="J77" s="582"/>
      <c r="K77" s="582"/>
      <c r="L77" s="583"/>
      <c r="M77" s="583"/>
      <c r="N77" s="584"/>
      <c r="O77" s="584"/>
      <c r="P77" s="584"/>
      <c r="Q77" s="584"/>
      <c r="R77" s="584"/>
      <c r="S77" s="584"/>
      <c r="T77" s="585"/>
      <c r="U77" s="585"/>
      <c r="V77" s="571"/>
      <c r="W77" s="571"/>
    </row>
    <row r="78" spans="1:23">
      <c r="A78" s="580"/>
      <c r="B78" s="571"/>
      <c r="C78" s="571"/>
      <c r="D78" s="581"/>
      <c r="E78" s="581"/>
      <c r="F78" s="581"/>
      <c r="G78" s="581"/>
      <c r="H78" s="581"/>
      <c r="I78" s="581"/>
      <c r="J78" s="582"/>
      <c r="K78" s="582"/>
      <c r="L78" s="583"/>
      <c r="M78" s="583"/>
      <c r="N78" s="584"/>
      <c r="O78" s="584"/>
      <c r="P78" s="584"/>
      <c r="Q78" s="584"/>
      <c r="R78" s="584"/>
      <c r="S78" s="584"/>
      <c r="T78" s="585"/>
      <c r="U78" s="585"/>
      <c r="V78" s="571"/>
      <c r="W78" s="571"/>
    </row>
    <row r="79" spans="1:23">
      <c r="A79" s="580"/>
      <c r="B79" s="571"/>
      <c r="C79" s="571"/>
      <c r="D79" s="581"/>
      <c r="E79" s="581"/>
      <c r="F79" s="581"/>
      <c r="G79" s="581"/>
      <c r="H79" s="581"/>
      <c r="I79" s="581"/>
      <c r="J79" s="582"/>
      <c r="K79" s="582"/>
      <c r="L79" s="583"/>
      <c r="M79" s="583"/>
      <c r="N79" s="584"/>
      <c r="O79" s="584"/>
      <c r="P79" s="584"/>
      <c r="Q79" s="584"/>
      <c r="R79" s="584"/>
      <c r="S79" s="584"/>
      <c r="T79" s="585"/>
      <c r="U79" s="585"/>
      <c r="V79" s="571"/>
      <c r="W79" s="571"/>
    </row>
    <row r="80" spans="1:23">
      <c r="A80" s="571"/>
      <c r="B80" s="571"/>
      <c r="C80" s="571"/>
      <c r="D80" s="571"/>
      <c r="E80" s="571"/>
      <c r="F80" s="571"/>
      <c r="G80" s="571"/>
      <c r="H80" s="571"/>
      <c r="I80" s="571"/>
      <c r="J80" s="571"/>
      <c r="K80" s="571"/>
      <c r="L80" s="571"/>
      <c r="M80" s="571"/>
      <c r="N80" s="571"/>
      <c r="O80" s="571"/>
      <c r="P80" s="571"/>
      <c r="Q80" s="571"/>
      <c r="R80" s="571"/>
      <c r="S80" s="571"/>
      <c r="T80" s="571"/>
      <c r="U80" s="571"/>
      <c r="V80" s="571"/>
      <c r="W80" s="571"/>
    </row>
    <row r="81" spans="1:23">
      <c r="A81" s="571"/>
      <c r="B81" s="571"/>
      <c r="C81" s="571"/>
      <c r="D81" s="571"/>
      <c r="E81" s="571"/>
      <c r="F81" s="571"/>
      <c r="G81" s="571"/>
      <c r="H81" s="571"/>
      <c r="I81" s="571"/>
      <c r="J81" s="571"/>
      <c r="K81" s="571"/>
      <c r="L81" s="571"/>
      <c r="M81" s="571"/>
      <c r="N81" s="571"/>
      <c r="O81" s="571"/>
      <c r="P81" s="571"/>
      <c r="Q81" s="571"/>
      <c r="R81" s="571"/>
      <c r="S81" s="571"/>
      <c r="T81" s="571"/>
      <c r="U81" s="571"/>
      <c r="V81" s="571"/>
      <c r="W81" s="571"/>
    </row>
    <row r="82" spans="1:23">
      <c r="A82" s="571"/>
      <c r="B82" s="586"/>
      <c r="C82" s="586"/>
      <c r="D82" s="572"/>
      <c r="E82" s="572"/>
      <c r="F82" s="572"/>
      <c r="G82" s="572"/>
      <c r="H82" s="572"/>
      <c r="I82" s="572"/>
      <c r="J82" s="585"/>
      <c r="K82" s="585"/>
      <c r="L82" s="585"/>
      <c r="M82" s="585"/>
      <c r="N82" s="573"/>
      <c r="O82" s="573"/>
      <c r="P82" s="573"/>
      <c r="Q82" s="573"/>
      <c r="R82" s="573"/>
      <c r="S82" s="573"/>
      <c r="T82" s="576"/>
      <c r="U82" s="576"/>
      <c r="V82" s="571"/>
      <c r="W82" s="571"/>
    </row>
    <row r="83" spans="1:23">
      <c r="A83" s="571"/>
      <c r="B83" s="580"/>
      <c r="C83" s="577"/>
      <c r="D83" s="587"/>
      <c r="E83" s="587"/>
      <c r="F83" s="587"/>
      <c r="G83" s="587"/>
      <c r="H83" s="587"/>
      <c r="I83" s="587"/>
      <c r="J83" s="585"/>
      <c r="K83" s="585"/>
      <c r="L83" s="585"/>
      <c r="M83" s="585"/>
      <c r="N83" s="588"/>
      <c r="O83" s="588"/>
      <c r="P83" s="588"/>
      <c r="Q83" s="588"/>
      <c r="R83" s="588"/>
      <c r="S83" s="588"/>
      <c r="T83" s="576"/>
      <c r="U83" s="576"/>
      <c r="V83" s="571"/>
      <c r="W83" s="571"/>
    </row>
    <row r="84" spans="1:23">
      <c r="A84" s="580"/>
      <c r="B84" s="585"/>
      <c r="C84" s="571"/>
      <c r="D84" s="581"/>
      <c r="E84" s="581"/>
      <c r="F84" s="581"/>
      <c r="G84" s="581"/>
      <c r="H84" s="581"/>
      <c r="I84" s="585"/>
      <c r="J84" s="585"/>
      <c r="K84" s="585"/>
      <c r="L84" s="585"/>
      <c r="M84" s="585"/>
      <c r="N84" s="589"/>
      <c r="O84" s="589"/>
      <c r="P84" s="589"/>
      <c r="Q84" s="589"/>
      <c r="R84" s="584"/>
      <c r="S84" s="584"/>
      <c r="T84" s="576"/>
      <c r="U84" s="576"/>
      <c r="V84" s="571"/>
      <c r="W84" s="571"/>
    </row>
    <row r="85" spans="1:23">
      <c r="A85" s="580"/>
      <c r="B85" s="585"/>
      <c r="C85" s="571"/>
      <c r="D85" s="581"/>
      <c r="E85" s="581"/>
      <c r="F85" s="581"/>
      <c r="G85" s="581"/>
      <c r="H85" s="581"/>
      <c r="I85" s="585"/>
      <c r="J85" s="585"/>
      <c r="K85" s="585"/>
      <c r="L85" s="585"/>
      <c r="M85" s="585"/>
      <c r="N85" s="589"/>
      <c r="O85" s="589"/>
      <c r="P85" s="589"/>
      <c r="Q85" s="589"/>
      <c r="R85" s="584"/>
      <c r="S85" s="584"/>
      <c r="T85" s="585"/>
      <c r="U85" s="585"/>
      <c r="V85" s="571"/>
      <c r="W85" s="571"/>
    </row>
    <row r="86" spans="1:23">
      <c r="A86" s="580"/>
      <c r="B86" s="585"/>
      <c r="C86" s="571"/>
      <c r="D86" s="581"/>
      <c r="E86" s="581"/>
      <c r="F86" s="581"/>
      <c r="G86" s="581"/>
      <c r="H86" s="581"/>
      <c r="I86" s="585"/>
      <c r="J86" s="585"/>
      <c r="K86" s="585"/>
      <c r="L86" s="585"/>
      <c r="M86" s="585"/>
      <c r="N86" s="589"/>
      <c r="O86" s="589"/>
      <c r="P86" s="589"/>
      <c r="Q86" s="589"/>
      <c r="R86" s="584"/>
      <c r="S86" s="584"/>
      <c r="T86" s="585"/>
      <c r="U86" s="585"/>
      <c r="V86" s="571"/>
      <c r="W86" s="571"/>
    </row>
    <row r="87" spans="1:23">
      <c r="A87" s="580"/>
      <c r="B87" s="585"/>
      <c r="C87" s="571"/>
      <c r="D87" s="581"/>
      <c r="E87" s="581"/>
      <c r="F87" s="581"/>
      <c r="G87" s="581"/>
      <c r="H87" s="581"/>
      <c r="I87" s="585"/>
      <c r="J87" s="585"/>
      <c r="K87" s="585"/>
      <c r="L87" s="585"/>
      <c r="M87" s="585"/>
      <c r="N87" s="589"/>
      <c r="O87" s="589"/>
      <c r="P87" s="589"/>
      <c r="Q87" s="589"/>
      <c r="R87" s="584"/>
      <c r="S87" s="584"/>
      <c r="T87" s="585"/>
      <c r="U87" s="585"/>
      <c r="V87" s="571"/>
      <c r="W87" s="571"/>
    </row>
    <row r="88" spans="1:23">
      <c r="A88" s="580"/>
      <c r="B88" s="585"/>
      <c r="C88" s="571"/>
      <c r="D88" s="581"/>
      <c r="E88" s="581"/>
      <c r="F88" s="581"/>
      <c r="G88" s="581"/>
      <c r="H88" s="581"/>
      <c r="I88" s="585"/>
      <c r="J88" s="585"/>
      <c r="K88" s="585"/>
      <c r="L88" s="585"/>
      <c r="M88" s="585"/>
      <c r="N88" s="589"/>
      <c r="O88" s="589"/>
      <c r="P88" s="589"/>
      <c r="Q88" s="589"/>
      <c r="R88" s="584"/>
      <c r="S88" s="584"/>
      <c r="T88" s="585"/>
      <c r="U88" s="585"/>
      <c r="V88" s="571"/>
      <c r="W88" s="571"/>
    </row>
    <row r="89" spans="1:23">
      <c r="A89" s="580"/>
      <c r="B89" s="585"/>
      <c r="C89" s="571"/>
      <c r="D89" s="581"/>
      <c r="E89" s="581"/>
      <c r="F89" s="581"/>
      <c r="G89" s="581"/>
      <c r="H89" s="581"/>
      <c r="I89" s="585"/>
      <c r="J89" s="585"/>
      <c r="K89" s="585"/>
      <c r="L89" s="585"/>
      <c r="M89" s="585"/>
      <c r="N89" s="589"/>
      <c r="O89" s="589"/>
      <c r="P89" s="589"/>
      <c r="Q89" s="589"/>
      <c r="R89" s="584"/>
      <c r="S89" s="584"/>
      <c r="T89" s="585"/>
      <c r="U89" s="585"/>
      <c r="V89" s="571"/>
      <c r="W89" s="571"/>
    </row>
    <row r="90" spans="1:23">
      <c r="A90" s="580"/>
      <c r="B90" s="585"/>
      <c r="C90" s="571"/>
      <c r="D90" s="581"/>
      <c r="E90" s="581"/>
      <c r="F90" s="581"/>
      <c r="G90" s="581"/>
      <c r="H90" s="581"/>
      <c r="I90" s="585"/>
      <c r="J90" s="585"/>
      <c r="K90" s="585"/>
      <c r="L90" s="585"/>
      <c r="M90" s="585"/>
      <c r="N90" s="589"/>
      <c r="O90" s="589"/>
      <c r="P90" s="589"/>
      <c r="Q90" s="589"/>
      <c r="R90" s="584"/>
      <c r="S90" s="584"/>
      <c r="T90" s="585"/>
      <c r="U90" s="585"/>
      <c r="V90" s="571"/>
      <c r="W90" s="571"/>
    </row>
    <row r="91" spans="1:23">
      <c r="A91" s="580"/>
      <c r="B91" s="585"/>
      <c r="C91" s="571"/>
      <c r="D91" s="581"/>
      <c r="E91" s="581"/>
      <c r="F91" s="581"/>
      <c r="G91" s="581"/>
      <c r="H91" s="581"/>
      <c r="I91" s="585"/>
      <c r="J91" s="585"/>
      <c r="K91" s="585"/>
      <c r="L91" s="585"/>
      <c r="M91" s="585"/>
      <c r="N91" s="589"/>
      <c r="O91" s="589"/>
      <c r="P91" s="589"/>
      <c r="Q91" s="589"/>
      <c r="R91" s="584"/>
      <c r="S91" s="584"/>
      <c r="T91" s="585"/>
      <c r="U91" s="585"/>
      <c r="V91" s="571"/>
      <c r="W91" s="571"/>
    </row>
    <row r="92" spans="1:23">
      <c r="A92" s="580"/>
      <c r="B92" s="585"/>
      <c r="C92" s="571"/>
      <c r="D92" s="581"/>
      <c r="E92" s="581"/>
      <c r="F92" s="581"/>
      <c r="G92" s="581"/>
      <c r="H92" s="581"/>
      <c r="I92" s="585"/>
      <c r="J92" s="585"/>
      <c r="K92" s="585"/>
      <c r="L92" s="585"/>
      <c r="M92" s="585"/>
      <c r="N92" s="589"/>
      <c r="O92" s="589"/>
      <c r="P92" s="589"/>
      <c r="Q92" s="589"/>
      <c r="R92" s="584"/>
      <c r="S92" s="584"/>
      <c r="T92" s="585"/>
      <c r="U92" s="585"/>
      <c r="V92" s="571"/>
      <c r="W92" s="571"/>
    </row>
    <row r="93" spans="1:23">
      <c r="A93" s="580"/>
      <c r="B93" s="585"/>
      <c r="C93" s="571"/>
      <c r="D93" s="581"/>
      <c r="E93" s="581"/>
      <c r="F93" s="581"/>
      <c r="G93" s="581"/>
      <c r="H93" s="581"/>
      <c r="I93" s="585"/>
      <c r="J93" s="585"/>
      <c r="K93" s="585"/>
      <c r="L93" s="585"/>
      <c r="M93" s="585"/>
      <c r="N93" s="589"/>
      <c r="O93" s="589"/>
      <c r="P93" s="589"/>
      <c r="Q93" s="589"/>
      <c r="R93" s="584"/>
      <c r="S93" s="584"/>
      <c r="T93" s="585"/>
      <c r="U93" s="585"/>
      <c r="V93" s="571"/>
      <c r="W93" s="571"/>
    </row>
    <row r="94" spans="1:23">
      <c r="A94" s="580"/>
      <c r="B94" s="585"/>
      <c r="C94" s="571"/>
      <c r="D94" s="581"/>
      <c r="E94" s="581"/>
      <c r="F94" s="581"/>
      <c r="G94" s="581"/>
      <c r="H94" s="581"/>
      <c r="I94" s="585"/>
      <c r="J94" s="585"/>
      <c r="K94" s="585"/>
      <c r="L94" s="585"/>
      <c r="M94" s="585"/>
      <c r="N94" s="589"/>
      <c r="O94" s="589"/>
      <c r="P94" s="589"/>
      <c r="Q94" s="589"/>
      <c r="R94" s="584"/>
      <c r="S94" s="584"/>
      <c r="T94" s="585"/>
      <c r="U94" s="585"/>
      <c r="V94" s="571"/>
      <c r="W94" s="571"/>
    </row>
    <row r="95" spans="1:23">
      <c r="A95" s="580"/>
      <c r="B95" s="585"/>
      <c r="C95" s="571"/>
      <c r="D95" s="581"/>
      <c r="E95" s="581"/>
      <c r="F95" s="581"/>
      <c r="G95" s="581"/>
      <c r="H95" s="581"/>
      <c r="I95" s="585"/>
      <c r="J95" s="585"/>
      <c r="K95" s="585"/>
      <c r="L95" s="585"/>
      <c r="M95" s="585"/>
      <c r="N95" s="589"/>
      <c r="O95" s="589"/>
      <c r="P95" s="589"/>
      <c r="Q95" s="589"/>
      <c r="R95" s="584"/>
      <c r="S95" s="584"/>
      <c r="T95" s="585"/>
      <c r="U95" s="585"/>
      <c r="V95" s="571"/>
      <c r="W95" s="571"/>
    </row>
    <row r="96" spans="1:23">
      <c r="A96" s="580"/>
      <c r="B96" s="585"/>
      <c r="C96" s="571"/>
      <c r="D96" s="581"/>
      <c r="E96" s="581"/>
      <c r="F96" s="581"/>
      <c r="G96" s="581"/>
      <c r="H96" s="581"/>
      <c r="I96" s="585"/>
      <c r="J96" s="585"/>
      <c r="K96" s="585"/>
      <c r="L96" s="585"/>
      <c r="M96" s="585"/>
      <c r="N96" s="589"/>
      <c r="O96" s="589"/>
      <c r="P96" s="589"/>
      <c r="Q96" s="589"/>
      <c r="R96" s="584"/>
      <c r="S96" s="584"/>
      <c r="T96" s="585"/>
      <c r="U96" s="585"/>
      <c r="V96" s="571"/>
      <c r="W96" s="571"/>
    </row>
    <row r="97" spans="1:23">
      <c r="A97" s="580"/>
      <c r="B97" s="585"/>
      <c r="C97" s="571"/>
      <c r="D97" s="581"/>
      <c r="E97" s="581"/>
      <c r="F97" s="581"/>
      <c r="G97" s="581"/>
      <c r="H97" s="581"/>
      <c r="I97" s="585"/>
      <c r="J97" s="585"/>
      <c r="K97" s="585"/>
      <c r="L97" s="585"/>
      <c r="M97" s="585"/>
      <c r="N97" s="589"/>
      <c r="O97" s="589"/>
      <c r="P97" s="589"/>
      <c r="Q97" s="589"/>
      <c r="R97" s="584"/>
      <c r="S97" s="584"/>
      <c r="T97" s="571"/>
      <c r="U97" s="571"/>
      <c r="V97" s="571"/>
      <c r="W97" s="571"/>
    </row>
    <row r="98" spans="1:23">
      <c r="A98" s="571"/>
      <c r="B98" s="571"/>
      <c r="C98" s="590"/>
      <c r="D98" s="571"/>
      <c r="E98" s="571"/>
      <c r="F98" s="571"/>
      <c r="G98" s="571"/>
      <c r="H98" s="571"/>
      <c r="I98" s="571"/>
      <c r="J98" s="571"/>
      <c r="K98" s="571"/>
      <c r="L98" s="571"/>
      <c r="M98" s="571"/>
      <c r="N98" s="591"/>
      <c r="O98" s="591"/>
      <c r="P98" s="591"/>
      <c r="Q98" s="591"/>
      <c r="R98" s="571"/>
      <c r="S98" s="571"/>
      <c r="T98" s="571"/>
      <c r="U98" s="571"/>
      <c r="V98" s="571"/>
      <c r="W98" s="571"/>
    </row>
    <row r="99" spans="1:23">
      <c r="A99" s="571"/>
      <c r="B99" s="592"/>
      <c r="C99" s="571"/>
      <c r="D99" s="571"/>
      <c r="E99" s="571"/>
      <c r="F99" s="571"/>
      <c r="G99" s="571"/>
      <c r="H99" s="571"/>
      <c r="I99" s="571"/>
      <c r="J99" s="571"/>
      <c r="K99" s="571"/>
      <c r="L99" s="571"/>
      <c r="M99" s="571"/>
      <c r="N99" s="571"/>
      <c r="O99" s="571"/>
      <c r="P99" s="571"/>
      <c r="Q99" s="571"/>
      <c r="R99" s="571"/>
      <c r="S99" s="571"/>
      <c r="T99" s="571"/>
      <c r="U99" s="571"/>
      <c r="V99" s="571"/>
      <c r="W99" s="571"/>
    </row>
    <row r="100" spans="1:23">
      <c r="A100" s="571"/>
      <c r="B100" s="571"/>
      <c r="C100" s="571"/>
      <c r="D100" s="571"/>
      <c r="E100" s="571"/>
      <c r="F100" s="571"/>
      <c r="G100" s="571"/>
      <c r="H100" s="571"/>
      <c r="I100" s="571"/>
      <c r="J100" s="571"/>
      <c r="K100" s="571"/>
      <c r="L100" s="571"/>
      <c r="M100" s="571"/>
      <c r="N100" s="571"/>
      <c r="O100" s="571"/>
      <c r="P100" s="571"/>
      <c r="Q100" s="571"/>
      <c r="R100" s="571"/>
      <c r="S100" s="571"/>
      <c r="T100" s="571"/>
      <c r="U100" s="571"/>
      <c r="V100" s="571"/>
      <c r="W100" s="571"/>
    </row>
    <row r="101" spans="1:23">
      <c r="A101" s="571"/>
      <c r="B101" s="571"/>
      <c r="C101" s="571"/>
      <c r="D101" s="571"/>
      <c r="E101" s="571"/>
      <c r="F101" s="571"/>
      <c r="G101" s="571"/>
      <c r="H101" s="571"/>
      <c r="I101" s="571"/>
      <c r="J101" s="571"/>
      <c r="K101" s="571"/>
      <c r="L101" s="571"/>
      <c r="M101" s="571"/>
      <c r="N101" s="571"/>
      <c r="O101" s="571"/>
      <c r="P101" s="571"/>
      <c r="Q101" s="571"/>
      <c r="R101" s="571"/>
      <c r="S101" s="571"/>
      <c r="T101" s="571"/>
      <c r="U101" s="571"/>
      <c r="V101" s="571"/>
      <c r="W101" s="571"/>
    </row>
    <row r="102" spans="1:23">
      <c r="A102" s="571"/>
      <c r="B102" s="571"/>
      <c r="C102" s="571"/>
      <c r="D102" s="571"/>
      <c r="E102" s="571"/>
      <c r="F102" s="571"/>
      <c r="G102" s="571"/>
      <c r="H102" s="571"/>
      <c r="I102" s="571"/>
      <c r="J102" s="571"/>
      <c r="K102" s="571"/>
      <c r="L102" s="571"/>
      <c r="M102" s="571"/>
      <c r="N102" s="571"/>
      <c r="O102" s="571"/>
      <c r="P102" s="571"/>
      <c r="Q102" s="571"/>
      <c r="R102" s="571"/>
      <c r="S102" s="571"/>
      <c r="T102" s="571"/>
      <c r="U102" s="571"/>
      <c r="V102" s="571"/>
      <c r="W102" s="571"/>
    </row>
    <row r="103" spans="1:23">
      <c r="A103" s="571"/>
      <c r="B103" s="571"/>
      <c r="C103" s="571"/>
      <c r="D103" s="571"/>
      <c r="E103" s="571"/>
      <c r="F103" s="571"/>
      <c r="G103" s="571"/>
      <c r="H103" s="571"/>
      <c r="I103" s="571"/>
      <c r="J103" s="571"/>
      <c r="K103" s="571"/>
      <c r="L103" s="571"/>
      <c r="M103" s="571"/>
      <c r="N103" s="571"/>
      <c r="O103" s="571"/>
      <c r="P103" s="571"/>
      <c r="Q103" s="571"/>
      <c r="R103" s="571"/>
      <c r="S103" s="571"/>
      <c r="T103" s="571"/>
      <c r="U103" s="571"/>
      <c r="V103" s="571"/>
      <c r="W103" s="571"/>
    </row>
    <row r="104" spans="1:23">
      <c r="A104" s="571"/>
      <c r="B104" s="571"/>
      <c r="C104" s="571"/>
      <c r="D104" s="571"/>
      <c r="E104" s="571"/>
      <c r="F104" s="571"/>
      <c r="G104" s="571"/>
      <c r="H104" s="571"/>
      <c r="I104" s="571"/>
      <c r="J104" s="571"/>
      <c r="K104" s="571"/>
      <c r="L104" s="571"/>
      <c r="M104" s="571"/>
      <c r="N104" s="571"/>
      <c r="O104" s="571"/>
      <c r="P104" s="571"/>
      <c r="Q104" s="571"/>
      <c r="R104" s="571"/>
      <c r="S104" s="571"/>
      <c r="T104" s="571"/>
      <c r="U104" s="571"/>
      <c r="V104" s="571"/>
      <c r="W104" s="571"/>
    </row>
    <row r="105" spans="1:23">
      <c r="A105" s="571"/>
      <c r="B105" s="571"/>
      <c r="C105" s="571"/>
      <c r="D105" s="571"/>
      <c r="E105" s="571"/>
      <c r="F105" s="571"/>
      <c r="G105" s="571"/>
      <c r="H105" s="571"/>
      <c r="I105" s="571"/>
      <c r="J105" s="571"/>
      <c r="K105" s="571"/>
      <c r="L105" s="571"/>
      <c r="M105" s="571"/>
      <c r="N105" s="571"/>
      <c r="O105" s="571"/>
      <c r="P105" s="571"/>
      <c r="Q105" s="571"/>
      <c r="R105" s="571"/>
      <c r="S105" s="571"/>
      <c r="T105" s="571"/>
      <c r="U105" s="571"/>
      <c r="V105" s="571"/>
      <c r="W105" s="571"/>
    </row>
    <row r="106" spans="1:23">
      <c r="A106" s="571"/>
      <c r="B106" s="571"/>
      <c r="C106" s="571"/>
      <c r="D106" s="571"/>
      <c r="E106" s="571"/>
      <c r="F106" s="571"/>
      <c r="G106" s="571"/>
      <c r="H106" s="571"/>
      <c r="I106" s="571"/>
      <c r="J106" s="571"/>
      <c r="K106" s="571"/>
      <c r="L106" s="571"/>
      <c r="M106" s="571"/>
      <c r="N106" s="571"/>
      <c r="O106" s="571"/>
      <c r="P106" s="571"/>
      <c r="Q106" s="571"/>
      <c r="R106" s="571"/>
      <c r="S106" s="571"/>
      <c r="T106" s="571"/>
      <c r="U106" s="571"/>
      <c r="V106" s="571"/>
      <c r="W106" s="571"/>
    </row>
    <row r="107" spans="1:23">
      <c r="A107" s="571"/>
      <c r="B107" s="571"/>
      <c r="C107" s="571"/>
      <c r="D107" s="571"/>
      <c r="E107" s="571"/>
      <c r="F107" s="571"/>
      <c r="G107" s="571"/>
      <c r="H107" s="571"/>
      <c r="I107" s="571"/>
      <c r="J107" s="571"/>
      <c r="K107" s="571"/>
      <c r="L107" s="571"/>
      <c r="M107" s="571"/>
      <c r="N107" s="571"/>
      <c r="O107" s="571"/>
      <c r="P107" s="571"/>
      <c r="Q107" s="571"/>
      <c r="R107" s="571"/>
      <c r="S107" s="571"/>
      <c r="T107" s="571"/>
      <c r="U107" s="571"/>
      <c r="V107" s="571"/>
      <c r="W107" s="571"/>
    </row>
  </sheetData>
  <sheetProtection password="B8D9" sheet="1" objects="1" scenarios="1"/>
  <mergeCells count="4">
    <mergeCell ref="B1:I1"/>
    <mergeCell ref="J1:N3"/>
    <mergeCell ref="B3:I5"/>
    <mergeCell ref="J5:N5"/>
  </mergeCells>
  <hyperlinks>
    <hyperlink ref="O2:P3" location="'List of Tables &amp; Charts'!A1" display="return to List of Tables &amp; Charts"/>
    <hyperlink ref="J1:N3" location="'List of Tables &amp; Charts'!A1" display="return to List of Tables &amp; Charts"/>
    <hyperlink ref="J5:N5" location="'Chart 14a (2015) DATA'!A1" display="view Chart 14a data"/>
  </hyperlinks>
  <pageMargins left="0.70866141732283472" right="0.70866141732283472" top="0.74803149606299213" bottom="0.74803149606299213" header="0.31496062992125984" footer="0.31496062992125984"/>
  <pageSetup paperSize="9" scale="90" orientation="landscape" r:id="rId1"/>
  <headerFooter>
    <oddFooter>&amp;L&amp;8Scottish Stroke Care Audit 2017 National Report
Stroke Services in Scottish Hospitals, Data relating to 2016&amp;R&amp;8© NHS National Services Scotland/Crown Copyright</oddFooter>
  </headerFooter>
  <rowBreaks count="1" manualBreakCount="1">
    <brk id="44" max="16383" man="1"/>
  </rowBreaks>
  <drawing r:id="rId2"/>
</worksheet>
</file>

<file path=xl/worksheets/sheet61.xml><?xml version="1.0" encoding="utf-8"?>
<worksheet xmlns="http://schemas.openxmlformats.org/spreadsheetml/2006/main" xmlns:r="http://schemas.openxmlformats.org/officeDocument/2006/relationships">
  <sheetPr codeName="Sheet70">
    <pageSetUpPr fitToPage="1"/>
  </sheetPr>
  <dimension ref="A1:V60"/>
  <sheetViews>
    <sheetView workbookViewId="0">
      <selection sqref="A1:B1"/>
    </sheetView>
  </sheetViews>
  <sheetFormatPr defaultRowHeight="12.75"/>
  <cols>
    <col min="1" max="1" width="16.7109375" style="210" customWidth="1"/>
    <col min="2" max="2" width="45.7109375" style="210" customWidth="1"/>
    <col min="3" max="3" width="6.7109375" style="359" customWidth="1"/>
    <col min="4" max="4" width="10.7109375" style="359" customWidth="1"/>
    <col min="5" max="5" width="6.7109375" style="359" customWidth="1"/>
    <col min="6" max="6" width="10.7109375" style="359" customWidth="1"/>
    <col min="7" max="7" width="6.7109375" style="359" customWidth="1"/>
    <col min="8" max="8" width="10.7109375" style="359" customWidth="1"/>
    <col min="9" max="12" width="1.7109375" style="359" customWidth="1"/>
    <col min="13" max="13" width="9.28515625" style="210" customWidth="1"/>
    <col min="14" max="14" width="11.28515625" style="210" customWidth="1"/>
    <col min="15" max="15" width="9.28515625" style="210" customWidth="1"/>
    <col min="16" max="16" width="11.28515625" style="210" customWidth="1"/>
    <col min="17" max="17" width="9.28515625" style="210" customWidth="1"/>
    <col min="18" max="18" width="11.28515625" style="210" customWidth="1"/>
    <col min="19" max="16384" width="9.140625" style="210"/>
  </cols>
  <sheetData>
    <row r="1" spans="1:22" ht="50.1" customHeight="1">
      <c r="A1" s="1139">
        <v>2015</v>
      </c>
      <c r="B1" s="1140"/>
      <c r="C1" s="1132" t="s">
        <v>42</v>
      </c>
      <c r="D1" s="1132"/>
      <c r="E1" s="1132"/>
      <c r="F1" s="1132"/>
      <c r="G1" s="1132"/>
      <c r="H1" s="1132"/>
      <c r="I1" s="217"/>
      <c r="J1" s="218"/>
      <c r="K1" s="1141" t="s">
        <v>140</v>
      </c>
      <c r="L1" s="1142"/>
      <c r="M1" s="1132" t="s">
        <v>282</v>
      </c>
      <c r="N1" s="1132"/>
      <c r="O1" s="1145" t="s">
        <v>283</v>
      </c>
      <c r="P1" s="1146"/>
      <c r="Q1" s="1132" t="s">
        <v>284</v>
      </c>
      <c r="R1" s="1132"/>
      <c r="S1" s="1133"/>
      <c r="T1" s="1134"/>
    </row>
    <row r="2" spans="1:22" ht="45" customHeight="1">
      <c r="A2" s="219" t="s">
        <v>24</v>
      </c>
      <c r="B2" s="220" t="s">
        <v>25</v>
      </c>
      <c r="C2" s="221" t="s">
        <v>285</v>
      </c>
      <c r="D2" s="221" t="s">
        <v>52</v>
      </c>
      <c r="E2" s="221" t="s">
        <v>286</v>
      </c>
      <c r="F2" s="221" t="s">
        <v>52</v>
      </c>
      <c r="G2" s="221" t="s">
        <v>287</v>
      </c>
      <c r="H2" s="221" t="s">
        <v>52</v>
      </c>
      <c r="I2" s="222" t="s">
        <v>55</v>
      </c>
      <c r="J2" s="223" t="s">
        <v>56</v>
      </c>
      <c r="K2" s="1143"/>
      <c r="L2" s="1144"/>
      <c r="M2" s="224" t="s">
        <v>26</v>
      </c>
      <c r="N2" s="224" t="s">
        <v>27</v>
      </c>
      <c r="O2" s="224" t="s">
        <v>26</v>
      </c>
      <c r="P2" s="224" t="s">
        <v>27</v>
      </c>
      <c r="Q2" s="224" t="s">
        <v>26</v>
      </c>
      <c r="R2" s="224" t="s">
        <v>27</v>
      </c>
      <c r="S2" s="225"/>
      <c r="T2" s="225"/>
      <c r="U2" s="226"/>
      <c r="V2" s="226"/>
    </row>
    <row r="3" spans="1:22">
      <c r="A3" s="227" t="s">
        <v>134</v>
      </c>
      <c r="B3" s="227" t="s">
        <v>134</v>
      </c>
      <c r="C3" s="228">
        <f>M3/N3*100</f>
        <v>13.2995506262549</v>
      </c>
      <c r="D3" s="228" t="str">
        <f>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13 - 14</v>
      </c>
      <c r="E3" s="228">
        <f>O3/P3*100</f>
        <v>72.387417535137203</v>
      </c>
      <c r="F3" s="228" t="str">
        <f>IF(AND(AND(P3&gt;0,O3&gt;0),ROUND(SUM(100*((2*(O3)+1.96^2)-(1.96*(SQRT(1.96^2+4*(O3)*(1-((O3)/P3))))))/(2*(P3+1.96^2))),0)&lt;0),CONCATENATE(SUM(1*0)," - ",ROUND(SUM(100*((2*(O3)+1.96^2)+(1.96*(SQRT(1.96^2+4*(O3)*(1-((O3)/P3))))))/(2*(P3+1.96^2))),0)),IF(AND(AND(P3&gt;0,O3&gt;0),ROUND(SUM(100*((2*(O3)+1.96^2)-(1.96*(SQRT(1.96^2+4*(O3)*(1-((O3)/P3))))))/(2*(P3+1.96^2))),0)&gt;=0),CONCATENATE(ROUND(SUM(100*((2*(O3)+1.96^2)-(1.96*(SQRT(1.96^2+4*(O3)*(1-((O3)/P3))))))/(2*(P3+1.96^2))),0)," - ",ROUND(SUM(100*((2*(O3)+1.96^2)+(1.96*(SQRT(1.96^2+4*(O3)*(1-((O3)/P3))))))/(2*(P3+1.96^2))),0)),""))</f>
        <v>72 - 73</v>
      </c>
      <c r="G3" s="228">
        <f>Q3/R3*100</f>
        <v>14.313031838607898</v>
      </c>
      <c r="H3" s="228" t="str">
        <f>IF(AND(AND(R3&gt;0,Q3&gt;0),ROUND(SUM(100*((2*(Q3)+1.96^2)-(1.96*(SQRT(1.96^2+4*(Q3)*(1-((Q3)/R3))))))/(2*(R3+1.96^2))),0)&lt;0),CONCATENATE(SUM(1*0)," - ",ROUND(SUM(100*((2*(Q3)+1.96^2)+(1.96*(SQRT(1.96^2+4*(Q3)*(1-((Q3)/R3))))))/(2*(R3+1.96^2))),0)),IF(AND(AND(R3&gt;0,Q3&gt;0),ROUND(SUM(100*((2*(Q3)+1.96^2)-(1.96*(SQRT(1.96^2+4*(Q3)*(1-((Q3)/R3))))))/(2*(R3+1.96^2))),0)&gt;=0),CONCATENATE(ROUND(SUM(100*((2*(Q3)+1.96^2)-(1.96*(SQRT(1.96^2+4*(Q3)*(1-((Q3)/R3))))))/(2*(R3+1.96^2))),0)," - ",ROUND(SUM(100*((2*(Q3)+1.96^2)+(1.96*(SQRT(1.96^2+4*(Q3)*(1-((Q3)/R3))))))/(2*(R3+1.96^2))),0)),""))</f>
        <v>14 - 15</v>
      </c>
      <c r="I3" s="234"/>
      <c r="J3" s="235"/>
      <c r="K3" s="1147"/>
      <c r="L3" s="1148"/>
      <c r="M3" s="416">
        <f t="shared" ref="M3:R3" si="0">SUM(M4:M32)</f>
        <v>1391</v>
      </c>
      <c r="N3" s="416">
        <f t="shared" si="0"/>
        <v>10459</v>
      </c>
      <c r="O3" s="416">
        <f t="shared" si="0"/>
        <v>7571</v>
      </c>
      <c r="P3" s="416">
        <f t="shared" si="0"/>
        <v>10459</v>
      </c>
      <c r="Q3" s="416">
        <f t="shared" si="0"/>
        <v>1497</v>
      </c>
      <c r="R3" s="416">
        <f t="shared" si="0"/>
        <v>10459</v>
      </c>
      <c r="S3" s="233"/>
      <c r="T3" s="233"/>
    </row>
    <row r="4" spans="1:22">
      <c r="A4" s="227" t="s">
        <v>58</v>
      </c>
      <c r="B4" s="227" t="s">
        <v>57</v>
      </c>
      <c r="C4" s="228">
        <f t="shared" ref="C4:C32" si="1">M4/N4*100</f>
        <v>23.714285714285715</v>
      </c>
      <c r="D4" s="228" t="str">
        <f t="shared" ref="D4:D32" si="2">IF(AND(AND(N4&gt;0,M4&gt;0),ROUND(SUM(100*((2*M4+1.96^2)-(1.96*(SQRT(1.96^2+4*M4*(1-(M4/N4))))))/(2*(N4+1.96^2))),0)&lt;0),CONCATENATE(SUM(1*0)," - ",ROUND(SUM(100*((2*M4+1.96^2)+(1.96*(SQRT(1.96^2+4*M4*(1-(M4/N4))))))/(2*(N4+1.96^2))),0)),IF(AND(AND(N4&gt;0,M4&gt;0),ROUND(SUM(100*((2*M4+1.96^2)-(1.96*(SQRT(1.96^2+4*M4*(1-(M4/N4))))))/(2*(N4+1.96^2))),0)&gt;=0),CONCATENATE(ROUND(SUM(100*((2*M4+1.96^2)-(1.96*(SQRT(1.96^2+4*M4*(1-(M4/N4))))))/(2*(N4+1.96^2))),0)," - ",ROUND(SUM(100*((2*M4+1.96^2)+(1.96*(SQRT(1.96^2+4*M4*(1-(M4/N4))))))/(2*(N4+1.96^2))),0)),""))</f>
        <v>20 - 28</v>
      </c>
      <c r="E4" s="228">
        <f>O4/P4*100</f>
        <v>62.285714285714292</v>
      </c>
      <c r="F4" s="228" t="str">
        <f>IF(AND(AND(P4&gt;0,O4&gt;0),ROUND(SUM(100*((2*(O4)+1.96^2)-(1.96*(SQRT(1.96^2+4*(O4)*(1-((O4)/P4))))))/(2*(P4+1.96^2))),0)&lt;0),CONCATENATE(SUM(1*0)," - ",ROUND(SUM(100*((2*(O4)+1.96^2)+(1.96*(SQRT(1.96^2+4*(O4)*(1-((O4)/P4))))))/(2*(P4+1.96^2))),0)),IF(AND(AND(P4&gt;0,O4&gt;0),ROUND(SUM(100*((2*(O4)+1.96^2)-(1.96*(SQRT(1.96^2+4*(O4)*(1-((O4)/P4))))))/(2*(P4+1.96^2))),0)&gt;=0),CONCATENATE(ROUND(SUM(100*((2*(O4)+1.96^2)-(1.96*(SQRT(1.96^2+4*(O4)*(1-((O4)/P4))))))/(2*(P4+1.96^2))),0)," - ",ROUND(SUM(100*((2*(O4)+1.96^2)+(1.96*(SQRT(1.96^2+4*(O4)*(1-((O4)/P4))))))/(2*(P4+1.96^2))),0)),""))</f>
        <v>57 - 67</v>
      </c>
      <c r="G4" s="228">
        <f>Q4/R4*100</f>
        <v>14.000000000000002</v>
      </c>
      <c r="H4" s="228" t="str">
        <f>IF(AND(AND(R4&gt;0,Q4&gt;0),ROUND(SUM(100*((2*(Q4)+1.96^2)-(1.96*(SQRT(1.96^2+4*(Q4)*(1-((Q4)/R4))))))/(2*(R4+1.96^2))),0)&lt;0),CONCATENATE(SUM(1*0)," - ",ROUND(SUM(100*((2*(Q4)+1.96^2)+(1.96*(SQRT(1.96^2+4*(Q4)*(1-((Q4)/R4))))))/(2*(R4+1.96^2))),0)),IF(AND(AND(R4&gt;0,Q4&gt;0),ROUND(SUM(100*((2*(Q4)+1.96^2)-(1.96*(SQRT(1.96^2+4*(Q4)*(1-((Q4)/R4))))))/(2*(R4+1.96^2))),0)&gt;=0),CONCATENATE(ROUND(SUM(100*((2*(Q4)+1.96^2)-(1.96*(SQRT(1.96^2+4*(Q4)*(1-((Q4)/R4))))))/(2*(R4+1.96^2))),0)," - ",ROUND(SUM(100*((2*(Q4)+1.96^2)+(1.96*(SQRT(1.96^2+4*(Q4)*(1-((Q4)/R4))))))/(2*(R4+1.96^2))),0)),""))</f>
        <v>11 - 18</v>
      </c>
      <c r="I4" s="229"/>
      <c r="J4" s="230"/>
      <c r="K4" s="1135"/>
      <c r="L4" s="1136"/>
      <c r="M4" s="416">
        <v>83</v>
      </c>
      <c r="N4" s="416">
        <v>350</v>
      </c>
      <c r="O4" s="416">
        <v>218</v>
      </c>
      <c r="P4" s="416">
        <v>350</v>
      </c>
      <c r="Q4" s="416">
        <v>49</v>
      </c>
      <c r="R4" s="416">
        <v>350</v>
      </c>
      <c r="S4" s="225"/>
      <c r="T4" s="225"/>
      <c r="U4" s="226"/>
      <c r="V4" s="226"/>
    </row>
    <row r="5" spans="1:22">
      <c r="A5" s="227" t="s">
        <v>60</v>
      </c>
      <c r="B5" s="227" t="s">
        <v>61</v>
      </c>
      <c r="C5" s="228">
        <f t="shared" si="1"/>
        <v>30.782918149466195</v>
      </c>
      <c r="D5" s="228" t="str">
        <f t="shared" si="2"/>
        <v>27 - 35</v>
      </c>
      <c r="E5" s="228">
        <f t="shared" ref="E5:E32" si="3">O5/P5*100</f>
        <v>54.62633451957295</v>
      </c>
      <c r="F5" s="228" t="str">
        <f t="shared" ref="F5:F32" si="4">IF(AND(AND(P5&gt;0,O5&gt;0),ROUND(SUM(100*((2*(O5)+1.96^2)-(1.96*(SQRT(1.96^2+4*(O5)*(1-((O5)/P5))))))/(2*(P5+1.96^2))),0)&lt;0),CONCATENATE(SUM(1*0)," - ",ROUND(SUM(100*((2*(O5)+1.96^2)+(1.96*(SQRT(1.96^2+4*(O5)*(1-((O5)/P5))))))/(2*(P5+1.96^2))),0)),IF(AND(AND(P5&gt;0,O5&gt;0),ROUND(SUM(100*((2*(O5)+1.96^2)-(1.96*(SQRT(1.96^2+4*(O5)*(1-((O5)/P5))))))/(2*(P5+1.96^2))),0)&gt;=0),CONCATENATE(ROUND(SUM(100*((2*(O5)+1.96^2)-(1.96*(SQRT(1.96^2+4*(O5)*(1-((O5)/P5))))))/(2*(P5+1.96^2))),0)," - ",ROUND(SUM(100*((2*(O5)+1.96^2)+(1.96*(SQRT(1.96^2+4*(O5)*(1-((O5)/P5))))))/(2*(P5+1.96^2))),0)),""))</f>
        <v>50 - 59</v>
      </c>
      <c r="G5" s="228">
        <f t="shared" ref="G5:G32" si="5">Q5/R5*100</f>
        <v>14.590747330960854</v>
      </c>
      <c r="H5" s="228" t="str">
        <f t="shared" ref="H5:H32" si="6">IF(AND(AND(R5&gt;0,Q5&gt;0),ROUND(SUM(100*((2*(Q5)+1.96^2)-(1.96*(SQRT(1.96^2+4*(Q5)*(1-((Q5)/R5))))))/(2*(R5+1.96^2))),0)&lt;0),CONCATENATE(SUM(1*0)," - ",ROUND(SUM(100*((2*(Q5)+1.96^2)+(1.96*(SQRT(1.96^2+4*(Q5)*(1-((Q5)/R5))))))/(2*(R5+1.96^2))),0)),IF(AND(AND(R5&gt;0,Q5&gt;0),ROUND(SUM(100*((2*(Q5)+1.96^2)-(1.96*(SQRT(1.96^2+4*(Q5)*(1-((Q5)/R5))))))/(2*(R5+1.96^2))),0)&gt;=0),CONCATENATE(ROUND(SUM(100*((2*(Q5)+1.96^2)-(1.96*(SQRT(1.96^2+4*(Q5)*(1-((Q5)/R5))))))/(2*(R5+1.96^2))),0)," - ",ROUND(SUM(100*((2*(Q5)+1.96^2)+(1.96*(SQRT(1.96^2+4*(Q5)*(1-((Q5)/R5))))))/(2*(R5+1.96^2))),0)),""))</f>
        <v>12 - 18</v>
      </c>
      <c r="I5" s="231"/>
      <c r="J5" s="232"/>
      <c r="K5" s="1137"/>
      <c r="L5" s="1138"/>
      <c r="M5" s="416">
        <v>173</v>
      </c>
      <c r="N5" s="416">
        <v>562</v>
      </c>
      <c r="O5" s="416">
        <v>307</v>
      </c>
      <c r="P5" s="416">
        <v>562</v>
      </c>
      <c r="Q5" s="416">
        <v>82</v>
      </c>
      <c r="R5" s="416">
        <v>562</v>
      </c>
      <c r="S5" s="233"/>
      <c r="T5" s="233"/>
    </row>
    <row r="6" spans="1:22">
      <c r="A6" s="227" t="s">
        <v>28</v>
      </c>
      <c r="B6" s="227" t="s">
        <v>63</v>
      </c>
      <c r="C6" s="228">
        <f t="shared" si="1"/>
        <v>7.7868852459016393</v>
      </c>
      <c r="D6" s="228" t="str">
        <f t="shared" si="2"/>
        <v>5 - 12</v>
      </c>
      <c r="E6" s="228">
        <f t="shared" si="3"/>
        <v>78.688524590163937</v>
      </c>
      <c r="F6" s="228" t="str">
        <f t="shared" si="4"/>
        <v>73 - 83</v>
      </c>
      <c r="G6" s="228">
        <f t="shared" si="5"/>
        <v>13.524590163934427</v>
      </c>
      <c r="H6" s="228" t="str">
        <f t="shared" si="6"/>
        <v>10 - 18</v>
      </c>
      <c r="I6" s="231"/>
      <c r="J6" s="232"/>
      <c r="K6" s="1137"/>
      <c r="L6" s="1138"/>
      <c r="M6" s="416">
        <v>19</v>
      </c>
      <c r="N6" s="416">
        <v>244</v>
      </c>
      <c r="O6" s="416">
        <v>192</v>
      </c>
      <c r="P6" s="416">
        <v>244</v>
      </c>
      <c r="Q6" s="416">
        <v>33</v>
      </c>
      <c r="R6" s="416">
        <v>244</v>
      </c>
      <c r="S6" s="233"/>
      <c r="T6" s="233"/>
    </row>
    <row r="7" spans="1:22">
      <c r="A7" s="227" t="s">
        <v>65</v>
      </c>
      <c r="B7" s="227" t="s">
        <v>66</v>
      </c>
      <c r="C7" s="228">
        <f t="shared" si="1"/>
        <v>9.2936802973977688</v>
      </c>
      <c r="D7" s="228" t="str">
        <f t="shared" si="2"/>
        <v>6 - 13</v>
      </c>
      <c r="E7" s="228">
        <f t="shared" si="3"/>
        <v>72.118959107806688</v>
      </c>
      <c r="F7" s="228" t="str">
        <f t="shared" si="4"/>
        <v>66 - 77</v>
      </c>
      <c r="G7" s="228">
        <f t="shared" si="5"/>
        <v>18.587360594795538</v>
      </c>
      <c r="H7" s="228" t="str">
        <f t="shared" si="6"/>
        <v>14 - 24</v>
      </c>
      <c r="I7" s="231"/>
      <c r="J7" s="232"/>
      <c r="K7" s="1137"/>
      <c r="L7" s="1138"/>
      <c r="M7" s="416">
        <v>25</v>
      </c>
      <c r="N7" s="416">
        <v>269</v>
      </c>
      <c r="O7" s="416">
        <v>194</v>
      </c>
      <c r="P7" s="416">
        <v>269</v>
      </c>
      <c r="Q7" s="416">
        <v>50</v>
      </c>
      <c r="R7" s="416">
        <v>269</v>
      </c>
      <c r="S7" s="233"/>
      <c r="T7" s="233"/>
    </row>
    <row r="8" spans="1:22">
      <c r="A8" s="227" t="s">
        <v>68</v>
      </c>
      <c r="B8" s="227" t="s">
        <v>69</v>
      </c>
      <c r="C8" s="228">
        <f t="shared" si="1"/>
        <v>11.111111111111111</v>
      </c>
      <c r="D8" s="228" t="str">
        <f t="shared" si="2"/>
        <v>5 - 23</v>
      </c>
      <c r="E8" s="228">
        <f t="shared" si="3"/>
        <v>75.555555555555557</v>
      </c>
      <c r="F8" s="228" t="str">
        <f t="shared" si="4"/>
        <v>61 - 86</v>
      </c>
      <c r="G8" s="228">
        <f t="shared" si="5"/>
        <v>13.333333333333334</v>
      </c>
      <c r="H8" s="228" t="str">
        <f t="shared" si="6"/>
        <v>6 - 26</v>
      </c>
      <c r="I8" s="231"/>
      <c r="J8" s="232"/>
      <c r="K8" s="1137"/>
      <c r="L8" s="1138"/>
      <c r="M8" s="416">
        <v>5</v>
      </c>
      <c r="N8" s="416">
        <v>45</v>
      </c>
      <c r="O8" s="416">
        <v>34</v>
      </c>
      <c r="P8" s="416">
        <v>45</v>
      </c>
      <c r="Q8" s="416">
        <v>6</v>
      </c>
      <c r="R8" s="416">
        <v>45</v>
      </c>
      <c r="S8" s="233"/>
      <c r="T8" s="233"/>
    </row>
    <row r="9" spans="1:22">
      <c r="A9" s="227" t="s">
        <v>174</v>
      </c>
      <c r="B9" s="227" t="s">
        <v>71</v>
      </c>
      <c r="C9" s="228">
        <f t="shared" si="1"/>
        <v>9.8150782361308675</v>
      </c>
      <c r="D9" s="228" t="str">
        <f t="shared" si="2"/>
        <v>8 - 12</v>
      </c>
      <c r="E9" s="228">
        <f t="shared" si="3"/>
        <v>83.214793741109531</v>
      </c>
      <c r="F9" s="228" t="str">
        <f t="shared" si="4"/>
        <v>80 - 86</v>
      </c>
      <c r="G9" s="228">
        <f t="shared" si="5"/>
        <v>6.9701280227596012</v>
      </c>
      <c r="H9" s="228" t="str">
        <f t="shared" si="6"/>
        <v>5 - 9</v>
      </c>
      <c r="I9" s="231"/>
      <c r="J9" s="232"/>
      <c r="K9" s="1137"/>
      <c r="L9" s="1138"/>
      <c r="M9" s="416">
        <v>69</v>
      </c>
      <c r="N9" s="416">
        <v>703</v>
      </c>
      <c r="O9" s="416">
        <v>585</v>
      </c>
      <c r="P9" s="416">
        <v>703</v>
      </c>
      <c r="Q9" s="416">
        <v>49</v>
      </c>
      <c r="R9" s="416">
        <v>703</v>
      </c>
      <c r="S9" s="233"/>
      <c r="T9" s="233"/>
    </row>
    <row r="10" spans="1:22">
      <c r="A10" s="227" t="s">
        <v>183</v>
      </c>
      <c r="B10" s="227" t="s">
        <v>73</v>
      </c>
      <c r="C10" s="228">
        <f t="shared" si="1"/>
        <v>13.65079365079365</v>
      </c>
      <c r="D10" s="228" t="str">
        <f t="shared" si="2"/>
        <v>11 - 17</v>
      </c>
      <c r="E10" s="228">
        <f t="shared" si="3"/>
        <v>69.365079365079367</v>
      </c>
      <c r="F10" s="228" t="str">
        <f t="shared" si="4"/>
        <v>66 - 73</v>
      </c>
      <c r="G10" s="228">
        <f t="shared" si="5"/>
        <v>16.984126984126984</v>
      </c>
      <c r="H10" s="228" t="str">
        <f t="shared" si="6"/>
        <v>14 - 20</v>
      </c>
      <c r="I10" s="231"/>
      <c r="J10" s="232"/>
      <c r="K10" s="1137"/>
      <c r="L10" s="1138"/>
      <c r="M10" s="416">
        <v>86</v>
      </c>
      <c r="N10" s="416">
        <v>630</v>
      </c>
      <c r="O10" s="416">
        <v>437</v>
      </c>
      <c r="P10" s="416">
        <v>630</v>
      </c>
      <c r="Q10" s="416">
        <v>107</v>
      </c>
      <c r="R10" s="416">
        <v>630</v>
      </c>
      <c r="S10" s="233"/>
      <c r="T10" s="233"/>
    </row>
    <row r="11" spans="1:22">
      <c r="A11" s="227" t="s">
        <v>175</v>
      </c>
      <c r="B11" s="227" t="s">
        <v>75</v>
      </c>
      <c r="C11" s="228">
        <f t="shared" si="1"/>
        <v>11.320754716981133</v>
      </c>
      <c r="D11" s="228" t="str">
        <f t="shared" si="2"/>
        <v>9 - 14</v>
      </c>
      <c r="E11" s="228">
        <f t="shared" si="3"/>
        <v>70.062893081761004</v>
      </c>
      <c r="F11" s="228" t="str">
        <f t="shared" si="4"/>
        <v>67 - 73</v>
      </c>
      <c r="G11" s="228">
        <f t="shared" si="5"/>
        <v>18.616352201257861</v>
      </c>
      <c r="H11" s="228" t="str">
        <f t="shared" si="6"/>
        <v>16 - 21</v>
      </c>
      <c r="I11" s="231"/>
      <c r="J11" s="232"/>
      <c r="K11" s="1137"/>
      <c r="L11" s="1138"/>
      <c r="M11" s="416">
        <v>90</v>
      </c>
      <c r="N11" s="416">
        <v>795</v>
      </c>
      <c r="O11" s="416">
        <v>557</v>
      </c>
      <c r="P11" s="416">
        <v>795</v>
      </c>
      <c r="Q11" s="416">
        <v>148</v>
      </c>
      <c r="R11" s="416">
        <v>795</v>
      </c>
      <c r="S11" s="233"/>
      <c r="T11" s="233"/>
    </row>
    <row r="12" spans="1:22">
      <c r="A12" s="227" t="s">
        <v>77</v>
      </c>
      <c r="B12" s="227" t="s">
        <v>78</v>
      </c>
      <c r="C12" s="228">
        <f t="shared" si="1"/>
        <v>0</v>
      </c>
      <c r="D12" s="228" t="str">
        <f t="shared" si="2"/>
        <v/>
      </c>
      <c r="E12" s="228">
        <f t="shared" si="3"/>
        <v>85.496183206106863</v>
      </c>
      <c r="F12" s="228" t="str">
        <f t="shared" si="4"/>
        <v>78 - 91</v>
      </c>
      <c r="G12" s="228">
        <f t="shared" si="5"/>
        <v>14.503816793893129</v>
      </c>
      <c r="H12" s="228" t="str">
        <f t="shared" si="6"/>
        <v>9 - 22</v>
      </c>
      <c r="I12" s="231"/>
      <c r="J12" s="232"/>
      <c r="K12" s="1137"/>
      <c r="L12" s="1138"/>
      <c r="M12" s="416">
        <v>0</v>
      </c>
      <c r="N12" s="416">
        <v>131</v>
      </c>
      <c r="O12" s="416">
        <v>112</v>
      </c>
      <c r="P12" s="416">
        <v>131</v>
      </c>
      <c r="Q12" s="416">
        <v>19</v>
      </c>
      <c r="R12" s="416">
        <v>131</v>
      </c>
      <c r="S12" s="233"/>
      <c r="T12" s="233"/>
    </row>
    <row r="13" spans="1:22">
      <c r="A13" s="227" t="s">
        <v>184</v>
      </c>
      <c r="B13" s="227" t="s">
        <v>80</v>
      </c>
      <c r="C13" s="228">
        <f t="shared" si="1"/>
        <v>18.209876543209877</v>
      </c>
      <c r="D13" s="228" t="str">
        <f t="shared" si="2"/>
        <v>15 - 21</v>
      </c>
      <c r="E13" s="228">
        <f t="shared" si="3"/>
        <v>71.759259259259252</v>
      </c>
      <c r="F13" s="228" t="str">
        <f t="shared" si="4"/>
        <v>68 - 75</v>
      </c>
      <c r="G13" s="228">
        <f t="shared" si="5"/>
        <v>10.030864197530864</v>
      </c>
      <c r="H13" s="228" t="str">
        <f t="shared" si="6"/>
        <v>8 - 13</v>
      </c>
      <c r="I13" s="231"/>
      <c r="J13" s="232"/>
      <c r="K13" s="1137"/>
      <c r="L13" s="1138"/>
      <c r="M13" s="416">
        <v>118</v>
      </c>
      <c r="N13" s="416">
        <v>648</v>
      </c>
      <c r="O13" s="416">
        <v>465</v>
      </c>
      <c r="P13" s="416">
        <v>648</v>
      </c>
      <c r="Q13" s="416">
        <v>65</v>
      </c>
      <c r="R13" s="416">
        <v>648</v>
      </c>
      <c r="S13" s="233"/>
      <c r="T13" s="233"/>
    </row>
    <row r="14" spans="1:22">
      <c r="A14" s="227" t="s">
        <v>82</v>
      </c>
      <c r="B14" s="227" t="s">
        <v>83</v>
      </c>
      <c r="C14" s="228">
        <f t="shared" si="1"/>
        <v>15.936254980079681</v>
      </c>
      <c r="D14" s="228" t="str">
        <f t="shared" si="2"/>
        <v>12 - 21</v>
      </c>
      <c r="E14" s="228">
        <f t="shared" si="3"/>
        <v>71.713147410358573</v>
      </c>
      <c r="F14" s="228" t="str">
        <f t="shared" si="4"/>
        <v>66 - 77</v>
      </c>
      <c r="G14" s="228">
        <f t="shared" si="5"/>
        <v>12.350597609561753</v>
      </c>
      <c r="H14" s="228" t="str">
        <f t="shared" si="6"/>
        <v>9 - 17</v>
      </c>
      <c r="I14" s="231"/>
      <c r="J14" s="232"/>
      <c r="K14" s="1137"/>
      <c r="L14" s="1138"/>
      <c r="M14" s="416">
        <v>40</v>
      </c>
      <c r="N14" s="416">
        <v>251</v>
      </c>
      <c r="O14" s="416">
        <v>180</v>
      </c>
      <c r="P14" s="416">
        <v>251</v>
      </c>
      <c r="Q14" s="416">
        <v>31</v>
      </c>
      <c r="R14" s="416">
        <v>251</v>
      </c>
      <c r="S14" s="233"/>
      <c r="T14" s="233"/>
    </row>
    <row r="15" spans="1:22">
      <c r="A15" s="227" t="s">
        <v>459</v>
      </c>
      <c r="B15" s="227" t="s">
        <v>460</v>
      </c>
      <c r="C15" s="228">
        <f t="shared" si="1"/>
        <v>18.005738880918219</v>
      </c>
      <c r="D15" s="228" t="str">
        <f t="shared" si="2"/>
        <v>16 - 20</v>
      </c>
      <c r="E15" s="228">
        <f t="shared" si="3"/>
        <v>73.744619799139173</v>
      </c>
      <c r="F15" s="228" t="str">
        <f t="shared" si="4"/>
        <v>71 - 76</v>
      </c>
      <c r="G15" s="228">
        <f t="shared" si="5"/>
        <v>8.2496413199426097</v>
      </c>
      <c r="H15" s="228" t="str">
        <f t="shared" si="6"/>
        <v>7 - 10</v>
      </c>
      <c r="I15" s="231"/>
      <c r="J15" s="232"/>
      <c r="K15" s="1137"/>
      <c r="L15" s="1138"/>
      <c r="M15" s="416">
        <v>251</v>
      </c>
      <c r="N15" s="416">
        <v>1394</v>
      </c>
      <c r="O15" s="416">
        <v>1028</v>
      </c>
      <c r="P15" s="416">
        <v>1394</v>
      </c>
      <c r="Q15" s="416">
        <v>115</v>
      </c>
      <c r="R15" s="416">
        <v>1394</v>
      </c>
      <c r="S15" s="233"/>
      <c r="T15" s="233"/>
    </row>
    <row r="16" spans="1:22">
      <c r="A16" s="227" t="s">
        <v>185</v>
      </c>
      <c r="B16" s="227" t="s">
        <v>85</v>
      </c>
      <c r="C16" s="228">
        <f t="shared" si="1"/>
        <v>16.467780429594274</v>
      </c>
      <c r="D16" s="228" t="str">
        <f t="shared" si="2"/>
        <v>13 - 20</v>
      </c>
      <c r="E16" s="228">
        <f t="shared" si="3"/>
        <v>71.360381861575178</v>
      </c>
      <c r="F16" s="228" t="str">
        <f t="shared" si="4"/>
        <v>67 - 75</v>
      </c>
      <c r="G16" s="228">
        <f t="shared" si="5"/>
        <v>12.17183770883055</v>
      </c>
      <c r="H16" s="228" t="str">
        <f t="shared" si="6"/>
        <v>9 - 16</v>
      </c>
      <c r="I16" s="231"/>
      <c r="J16" s="232"/>
      <c r="K16" s="1137"/>
      <c r="L16" s="1138"/>
      <c r="M16" s="416">
        <v>69</v>
      </c>
      <c r="N16" s="416">
        <v>419</v>
      </c>
      <c r="O16" s="416">
        <v>299</v>
      </c>
      <c r="P16" s="416">
        <v>419</v>
      </c>
      <c r="Q16" s="416">
        <v>51</v>
      </c>
      <c r="R16" s="416">
        <v>419</v>
      </c>
      <c r="S16" s="233"/>
      <c r="T16" s="233"/>
    </row>
    <row r="17" spans="1:20">
      <c r="A17" s="227" t="s">
        <v>89</v>
      </c>
      <c r="B17" s="227" t="s">
        <v>90</v>
      </c>
      <c r="C17" s="228">
        <f t="shared" si="1"/>
        <v>15.151515151515152</v>
      </c>
      <c r="D17" s="228" t="str">
        <f t="shared" si="2"/>
        <v>7 - 31</v>
      </c>
      <c r="E17" s="228">
        <f t="shared" si="3"/>
        <v>81.818181818181827</v>
      </c>
      <c r="F17" s="228" t="str">
        <f t="shared" si="4"/>
        <v>66 - 91</v>
      </c>
      <c r="G17" s="228">
        <f t="shared" si="5"/>
        <v>3.0303030303030303</v>
      </c>
      <c r="H17" s="228" t="str">
        <f t="shared" si="6"/>
        <v>1 - 15</v>
      </c>
      <c r="I17" s="231"/>
      <c r="J17" s="232"/>
      <c r="K17" s="1137"/>
      <c r="L17" s="1138"/>
      <c r="M17" s="416">
        <v>5</v>
      </c>
      <c r="N17" s="416">
        <v>33</v>
      </c>
      <c r="O17" s="416">
        <v>27</v>
      </c>
      <c r="P17" s="416">
        <v>33</v>
      </c>
      <c r="Q17" s="416">
        <v>1</v>
      </c>
      <c r="R17" s="416">
        <v>33</v>
      </c>
      <c r="S17" s="233"/>
      <c r="T17" s="233"/>
    </row>
    <row r="18" spans="1:20">
      <c r="A18" s="227" t="s">
        <v>92</v>
      </c>
      <c r="B18" s="227" t="s">
        <v>93</v>
      </c>
      <c r="C18" s="228">
        <f t="shared" si="1"/>
        <v>17.241379310344829</v>
      </c>
      <c r="D18" s="228" t="str">
        <f t="shared" si="2"/>
        <v>11 - 27</v>
      </c>
      <c r="E18" s="228">
        <f t="shared" si="3"/>
        <v>75.862068965517238</v>
      </c>
      <c r="F18" s="228" t="str">
        <f t="shared" si="4"/>
        <v>66 - 84</v>
      </c>
      <c r="G18" s="228">
        <f t="shared" si="5"/>
        <v>6.8965517241379306</v>
      </c>
      <c r="H18" s="228" t="str">
        <f t="shared" si="6"/>
        <v>3 - 14</v>
      </c>
      <c r="I18" s="231"/>
      <c r="J18" s="232"/>
      <c r="K18" s="1137"/>
      <c r="L18" s="1138"/>
      <c r="M18" s="416">
        <v>15</v>
      </c>
      <c r="N18" s="416">
        <v>87</v>
      </c>
      <c r="O18" s="416">
        <v>66</v>
      </c>
      <c r="P18" s="416">
        <v>87</v>
      </c>
      <c r="Q18" s="416">
        <v>6</v>
      </c>
      <c r="R18" s="416">
        <v>87</v>
      </c>
      <c r="S18" s="233"/>
      <c r="T18" s="233"/>
    </row>
    <row r="19" spans="1:20">
      <c r="A19" s="227" t="s">
        <v>95</v>
      </c>
      <c r="B19" s="227" t="s">
        <v>96</v>
      </c>
      <c r="C19" s="228">
        <f t="shared" si="1"/>
        <v>9.8039215686274517</v>
      </c>
      <c r="D19" s="228" t="str">
        <f t="shared" si="2"/>
        <v>4 - 21</v>
      </c>
      <c r="E19" s="228">
        <f t="shared" si="3"/>
        <v>82.35294117647058</v>
      </c>
      <c r="F19" s="228" t="str">
        <f t="shared" si="4"/>
        <v>70 - 90</v>
      </c>
      <c r="G19" s="228">
        <f t="shared" si="5"/>
        <v>7.8431372549019605</v>
      </c>
      <c r="H19" s="228" t="str">
        <f t="shared" si="6"/>
        <v>3 - 19</v>
      </c>
      <c r="I19" s="231"/>
      <c r="J19" s="232"/>
      <c r="K19" s="1137"/>
      <c r="L19" s="1138"/>
      <c r="M19" s="416">
        <v>5</v>
      </c>
      <c r="N19" s="416">
        <v>51</v>
      </c>
      <c r="O19" s="416">
        <v>42</v>
      </c>
      <c r="P19" s="416">
        <v>51</v>
      </c>
      <c r="Q19" s="416">
        <v>4</v>
      </c>
      <c r="R19" s="416">
        <v>51</v>
      </c>
      <c r="S19" s="233"/>
      <c r="T19" s="233"/>
    </row>
    <row r="20" spans="1:20">
      <c r="A20" s="227" t="s">
        <v>98</v>
      </c>
      <c r="B20" s="227" t="s">
        <v>99</v>
      </c>
      <c r="C20" s="228">
        <f t="shared" si="1"/>
        <v>12.128712871287128</v>
      </c>
      <c r="D20" s="228" t="str">
        <f t="shared" si="2"/>
        <v>9 - 16</v>
      </c>
      <c r="E20" s="228">
        <f t="shared" si="3"/>
        <v>83.910891089108901</v>
      </c>
      <c r="F20" s="228" t="str">
        <f t="shared" si="4"/>
        <v>80 - 87</v>
      </c>
      <c r="G20" s="228">
        <f t="shared" si="5"/>
        <v>3.9603960396039604</v>
      </c>
      <c r="H20" s="228" t="str">
        <f t="shared" si="6"/>
        <v>2 - 6</v>
      </c>
      <c r="I20" s="231"/>
      <c r="J20" s="232"/>
      <c r="K20" s="1137"/>
      <c r="L20" s="1138"/>
      <c r="M20" s="416">
        <v>49</v>
      </c>
      <c r="N20" s="416">
        <v>404</v>
      </c>
      <c r="O20" s="416">
        <v>339</v>
      </c>
      <c r="P20" s="416">
        <v>404</v>
      </c>
      <c r="Q20" s="416">
        <v>16</v>
      </c>
      <c r="R20" s="416">
        <v>404</v>
      </c>
      <c r="S20" s="233"/>
      <c r="T20" s="233"/>
    </row>
    <row r="21" spans="1:20">
      <c r="A21" s="227" t="s">
        <v>101</v>
      </c>
      <c r="B21" s="227" t="s">
        <v>102</v>
      </c>
      <c r="C21" s="228">
        <f>M21/N21*100</f>
        <v>3.215434083601286</v>
      </c>
      <c r="D21" s="228" t="str">
        <f>IF(AND(AND(N21&gt;0,M21&gt;0),ROUND(SUM(100*((2*M21+1.96^2)-(1.96*(SQRT(1.96^2+4*M21*(1-(M21/N21))))))/(2*(N21+1.96^2))),0)&lt;0),CONCATENATE(SUM(1*0)," - ",ROUND(SUM(100*((2*M21+1.96^2)+(1.96*(SQRT(1.96^2+4*M21*(1-(M21/N21))))))/(2*(N21+1.96^2))),0)),IF(AND(AND(N21&gt;0,M21&gt;0),ROUND(SUM(100*((2*M21+1.96^2)-(1.96*(SQRT(1.96^2+4*M21*(1-(M21/N21))))))/(2*(N21+1.96^2))),0)&gt;=0),CONCATENATE(ROUND(SUM(100*((2*M21+1.96^2)-(1.96*(SQRT(1.96^2+4*M21*(1-(M21/N21))))))/(2*(N21+1.96^2))),0)," - ",ROUND(SUM(100*((2*M21+1.96^2)+(1.96*(SQRT(1.96^2+4*M21*(1-(M21/N21))))))/(2*(N21+1.96^2))),0)),""))</f>
        <v>2 - 6</v>
      </c>
      <c r="E21" s="228">
        <f>O21/P21*100</f>
        <v>68.488745980707392</v>
      </c>
      <c r="F21" s="228" t="str">
        <f>IF(AND(AND(P21&gt;0,O21&gt;0),ROUND(SUM(100*((2*(O21)+1.96^2)-(1.96*(SQRT(1.96^2+4*(O21)*(1-((O21)/P21))))))/(2*(P21+1.96^2))),0)&lt;0),CONCATENATE(SUM(1*0)," - ",ROUND(SUM(100*((2*(O21)+1.96^2)+(1.96*(SQRT(1.96^2+4*(O21)*(1-((O21)/P21))))))/(2*(P21+1.96^2))),0)),IF(AND(AND(P21&gt;0,O21&gt;0),ROUND(SUM(100*((2*(O21)+1.96^2)-(1.96*(SQRT(1.96^2+4*(O21)*(1-((O21)/P21))))))/(2*(P21+1.96^2))),0)&gt;=0),CONCATENATE(ROUND(SUM(100*((2*(O21)+1.96^2)-(1.96*(SQRT(1.96^2+4*(O21)*(1-((O21)/P21))))))/(2*(P21+1.96^2))),0)," - ",ROUND(SUM(100*((2*(O21)+1.96^2)+(1.96*(SQRT(1.96^2+4*(O21)*(1-((O21)/P21))))))/(2*(P21+1.96^2))),0)),""))</f>
        <v>63 - 73</v>
      </c>
      <c r="G21" s="228">
        <f>Q21/R21*100</f>
        <v>28.29581993569132</v>
      </c>
      <c r="H21" s="228" t="str">
        <f>IF(AND(AND(R21&gt;0,Q21&gt;0),ROUND(SUM(100*((2*(Q21)+1.96^2)-(1.96*(SQRT(1.96^2+4*(Q21)*(1-((Q21)/R21))))))/(2*(R21+1.96^2))),0)&lt;0),CONCATENATE(SUM(1*0)," - ",ROUND(SUM(100*((2*(Q21)+1.96^2)+(1.96*(SQRT(1.96^2+4*(Q21)*(1-((Q21)/R21))))))/(2*(R21+1.96^2))),0)),IF(AND(AND(R21&gt;0,Q21&gt;0),ROUND(SUM(100*((2*(Q21)+1.96^2)-(1.96*(SQRT(1.96^2+4*(Q21)*(1-((Q21)/R21))))))/(2*(R21+1.96^2))),0)&gt;=0),CONCATENATE(ROUND(SUM(100*((2*(Q21)+1.96^2)-(1.96*(SQRT(1.96^2+4*(Q21)*(1-((Q21)/R21))))))/(2*(R21+1.96^2))),0)," - ",ROUND(SUM(100*((2*(Q21)+1.96^2)+(1.96*(SQRT(1.96^2+4*(Q21)*(1-((Q21)/R21))))))/(2*(R21+1.96^2))),0)),""))</f>
        <v>24 - 34</v>
      </c>
      <c r="I21" s="231"/>
      <c r="J21" s="232"/>
      <c r="K21" s="1137"/>
      <c r="L21" s="1138"/>
      <c r="M21" s="416">
        <v>10</v>
      </c>
      <c r="N21" s="416">
        <v>311</v>
      </c>
      <c r="O21" s="416">
        <v>213</v>
      </c>
      <c r="P21" s="416">
        <v>311</v>
      </c>
      <c r="Q21" s="416">
        <v>88</v>
      </c>
      <c r="R21" s="416">
        <v>311</v>
      </c>
      <c r="S21" s="233"/>
      <c r="T21" s="233"/>
    </row>
    <row r="22" spans="1:20">
      <c r="A22" s="227" t="s">
        <v>104</v>
      </c>
      <c r="B22" s="227" t="s">
        <v>105</v>
      </c>
      <c r="C22" s="228">
        <f>M22/N22*100</f>
        <v>2.4096385542168677</v>
      </c>
      <c r="D22" s="228" t="str">
        <f>IF(AND(AND(N22&gt;0,M22&gt;0),ROUND(SUM(100*((2*M22+1.96^2)-(1.96*(SQRT(1.96^2+4*M22*(1-(M22/N22))))))/(2*(N22+1.96^2))),0)&lt;0),CONCATENATE(SUM(1*0)," - ",ROUND(SUM(100*((2*M22+1.96^2)+(1.96*(SQRT(1.96^2+4*M22*(1-(M22/N22))))))/(2*(N22+1.96^2))),0)),IF(AND(AND(N22&gt;0,M22&gt;0),ROUND(SUM(100*((2*M22+1.96^2)-(1.96*(SQRT(1.96^2+4*M22*(1-(M22/N22))))))/(2*(N22+1.96^2))),0)&gt;=0),CONCATENATE(ROUND(SUM(100*((2*M22+1.96^2)-(1.96*(SQRT(1.96^2+4*M22*(1-(M22/N22))))))/(2*(N22+1.96^2))),0)," - ",ROUND(SUM(100*((2*M22+1.96^2)+(1.96*(SQRT(1.96^2+4*M22*(1-(M22/N22))))))/(2*(N22+1.96^2))),0)),""))</f>
        <v>1 - 5</v>
      </c>
      <c r="E22" s="228">
        <f>O22/P22*100</f>
        <v>75</v>
      </c>
      <c r="F22" s="228" t="str">
        <f>IF(AND(AND(P22&gt;0,O22&gt;0),ROUND(SUM(100*((2*(O22)+1.96^2)-(1.96*(SQRT(1.96^2+4*(O22)*(1-((O22)/P22))))))/(2*(P22+1.96^2))),0)&lt;0),CONCATENATE(SUM(1*0)," - ",ROUND(SUM(100*((2*(O22)+1.96^2)+(1.96*(SQRT(1.96^2+4*(O22)*(1-((O22)/P22))))))/(2*(P22+1.96^2))),0)),IF(AND(AND(P22&gt;0,O22&gt;0),ROUND(SUM(100*((2*(O22)+1.96^2)-(1.96*(SQRT(1.96^2+4*(O22)*(1-((O22)/P22))))))/(2*(P22+1.96^2))),0)&gt;=0),CONCATENATE(ROUND(SUM(100*((2*(O22)+1.96^2)-(1.96*(SQRT(1.96^2+4*(O22)*(1-((O22)/P22))))))/(2*(P22+1.96^2))),0)," - ",ROUND(SUM(100*((2*(O22)+1.96^2)+(1.96*(SQRT(1.96^2+4*(O22)*(1-((O22)/P22))))))/(2*(P22+1.96^2))),0)),""))</f>
        <v>70 - 79</v>
      </c>
      <c r="G22" s="228">
        <f>Q22/R22*100</f>
        <v>22.590361445783135</v>
      </c>
      <c r="H22" s="228" t="str">
        <f>IF(AND(AND(R22&gt;0,Q22&gt;0),ROUND(SUM(100*((2*(Q22)+1.96^2)-(1.96*(SQRT(1.96^2+4*(Q22)*(1-((Q22)/R22))))))/(2*(R22+1.96^2))),0)&lt;0),CONCATENATE(SUM(1*0)," - ",ROUND(SUM(100*((2*(Q22)+1.96^2)+(1.96*(SQRT(1.96^2+4*(Q22)*(1-((Q22)/R22))))))/(2*(R22+1.96^2))),0)),IF(AND(AND(R22&gt;0,Q22&gt;0),ROUND(SUM(100*((2*(Q22)+1.96^2)-(1.96*(SQRT(1.96^2+4*(Q22)*(1-((Q22)/R22))))))/(2*(R22+1.96^2))),0)&gt;=0),CONCATENATE(ROUND(SUM(100*((2*(Q22)+1.96^2)-(1.96*(SQRT(1.96^2+4*(Q22)*(1-((Q22)/R22))))))/(2*(R22+1.96^2))),0)," - ",ROUND(SUM(100*((2*(Q22)+1.96^2)+(1.96*(SQRT(1.96^2+4*(Q22)*(1-((Q22)/R22))))))/(2*(R22+1.96^2))),0)),""))</f>
        <v>18 - 27</v>
      </c>
      <c r="I22" s="231"/>
      <c r="J22" s="232"/>
      <c r="K22" s="1137"/>
      <c r="L22" s="1138"/>
      <c r="M22" s="416">
        <v>8</v>
      </c>
      <c r="N22" s="416">
        <v>332</v>
      </c>
      <c r="O22" s="416">
        <v>249</v>
      </c>
      <c r="P22" s="416">
        <v>332</v>
      </c>
      <c r="Q22" s="416">
        <v>75</v>
      </c>
      <c r="R22" s="416">
        <v>332</v>
      </c>
      <c r="S22" s="233"/>
      <c r="T22" s="233"/>
    </row>
    <row r="23" spans="1:20">
      <c r="A23" s="227" t="s">
        <v>107</v>
      </c>
      <c r="B23" s="227" t="s">
        <v>106</v>
      </c>
      <c r="C23" s="228">
        <f>M23/N23*100</f>
        <v>5.444126074498568</v>
      </c>
      <c r="D23" s="228" t="str">
        <f>IF(AND(AND(N23&gt;0,M23&gt;0),ROUND(SUM(100*((2*M23+1.96^2)-(1.96*(SQRT(1.96^2+4*M23*(1-(M23/N23))))))/(2*(N23+1.96^2))),0)&lt;0),CONCATENATE(SUM(1*0)," - ",ROUND(SUM(100*((2*M23+1.96^2)+(1.96*(SQRT(1.96^2+4*M23*(1-(M23/N23))))))/(2*(N23+1.96^2))),0)),IF(AND(AND(N23&gt;0,M23&gt;0),ROUND(SUM(100*((2*M23+1.96^2)-(1.96*(SQRT(1.96^2+4*M23*(1-(M23/N23))))))/(2*(N23+1.96^2))),0)&gt;=0),CONCATENATE(ROUND(SUM(100*((2*M23+1.96^2)-(1.96*(SQRT(1.96^2+4*M23*(1-(M23/N23))))))/(2*(N23+1.96^2))),0)," - ",ROUND(SUM(100*((2*M23+1.96^2)+(1.96*(SQRT(1.96^2+4*M23*(1-(M23/N23))))))/(2*(N23+1.96^2))),0)),""))</f>
        <v>4 - 8</v>
      </c>
      <c r="E23" s="228">
        <f>O23/P23*100</f>
        <v>78.796561604584525</v>
      </c>
      <c r="F23" s="228" t="str">
        <f>IF(AND(AND(P23&gt;0,O23&gt;0),ROUND(SUM(100*((2*(O23)+1.96^2)-(1.96*(SQRT(1.96^2+4*(O23)*(1-((O23)/P23))))))/(2*(P23+1.96^2))),0)&lt;0),CONCATENATE(SUM(1*0)," - ",ROUND(SUM(100*((2*(O23)+1.96^2)+(1.96*(SQRT(1.96^2+4*(O23)*(1-((O23)/P23))))))/(2*(P23+1.96^2))),0)),IF(AND(AND(P23&gt;0,O23&gt;0),ROUND(SUM(100*((2*(O23)+1.96^2)-(1.96*(SQRT(1.96^2+4*(O23)*(1-((O23)/P23))))))/(2*(P23+1.96^2))),0)&gt;=0),CONCATENATE(ROUND(SUM(100*((2*(O23)+1.96^2)-(1.96*(SQRT(1.96^2+4*(O23)*(1-((O23)/P23))))))/(2*(P23+1.96^2))),0)," - ",ROUND(SUM(100*((2*(O23)+1.96^2)+(1.96*(SQRT(1.96^2+4*(O23)*(1-((O23)/P23))))))/(2*(P23+1.96^2))),0)),""))</f>
        <v>74 - 83</v>
      </c>
      <c r="G23" s="228">
        <f>Q23/R23*100</f>
        <v>15.759312320916905</v>
      </c>
      <c r="H23" s="228" t="str">
        <f>IF(AND(AND(R23&gt;0,Q23&gt;0),ROUND(SUM(100*((2*(Q23)+1.96^2)-(1.96*(SQRT(1.96^2+4*(Q23)*(1-((Q23)/R23))))))/(2*(R23+1.96^2))),0)&lt;0),CONCATENATE(SUM(1*0)," - ",ROUND(SUM(100*((2*(Q23)+1.96^2)+(1.96*(SQRT(1.96^2+4*(Q23)*(1-((Q23)/R23))))))/(2*(R23+1.96^2))),0)),IF(AND(AND(R23&gt;0,Q23&gt;0),ROUND(SUM(100*((2*(Q23)+1.96^2)-(1.96*(SQRT(1.96^2+4*(Q23)*(1-((Q23)/R23))))))/(2*(R23+1.96^2))),0)&gt;=0),CONCATENATE(ROUND(SUM(100*((2*(Q23)+1.96^2)-(1.96*(SQRT(1.96^2+4*(Q23)*(1-((Q23)/R23))))))/(2*(R23+1.96^2))),0)," - ",ROUND(SUM(100*((2*(Q23)+1.96^2)+(1.96*(SQRT(1.96^2+4*(Q23)*(1-((Q23)/R23))))))/(2*(R23+1.96^2))),0)),""))</f>
        <v>12 - 20</v>
      </c>
      <c r="I23" s="231"/>
      <c r="J23" s="232"/>
      <c r="K23" s="1137"/>
      <c r="L23" s="1138"/>
      <c r="M23" s="416">
        <v>19</v>
      </c>
      <c r="N23" s="416">
        <v>349</v>
      </c>
      <c r="O23" s="416">
        <v>275</v>
      </c>
      <c r="P23" s="416">
        <v>349</v>
      </c>
      <c r="Q23" s="416">
        <v>55</v>
      </c>
      <c r="R23" s="416">
        <v>349</v>
      </c>
      <c r="S23" s="233"/>
      <c r="T23" s="233"/>
    </row>
    <row r="24" spans="1:20">
      <c r="A24" s="227" t="s">
        <v>109</v>
      </c>
      <c r="B24" s="227" t="s">
        <v>110</v>
      </c>
      <c r="C24" s="228">
        <f>M24/N24*100</f>
        <v>12.314814814814815</v>
      </c>
      <c r="D24" s="228" t="str">
        <f>IF(AND(AND(N24&gt;0,M24&gt;0),ROUND(SUM(100*((2*M24+1.96^2)-(1.96*(SQRT(1.96^2+4*M24*(1-(M24/N24))))))/(2*(N24+1.96^2))),0)&lt;0),CONCATENATE(SUM(1*0)," - ",ROUND(SUM(100*((2*M24+1.96^2)+(1.96*(SQRT(1.96^2+4*M24*(1-(M24/N24))))))/(2*(N24+1.96^2))),0)),IF(AND(AND(N24&gt;0,M24&gt;0),ROUND(SUM(100*((2*M24+1.96^2)-(1.96*(SQRT(1.96^2+4*M24*(1-(M24/N24))))))/(2*(N24+1.96^2))),0)&gt;=0),CONCATENATE(ROUND(SUM(100*((2*M24+1.96^2)-(1.96*(SQRT(1.96^2+4*M24*(1-(M24/N24))))))/(2*(N24+1.96^2))),0)," - ",ROUND(SUM(100*((2*M24+1.96^2)+(1.96*(SQRT(1.96^2+4*M24*(1-(M24/N24))))))/(2*(N24+1.96^2))),0)),""))</f>
        <v>10 - 14</v>
      </c>
      <c r="E24" s="228">
        <f>O24/P24*100</f>
        <v>66.111111111111114</v>
      </c>
      <c r="F24" s="228" t="str">
        <f>IF(AND(AND(P24&gt;0,O24&gt;0),ROUND(SUM(100*((2*(O24)+1.96^2)-(1.96*(SQRT(1.96^2+4*(O24)*(1-((O24)/P24))))))/(2*(P24+1.96^2))),0)&lt;0),CONCATENATE(SUM(1*0)," - ",ROUND(SUM(100*((2*(O24)+1.96^2)+(1.96*(SQRT(1.96^2+4*(O24)*(1-((O24)/P24))))))/(2*(P24+1.96^2))),0)),IF(AND(AND(P24&gt;0,O24&gt;0),ROUND(SUM(100*((2*(O24)+1.96^2)-(1.96*(SQRT(1.96^2+4*(O24)*(1-((O24)/P24))))))/(2*(P24+1.96^2))),0)&gt;=0),CONCATENATE(ROUND(SUM(100*((2*(O24)+1.96^2)-(1.96*(SQRT(1.96^2+4*(O24)*(1-((O24)/P24))))))/(2*(P24+1.96^2))),0)," - ",ROUND(SUM(100*((2*(O24)+1.96^2)+(1.96*(SQRT(1.96^2+4*(O24)*(1-((O24)/P24))))))/(2*(P24+1.96^2))),0)),""))</f>
        <v>63 - 69</v>
      </c>
      <c r="G24" s="228">
        <f>Q24/R24*100</f>
        <v>21.574074074074073</v>
      </c>
      <c r="H24" s="228" t="str">
        <f>IF(AND(AND(R24&gt;0,Q24&gt;0),ROUND(SUM(100*((2*(Q24)+1.96^2)-(1.96*(SQRT(1.96^2+4*(Q24)*(1-((Q24)/R24))))))/(2*(R24+1.96^2))),0)&lt;0),CONCATENATE(SUM(1*0)," - ",ROUND(SUM(100*((2*(Q24)+1.96^2)+(1.96*(SQRT(1.96^2+4*(Q24)*(1-((Q24)/R24))))))/(2*(R24+1.96^2))),0)),IF(AND(AND(R24&gt;0,Q24&gt;0),ROUND(SUM(100*((2*(Q24)+1.96^2)-(1.96*(SQRT(1.96^2+4*(Q24)*(1-((Q24)/R24))))))/(2*(R24+1.96^2))),0)&gt;=0),CONCATENATE(ROUND(SUM(100*((2*(Q24)+1.96^2)-(1.96*(SQRT(1.96^2+4*(Q24)*(1-((Q24)/R24))))))/(2*(R24+1.96^2))),0)," - ",ROUND(SUM(100*((2*(Q24)+1.96^2)+(1.96*(SQRT(1.96^2+4*(Q24)*(1-((Q24)/R24))))))/(2*(R24+1.96^2))),0)),""))</f>
        <v>19 - 24</v>
      </c>
      <c r="I24" s="231"/>
      <c r="J24" s="232"/>
      <c r="K24" s="1137"/>
      <c r="L24" s="1138"/>
      <c r="M24" s="416">
        <v>133</v>
      </c>
      <c r="N24" s="416">
        <v>1080</v>
      </c>
      <c r="O24" s="416">
        <v>714</v>
      </c>
      <c r="P24" s="416">
        <v>1080</v>
      </c>
      <c r="Q24" s="416">
        <v>233</v>
      </c>
      <c r="R24" s="416">
        <v>1080</v>
      </c>
      <c r="S24" s="233"/>
      <c r="T24" s="233"/>
    </row>
    <row r="25" spans="1:20">
      <c r="A25" s="227" t="s">
        <v>112</v>
      </c>
      <c r="B25" s="227" t="s">
        <v>113</v>
      </c>
      <c r="C25" s="228">
        <f>M25/N25*100</f>
        <v>1.1857707509881421</v>
      </c>
      <c r="D25" s="228" t="str">
        <f>IF(AND(AND(N25&gt;0,M25&gt;0),ROUND(SUM(100*((2*M25+1.96^2)-(1.96*(SQRT(1.96^2+4*M25*(1-(M25/N25))))))/(2*(N25+1.96^2))),0)&lt;0),CONCATENATE(SUM(1*0)," - ",ROUND(SUM(100*((2*M25+1.96^2)+(1.96*(SQRT(1.96^2+4*M25*(1-(M25/N25))))))/(2*(N25+1.96^2))),0)),IF(AND(AND(N25&gt;0,M25&gt;0),ROUND(SUM(100*((2*M25+1.96^2)-(1.96*(SQRT(1.96^2+4*M25*(1-(M25/N25))))))/(2*(N25+1.96^2))),0)&gt;=0),CONCATENATE(ROUND(SUM(100*((2*M25+1.96^2)-(1.96*(SQRT(1.96^2+4*M25*(1-(M25/N25))))))/(2*(N25+1.96^2))),0)," - ",ROUND(SUM(100*((2*M25+1.96^2)+(1.96*(SQRT(1.96^2+4*M25*(1-(M25/N25))))))/(2*(N25+1.96^2))),0)),""))</f>
        <v>0 - 3</v>
      </c>
      <c r="E25" s="228">
        <f>O25/P25*100</f>
        <v>81.422924901185766</v>
      </c>
      <c r="F25" s="228" t="str">
        <f>IF(AND(AND(P25&gt;0,O25&gt;0),ROUND(SUM(100*((2*(O25)+1.96^2)-(1.96*(SQRT(1.96^2+4*(O25)*(1-((O25)/P25))))))/(2*(P25+1.96^2))),0)&lt;0),CONCATENATE(SUM(1*0)," - ",ROUND(SUM(100*((2*(O25)+1.96^2)+(1.96*(SQRT(1.96^2+4*(O25)*(1-((O25)/P25))))))/(2*(P25+1.96^2))),0)),IF(AND(AND(P25&gt;0,O25&gt;0),ROUND(SUM(100*((2*(O25)+1.96^2)-(1.96*(SQRT(1.96^2+4*(O25)*(1-((O25)/P25))))))/(2*(P25+1.96^2))),0)&gt;=0),CONCATENATE(ROUND(SUM(100*((2*(O25)+1.96^2)-(1.96*(SQRT(1.96^2+4*(O25)*(1-((O25)/P25))))))/(2*(P25+1.96^2))),0)," - ",ROUND(SUM(100*((2*(O25)+1.96^2)+(1.96*(SQRT(1.96^2+4*(O25)*(1-((O25)/P25))))))/(2*(P25+1.96^2))),0)),""))</f>
        <v>76 - 86</v>
      </c>
      <c r="G25" s="228">
        <f>Q25/R25*100</f>
        <v>17.391304347826086</v>
      </c>
      <c r="H25" s="228" t="str">
        <f>IF(AND(AND(R25&gt;0,Q25&gt;0),ROUND(SUM(100*((2*(Q25)+1.96^2)-(1.96*(SQRT(1.96^2+4*(Q25)*(1-((Q25)/R25))))))/(2*(R25+1.96^2))),0)&lt;0),CONCATENATE(SUM(1*0)," - ",ROUND(SUM(100*((2*(Q25)+1.96^2)+(1.96*(SQRT(1.96^2+4*(Q25)*(1-((Q25)/R25))))))/(2*(R25+1.96^2))),0)),IF(AND(AND(R25&gt;0,Q25&gt;0),ROUND(SUM(100*((2*(Q25)+1.96^2)-(1.96*(SQRT(1.96^2+4*(Q25)*(1-((Q25)/R25))))))/(2*(R25+1.96^2))),0)&gt;=0),CONCATENATE(ROUND(SUM(100*((2*(Q25)+1.96^2)-(1.96*(SQRT(1.96^2+4*(Q25)*(1-((Q25)/R25))))))/(2*(R25+1.96^2))),0)," - ",ROUND(SUM(100*((2*(Q25)+1.96^2)+(1.96*(SQRT(1.96^2+4*(Q25)*(1-((Q25)/R25))))))/(2*(R25+1.96^2))),0)),""))</f>
        <v>13 - 23</v>
      </c>
      <c r="I25" s="231"/>
      <c r="J25" s="232"/>
      <c r="K25" s="1137"/>
      <c r="L25" s="1138"/>
      <c r="M25" s="416">
        <v>3</v>
      </c>
      <c r="N25" s="416">
        <v>253</v>
      </c>
      <c r="O25" s="416">
        <v>206</v>
      </c>
      <c r="P25" s="416">
        <v>253</v>
      </c>
      <c r="Q25" s="416">
        <v>44</v>
      </c>
      <c r="R25" s="416">
        <v>253</v>
      </c>
      <c r="S25" s="233"/>
      <c r="T25" s="233"/>
    </row>
    <row r="26" spans="1:20">
      <c r="A26" s="227" t="s">
        <v>115</v>
      </c>
      <c r="B26" s="227" t="s">
        <v>116</v>
      </c>
      <c r="C26" s="228">
        <f t="shared" si="1"/>
        <v>13.698630136986301</v>
      </c>
      <c r="D26" s="228" t="str">
        <f t="shared" si="2"/>
        <v>10 - 18</v>
      </c>
      <c r="E26" s="228">
        <f t="shared" si="3"/>
        <v>71.575342465753423</v>
      </c>
      <c r="F26" s="228" t="str">
        <f t="shared" si="4"/>
        <v>66 - 76</v>
      </c>
      <c r="G26" s="228">
        <f t="shared" si="5"/>
        <v>14.726027397260275</v>
      </c>
      <c r="H26" s="228" t="str">
        <f t="shared" si="6"/>
        <v>11 - 19</v>
      </c>
      <c r="I26" s="231"/>
      <c r="J26" s="232"/>
      <c r="K26" s="1137"/>
      <c r="L26" s="1138"/>
      <c r="M26" s="416">
        <v>40</v>
      </c>
      <c r="N26" s="416">
        <v>292</v>
      </c>
      <c r="O26" s="416">
        <v>209</v>
      </c>
      <c r="P26" s="416">
        <v>292</v>
      </c>
      <c r="Q26" s="416">
        <v>43</v>
      </c>
      <c r="R26" s="416">
        <v>292</v>
      </c>
      <c r="S26" s="233"/>
      <c r="T26" s="233"/>
    </row>
    <row r="27" spans="1:20">
      <c r="A27" s="227" t="s">
        <v>118</v>
      </c>
      <c r="B27" s="227" t="s">
        <v>119</v>
      </c>
      <c r="C27" s="228">
        <f>M27/N27*100</f>
        <v>37.878787878787875</v>
      </c>
      <c r="D27" s="228" t="str">
        <f>IF(AND(AND(N27&gt;0,M27&gt;0),ROUND(SUM(100*((2*M27+1.96^2)-(1.96*(SQRT(1.96^2+4*M27*(1-(M27/N27))))))/(2*(N27+1.96^2))),0)&lt;0),CONCATENATE(SUM(1*0)," - ",ROUND(SUM(100*((2*M27+1.96^2)+(1.96*(SQRT(1.96^2+4*M27*(1-(M27/N27))))))/(2*(N27+1.96^2))),0)),IF(AND(AND(N27&gt;0,M27&gt;0),ROUND(SUM(100*((2*M27+1.96^2)-(1.96*(SQRT(1.96^2+4*M27*(1-(M27/N27))))))/(2*(N27+1.96^2))),0)&gt;=0),CONCATENATE(ROUND(SUM(100*((2*M27+1.96^2)-(1.96*(SQRT(1.96^2+4*M27*(1-(M27/N27))))))/(2*(N27+1.96^2))),0)," - ",ROUND(SUM(100*((2*M27+1.96^2)+(1.96*(SQRT(1.96^2+4*M27*(1-(M27/N27))))))/(2*(N27+1.96^2))),0)),""))</f>
        <v>27 - 50</v>
      </c>
      <c r="E27" s="228">
        <f>O27/P27*100</f>
        <v>59.090909090909093</v>
      </c>
      <c r="F27" s="228" t="str">
        <f>IF(AND(AND(P27&gt;0,O27&gt;0),ROUND(SUM(100*((2*(O27)+1.96^2)-(1.96*(SQRT(1.96^2+4*(O27)*(1-((O27)/P27))))))/(2*(P27+1.96^2))),0)&lt;0),CONCATENATE(SUM(1*0)," - ",ROUND(SUM(100*((2*(O27)+1.96^2)+(1.96*(SQRT(1.96^2+4*(O27)*(1-((O27)/P27))))))/(2*(P27+1.96^2))),0)),IF(AND(AND(P27&gt;0,O27&gt;0),ROUND(SUM(100*((2*(O27)+1.96^2)-(1.96*(SQRT(1.96^2+4*(O27)*(1-((O27)/P27))))))/(2*(P27+1.96^2))),0)&gt;=0),CONCATENATE(ROUND(SUM(100*((2*(O27)+1.96^2)-(1.96*(SQRT(1.96^2+4*(O27)*(1-((O27)/P27))))))/(2*(P27+1.96^2))),0)," - ",ROUND(SUM(100*((2*(O27)+1.96^2)+(1.96*(SQRT(1.96^2+4*(O27)*(1-((O27)/P27))))))/(2*(P27+1.96^2))),0)),""))</f>
        <v>47 - 70</v>
      </c>
      <c r="G27" s="228">
        <f>Q27/R27*100</f>
        <v>3.0303030303030303</v>
      </c>
      <c r="H27" s="228" t="str">
        <f>IF(AND(AND(R27&gt;0,Q27&gt;0),ROUND(SUM(100*((2*(Q27)+1.96^2)-(1.96*(SQRT(1.96^2+4*(Q27)*(1-((Q27)/R27))))))/(2*(R27+1.96^2))),0)&lt;0),CONCATENATE(SUM(1*0)," - ",ROUND(SUM(100*((2*(Q27)+1.96^2)+(1.96*(SQRT(1.96^2+4*(Q27)*(1-((Q27)/R27))))))/(2*(R27+1.96^2))),0)),IF(AND(AND(R27&gt;0,Q27&gt;0),ROUND(SUM(100*((2*(Q27)+1.96^2)-(1.96*(SQRT(1.96^2+4*(Q27)*(1-((Q27)/R27))))))/(2*(R27+1.96^2))),0)&gt;=0),CONCATENATE(ROUND(SUM(100*((2*(Q27)+1.96^2)-(1.96*(SQRT(1.96^2+4*(Q27)*(1-((Q27)/R27))))))/(2*(R27+1.96^2))),0)," - ",ROUND(SUM(100*((2*(Q27)+1.96^2)+(1.96*(SQRT(1.96^2+4*(Q27)*(1-((Q27)/R27))))))/(2*(R27+1.96^2))),0)),""))</f>
        <v>1 - 10</v>
      </c>
      <c r="I27" s="231"/>
      <c r="J27" s="232"/>
      <c r="K27" s="1137"/>
      <c r="L27" s="1138"/>
      <c r="M27" s="416">
        <v>25</v>
      </c>
      <c r="N27" s="416">
        <v>66</v>
      </c>
      <c r="O27" s="416">
        <v>39</v>
      </c>
      <c r="P27" s="416">
        <v>66</v>
      </c>
      <c r="Q27" s="416">
        <v>2</v>
      </c>
      <c r="R27" s="416">
        <v>66</v>
      </c>
      <c r="S27" s="233"/>
      <c r="T27" s="233"/>
    </row>
    <row r="28" spans="1:20">
      <c r="A28" s="227" t="s">
        <v>121</v>
      </c>
      <c r="B28" s="227" t="s">
        <v>122</v>
      </c>
      <c r="C28" s="228">
        <f>M28/N28*100</f>
        <v>7.8947368421052628</v>
      </c>
      <c r="D28" s="228" t="str">
        <f>IF(AND(AND(N28&gt;0,M28&gt;0),ROUND(SUM(100*((2*M28+1.96^2)-(1.96*(SQRT(1.96^2+4*M28*(1-(M28/N28))))))/(2*(N28+1.96^2))),0)&lt;0),CONCATENATE(SUM(1*0)," - ",ROUND(SUM(100*((2*M28+1.96^2)+(1.96*(SQRT(1.96^2+4*M28*(1-(M28/N28))))))/(2*(N28+1.96^2))),0)),IF(AND(AND(N28&gt;0,M28&gt;0),ROUND(SUM(100*((2*M28+1.96^2)-(1.96*(SQRT(1.96^2+4*M28*(1-(M28/N28))))))/(2*(N28+1.96^2))),0)&gt;=0),CONCATENATE(ROUND(SUM(100*((2*M28+1.96^2)-(1.96*(SQRT(1.96^2+4*M28*(1-(M28/N28))))))/(2*(N28+1.96^2))),0)," - ",ROUND(SUM(100*((2*M28+1.96^2)+(1.96*(SQRT(1.96^2+4*M28*(1-(M28/N28))))))/(2*(N28+1.96^2))),0)),""))</f>
        <v>3 - 21</v>
      </c>
      <c r="E28" s="228">
        <f>O28/P28*100</f>
        <v>84.210526315789465</v>
      </c>
      <c r="F28" s="228" t="str">
        <f>IF(AND(AND(P28&gt;0,O28&gt;0),ROUND(SUM(100*((2*(O28)+1.96^2)-(1.96*(SQRT(1.96^2+4*(O28)*(1-((O28)/P28))))))/(2*(P28+1.96^2))),0)&lt;0),CONCATENATE(SUM(1*0)," - ",ROUND(SUM(100*((2*(O28)+1.96^2)+(1.96*(SQRT(1.96^2+4*(O28)*(1-((O28)/P28))))))/(2*(P28+1.96^2))),0)),IF(AND(AND(P28&gt;0,O28&gt;0),ROUND(SUM(100*((2*(O28)+1.96^2)-(1.96*(SQRT(1.96^2+4*(O28)*(1-((O28)/P28))))))/(2*(P28+1.96^2))),0)&gt;=0),CONCATENATE(ROUND(SUM(100*((2*(O28)+1.96^2)-(1.96*(SQRT(1.96^2+4*(O28)*(1-((O28)/P28))))))/(2*(P28+1.96^2))),0)," - ",ROUND(SUM(100*((2*(O28)+1.96^2)+(1.96*(SQRT(1.96^2+4*(O28)*(1-((O28)/P28))))))/(2*(P28+1.96^2))),0)),""))</f>
        <v>70 - 93</v>
      </c>
      <c r="G28" s="228">
        <f>Q28/R28*100</f>
        <v>7.8947368421052628</v>
      </c>
      <c r="H28" s="228" t="str">
        <f>IF(AND(AND(R28&gt;0,Q28&gt;0),ROUND(SUM(100*((2*(Q28)+1.96^2)-(1.96*(SQRT(1.96^2+4*(Q28)*(1-((Q28)/R28))))))/(2*(R28+1.96^2))),0)&lt;0),CONCATENATE(SUM(1*0)," - ",ROUND(SUM(100*((2*(Q28)+1.96^2)+(1.96*(SQRT(1.96^2+4*(Q28)*(1-((Q28)/R28))))))/(2*(R28+1.96^2))),0)),IF(AND(AND(R28&gt;0,Q28&gt;0),ROUND(SUM(100*((2*(Q28)+1.96^2)-(1.96*(SQRT(1.96^2+4*(Q28)*(1-((Q28)/R28))))))/(2*(R28+1.96^2))),0)&gt;=0),CONCATENATE(ROUND(SUM(100*((2*(Q28)+1.96^2)-(1.96*(SQRT(1.96^2+4*(Q28)*(1-((Q28)/R28))))))/(2*(R28+1.96^2))),0)," - ",ROUND(SUM(100*((2*(Q28)+1.96^2)+(1.96*(SQRT(1.96^2+4*(Q28)*(1-((Q28)/R28))))))/(2*(R28+1.96^2))),0)),""))</f>
        <v>3 - 21</v>
      </c>
      <c r="I28" s="231"/>
      <c r="J28" s="232"/>
      <c r="K28" s="1137"/>
      <c r="L28" s="1138"/>
      <c r="M28" s="416">
        <v>3</v>
      </c>
      <c r="N28" s="416">
        <v>38</v>
      </c>
      <c r="O28" s="416">
        <v>32</v>
      </c>
      <c r="P28" s="416">
        <v>38</v>
      </c>
      <c r="Q28" s="416">
        <v>3</v>
      </c>
      <c r="R28" s="416">
        <v>38</v>
      </c>
      <c r="S28" s="233"/>
      <c r="T28" s="233"/>
    </row>
    <row r="29" spans="1:20">
      <c r="A29" s="227" t="s">
        <v>124</v>
      </c>
      <c r="B29" s="227" t="s">
        <v>125</v>
      </c>
      <c r="C29" s="228">
        <f t="shared" si="1"/>
        <v>8.146639511201629</v>
      </c>
      <c r="D29" s="228" t="str">
        <f t="shared" si="2"/>
        <v>6 - 11</v>
      </c>
      <c r="E29" s="228">
        <f t="shared" si="3"/>
        <v>76.578411405295313</v>
      </c>
      <c r="F29" s="228" t="str">
        <f t="shared" si="4"/>
        <v>73 - 80</v>
      </c>
      <c r="G29" s="228">
        <f t="shared" si="5"/>
        <v>15.274949083503056</v>
      </c>
      <c r="H29" s="228" t="str">
        <f t="shared" si="6"/>
        <v>12 - 19</v>
      </c>
      <c r="I29" s="231"/>
      <c r="J29" s="232"/>
      <c r="K29" s="1137"/>
      <c r="L29" s="1138"/>
      <c r="M29" s="416">
        <v>40</v>
      </c>
      <c r="N29" s="416">
        <v>491</v>
      </c>
      <c r="O29" s="416">
        <v>376</v>
      </c>
      <c r="P29" s="416">
        <v>491</v>
      </c>
      <c r="Q29" s="416">
        <v>75</v>
      </c>
      <c r="R29" s="416">
        <v>491</v>
      </c>
      <c r="S29" s="233"/>
      <c r="T29" s="233"/>
    </row>
    <row r="30" spans="1:20">
      <c r="A30" s="227" t="s">
        <v>127</v>
      </c>
      <c r="B30" s="227" t="s">
        <v>128</v>
      </c>
      <c r="C30" s="228">
        <f t="shared" si="1"/>
        <v>4.0816326530612246</v>
      </c>
      <c r="D30" s="228" t="str">
        <f t="shared" si="2"/>
        <v>2 - 8</v>
      </c>
      <c r="E30" s="228">
        <f t="shared" si="3"/>
        <v>72.448979591836732</v>
      </c>
      <c r="F30" s="228" t="str">
        <f t="shared" si="4"/>
        <v>66 - 78</v>
      </c>
      <c r="G30" s="228">
        <f t="shared" si="5"/>
        <v>23.469387755102041</v>
      </c>
      <c r="H30" s="228" t="str">
        <f t="shared" si="6"/>
        <v>18 - 30</v>
      </c>
      <c r="I30" s="231"/>
      <c r="J30" s="232"/>
      <c r="K30" s="1137"/>
      <c r="L30" s="1138"/>
      <c r="M30" s="416">
        <v>8</v>
      </c>
      <c r="N30" s="416">
        <v>196</v>
      </c>
      <c r="O30" s="416">
        <v>142</v>
      </c>
      <c r="P30" s="416">
        <v>196</v>
      </c>
      <c r="Q30" s="416">
        <v>46</v>
      </c>
      <c r="R30" s="416">
        <v>196</v>
      </c>
      <c r="S30" s="233"/>
      <c r="T30" s="233"/>
    </row>
    <row r="31" spans="1:20">
      <c r="A31" s="227" t="s">
        <v>130</v>
      </c>
      <c r="B31" s="227" t="s">
        <v>131</v>
      </c>
      <c r="C31" s="228">
        <f t="shared" si="1"/>
        <v>0</v>
      </c>
      <c r="D31" s="228" t="str">
        <f t="shared" si="2"/>
        <v/>
      </c>
      <c r="E31" s="228">
        <f t="shared" si="3"/>
        <v>100</v>
      </c>
      <c r="F31" s="228" t="str">
        <f t="shared" si="4"/>
        <v>21 - 100</v>
      </c>
      <c r="G31" s="228">
        <f t="shared" si="5"/>
        <v>0</v>
      </c>
      <c r="H31" s="228" t="str">
        <f t="shared" si="6"/>
        <v/>
      </c>
      <c r="I31" s="231"/>
      <c r="J31" s="232"/>
      <c r="K31" s="1137"/>
      <c r="L31" s="1138"/>
      <c r="M31" s="416">
        <v>0</v>
      </c>
      <c r="N31" s="416">
        <v>1</v>
      </c>
      <c r="O31" s="416">
        <v>1</v>
      </c>
      <c r="P31" s="416">
        <v>1</v>
      </c>
      <c r="Q31" s="416">
        <v>0</v>
      </c>
      <c r="R31" s="416">
        <v>1</v>
      </c>
      <c r="S31" s="233"/>
      <c r="T31" s="233"/>
    </row>
    <row r="32" spans="1:20">
      <c r="A32" s="227" t="s">
        <v>37</v>
      </c>
      <c r="B32" s="227" t="s">
        <v>133</v>
      </c>
      <c r="C32" s="228">
        <f t="shared" si="1"/>
        <v>0</v>
      </c>
      <c r="D32" s="228" t="str">
        <f t="shared" si="2"/>
        <v/>
      </c>
      <c r="E32" s="228">
        <f t="shared" si="3"/>
        <v>97.058823529411768</v>
      </c>
      <c r="F32" s="228" t="str">
        <f t="shared" si="4"/>
        <v>85 - 99</v>
      </c>
      <c r="G32" s="228">
        <f t="shared" si="5"/>
        <v>2.9411764705882351</v>
      </c>
      <c r="H32" s="228" t="str">
        <f t="shared" si="6"/>
        <v>1 - 15</v>
      </c>
      <c r="I32" s="231"/>
      <c r="J32" s="232"/>
      <c r="K32" s="1137"/>
      <c r="L32" s="1138"/>
      <c r="M32" s="416">
        <v>0</v>
      </c>
      <c r="N32" s="416">
        <v>34</v>
      </c>
      <c r="O32" s="416">
        <v>33</v>
      </c>
      <c r="P32" s="416">
        <v>34</v>
      </c>
      <c r="Q32" s="416">
        <v>1</v>
      </c>
      <c r="R32" s="416">
        <v>34</v>
      </c>
      <c r="S32" s="233"/>
      <c r="T32" s="233"/>
    </row>
    <row r="33" spans="1:20">
      <c r="A33" s="212"/>
    </row>
    <row r="34" spans="1:20">
      <c r="A34" s="236"/>
      <c r="C34" s="215"/>
      <c r="D34" s="215"/>
      <c r="E34" s="215"/>
      <c r="F34" s="215"/>
      <c r="G34" s="215"/>
      <c r="H34" s="215"/>
      <c r="I34" s="215"/>
    </row>
    <row r="35" spans="1:20" ht="50.1" customHeight="1">
      <c r="A35" s="1159" t="s">
        <v>135</v>
      </c>
      <c r="B35" s="1160"/>
      <c r="C35" s="1161" t="str">
        <f>C2&amp;" (%)"</f>
        <v>Initial Only (%)</v>
      </c>
      <c r="D35" s="1162"/>
      <c r="E35" s="1161" t="str">
        <f>E2&amp;" (%)"</f>
        <v>Initial AND Final (%)</v>
      </c>
      <c r="F35" s="1162"/>
      <c r="G35" s="1161" t="str">
        <f>G2&amp;" (%)"</f>
        <v>Final Only (%)</v>
      </c>
      <c r="H35" s="1163"/>
      <c r="I35" s="1164"/>
      <c r="J35" s="1165"/>
      <c r="K35" s="1165"/>
      <c r="L35" s="1166"/>
      <c r="M35" s="1132" t="s">
        <v>282</v>
      </c>
      <c r="N35" s="1132"/>
      <c r="O35" s="1145" t="s">
        <v>283</v>
      </c>
      <c r="P35" s="1146"/>
      <c r="Q35" s="1132" t="s">
        <v>284</v>
      </c>
      <c r="R35" s="1132"/>
      <c r="S35" s="1149"/>
      <c r="T35" s="1134"/>
    </row>
    <row r="36" spans="1:20" ht="35.1" customHeight="1">
      <c r="A36" s="237"/>
      <c r="B36" s="238" t="s">
        <v>137</v>
      </c>
      <c r="C36" s="239" t="s">
        <v>138</v>
      </c>
      <c r="D36" s="240" t="s">
        <v>52</v>
      </c>
      <c r="E36" s="239" t="s">
        <v>138</v>
      </c>
      <c r="F36" s="240" t="s">
        <v>52</v>
      </c>
      <c r="G36" s="239" t="s">
        <v>138</v>
      </c>
      <c r="H36" s="241" t="s">
        <v>52</v>
      </c>
      <c r="I36" s="1167"/>
      <c r="J36" s="1168"/>
      <c r="K36" s="1168"/>
      <c r="L36" s="1169"/>
      <c r="M36" s="242" t="s">
        <v>26</v>
      </c>
      <c r="N36" s="243" t="s">
        <v>27</v>
      </c>
      <c r="O36" s="243" t="s">
        <v>26</v>
      </c>
      <c r="P36" s="243" t="s">
        <v>27</v>
      </c>
      <c r="Q36" s="243" t="s">
        <v>26</v>
      </c>
      <c r="R36" s="244" t="s">
        <v>27</v>
      </c>
      <c r="S36" s="245"/>
      <c r="T36" s="225"/>
    </row>
    <row r="37" spans="1:20">
      <c r="A37" s="1150"/>
      <c r="B37" s="246" t="s">
        <v>33</v>
      </c>
      <c r="C37" s="228">
        <f>M37/N37*100</f>
        <v>28.07017543859649</v>
      </c>
      <c r="D37" s="228" t="str">
        <f>IF(AND(AND(N37&gt;0,M37&gt;0),ROUND(SUM(100*((2*M37+1.96^2)-(1.96*(SQRT(1.96^2+4*M37*(1-(M37/N37))))))/(2*(N37+1.96^2))),0)&lt;0),CONCATENATE(SUM(1*0)," - ",ROUND(SUM(100*((2*M37+1.96^2)+(1.96*(SQRT(1.96^2+4*M37*(1-(M37/N37))))))/(2*(N37+1.96^2))),0)),IF(AND(AND(N37&gt;0,M37&gt;0),ROUND(SUM(100*((2*M37+1.96^2)-(1.96*(SQRT(1.96^2+4*M37*(1-(M37/N37))))))/(2*(N37+1.96^2))),0)&gt;=0),CONCATENATE(ROUND(SUM(100*((2*M37+1.96^2)-(1.96*(SQRT(1.96^2+4*M37*(1-(M37/N37))))))/(2*(N37+1.96^2))),0)," - ",ROUND(SUM(100*((2*M37+1.96^2)+(1.96*(SQRT(1.96^2+4*M37*(1-(M37/N37))))))/(2*(N37+1.96^2))),0)),""))</f>
        <v>25 - 31</v>
      </c>
      <c r="E37" s="228">
        <f>O37/P37*100</f>
        <v>57.565789473684212</v>
      </c>
      <c r="F37" s="228" t="str">
        <f>IF(AND(AND(P37&gt;0,O37&gt;0),ROUND(SUM(100*((2*(O37)+1.96^2)-(1.96*(SQRT(1.96^2+4*(O37)*(1-((O37)/P37))))))/(2*(P37+1.96^2))),0)&lt;0),CONCATENATE(SUM(1*0)," - ",ROUND(SUM(100*((2*(O37)+1.96^2)+(1.96*(SQRT(1.96^2+4*(O37)*(1-((O37)/P37))))))/(2*(P37+1.96^2))),0)),IF(AND(AND(P37&gt;0,O37&gt;0),ROUND(SUM(100*((2*(O37)+1.96^2)-(1.96*(SQRT(1.96^2+4*(O37)*(1-((O37)/P37))))))/(2*(P37+1.96^2))),0)&gt;=0),CONCATENATE(ROUND(SUM(100*((2*(O37)+1.96^2)-(1.96*(SQRT(1.96^2+4*(O37)*(1-((O37)/P37))))))/(2*(P37+1.96^2))),0)," - ",ROUND(SUM(100*((2*(O37)+1.96^2)+(1.96*(SQRT(1.96^2+4*(O37)*(1-((O37)/P37))))))/(2*(P37+1.96^2))),0)),""))</f>
        <v>54 - 61</v>
      </c>
      <c r="G37" s="228">
        <f>Q37/R37*100</f>
        <v>14.364035087719298</v>
      </c>
      <c r="H37" s="247" t="str">
        <f>IF(AND(AND(R37&gt;0,Q37&gt;0),ROUND(SUM(100*((2*(Q37)+1.96^2)-(1.96*(SQRT(1.96^2+4*(Q37)*(1-((Q37)/R37))))))/(2*(R37+1.96^2))),0)&lt;0),CONCATENATE(SUM(1*0)," - ",ROUND(SUM(100*((2*(Q37)+1.96^2)+(1.96*(SQRT(1.96^2+4*(Q37)*(1-((Q37)/R37))))))/(2*(R37+1.96^2))),0)),IF(AND(AND(R37&gt;0,Q37&gt;0),ROUND(SUM(100*((2*(Q37)+1.96^2)-(1.96*(SQRT(1.96^2+4*(Q37)*(1-((Q37)/R37))))))/(2*(R37+1.96^2))),0)&gt;=0),CONCATENATE(ROUND(SUM(100*((2*(Q37)+1.96^2)-(1.96*(SQRT(1.96^2+4*(Q37)*(1-((Q37)/R37))))))/(2*(R37+1.96^2))),0)," - ",ROUND(SUM(100*((2*(Q37)+1.96^2)+(1.96*(SQRT(1.96^2+4*(Q37)*(1-((Q37)/R37))))))/(2*(R37+1.96^2))),0)),""))</f>
        <v>12 - 17</v>
      </c>
      <c r="I37" s="1153"/>
      <c r="J37" s="1154"/>
      <c r="K37" s="1154"/>
      <c r="L37" s="1155"/>
      <c r="M37" s="417">
        <v>256</v>
      </c>
      <c r="N37" s="417">
        <v>912</v>
      </c>
      <c r="O37" s="418">
        <v>525</v>
      </c>
      <c r="P37" s="418">
        <v>912</v>
      </c>
      <c r="Q37" s="419">
        <v>131</v>
      </c>
      <c r="R37" s="419">
        <v>912</v>
      </c>
      <c r="S37" s="245"/>
      <c r="T37" s="225"/>
    </row>
    <row r="38" spans="1:20">
      <c r="A38" s="1151"/>
      <c r="B38" s="246" t="s">
        <v>28</v>
      </c>
      <c r="C38" s="228">
        <f t="shared" ref="C38:C50" si="7">M38/N38*100</f>
        <v>7.7868852459016393</v>
      </c>
      <c r="D38" s="228" t="str">
        <f t="shared" ref="D38:D50" si="8">IF(AND(AND(N38&gt;0,M38&gt;0),ROUND(SUM(100*((2*M38+1.96^2)-(1.96*(SQRT(1.96^2+4*M38*(1-(M38/N38))))))/(2*(N38+1.96^2))),0)&lt;0),CONCATENATE(SUM(1*0)," - ",ROUND(SUM(100*((2*M38+1.96^2)+(1.96*(SQRT(1.96^2+4*M38*(1-(M38/N38))))))/(2*(N38+1.96^2))),0)),IF(AND(AND(N38&gt;0,M38&gt;0),ROUND(SUM(100*((2*M38+1.96^2)-(1.96*(SQRT(1.96^2+4*M38*(1-(M38/N38))))))/(2*(N38+1.96^2))),0)&gt;=0),CONCATENATE(ROUND(SUM(100*((2*M38+1.96^2)-(1.96*(SQRT(1.96^2+4*M38*(1-(M38/N38))))))/(2*(N38+1.96^2))),0)," - ",ROUND(SUM(100*((2*M38+1.96^2)+(1.96*(SQRT(1.96^2+4*M38*(1-(M38/N38))))))/(2*(N38+1.96^2))),0)),""))</f>
        <v>5 - 12</v>
      </c>
      <c r="E38" s="228">
        <f t="shared" ref="E38:E50" si="9">O38/P38*100</f>
        <v>78.688524590163937</v>
      </c>
      <c r="F38" s="228" t="str">
        <f t="shared" ref="F38:F50" si="10">IF(AND(AND(P38&gt;0,O38&gt;0),ROUND(SUM(100*((2*(O38)+1.96^2)-(1.96*(SQRT(1.96^2+4*(O38)*(1-((O38)/P38))))))/(2*(P38+1.96^2))),0)&lt;0),CONCATENATE(SUM(1*0)," - ",ROUND(SUM(100*((2*(O38)+1.96^2)+(1.96*(SQRT(1.96^2+4*(O38)*(1-((O38)/P38))))))/(2*(P38+1.96^2))),0)),IF(AND(AND(P38&gt;0,O38&gt;0),ROUND(SUM(100*((2*(O38)+1.96^2)-(1.96*(SQRT(1.96^2+4*(O38)*(1-((O38)/P38))))))/(2*(P38+1.96^2))),0)&gt;=0),CONCATENATE(ROUND(SUM(100*((2*(O38)+1.96^2)-(1.96*(SQRT(1.96^2+4*(O38)*(1-((O38)/P38))))))/(2*(P38+1.96^2))),0)," - ",ROUND(SUM(100*((2*(O38)+1.96^2)+(1.96*(SQRT(1.96^2+4*(O38)*(1-((O38)/P38))))))/(2*(P38+1.96^2))),0)),""))</f>
        <v>73 - 83</v>
      </c>
      <c r="G38" s="228">
        <f t="shared" ref="G38:G50" si="11">Q38/R38*100</f>
        <v>13.524590163934427</v>
      </c>
      <c r="H38" s="247" t="str">
        <f t="shared" ref="H38:H50" si="12">IF(AND(AND(R38&gt;0,Q38&gt;0),ROUND(SUM(100*((2*(Q38)+1.96^2)-(1.96*(SQRT(1.96^2+4*(Q38)*(1-((Q38)/R38))))))/(2*(R38+1.96^2))),0)&lt;0),CONCATENATE(SUM(1*0)," - ",ROUND(SUM(100*((2*(Q38)+1.96^2)+(1.96*(SQRT(1.96^2+4*(Q38)*(1-((Q38)/R38))))))/(2*(R38+1.96^2))),0)),IF(AND(AND(R38&gt;0,Q38&gt;0),ROUND(SUM(100*((2*(Q38)+1.96^2)-(1.96*(SQRT(1.96^2+4*(Q38)*(1-((Q38)/R38))))))/(2*(R38+1.96^2))),0)&gt;=0),CONCATENATE(ROUND(SUM(100*((2*(Q38)+1.96^2)-(1.96*(SQRT(1.96^2+4*(Q38)*(1-((Q38)/R38))))))/(2*(R38+1.96^2))),0)," - ",ROUND(SUM(100*((2*(Q38)+1.96^2)+(1.96*(SQRT(1.96^2+4*(Q38)*(1-((Q38)/R38))))))/(2*(R38+1.96^2))),0)),""))</f>
        <v>10 - 18</v>
      </c>
      <c r="I38" s="1153"/>
      <c r="J38" s="1154"/>
      <c r="K38" s="1154"/>
      <c r="L38" s="1155"/>
      <c r="M38" s="417">
        <v>19</v>
      </c>
      <c r="N38" s="417">
        <v>244</v>
      </c>
      <c r="O38" s="417">
        <v>192</v>
      </c>
      <c r="P38" s="417">
        <v>244</v>
      </c>
      <c r="Q38" s="419">
        <v>33</v>
      </c>
      <c r="R38" s="419">
        <v>244</v>
      </c>
      <c r="S38" s="248"/>
      <c r="T38" s="233"/>
    </row>
    <row r="39" spans="1:20">
      <c r="A39" s="1151"/>
      <c r="B39" s="246" t="s">
        <v>31</v>
      </c>
      <c r="C39" s="228">
        <f t="shared" si="7"/>
        <v>9.5541401273885356</v>
      </c>
      <c r="D39" s="228" t="str">
        <f t="shared" si="8"/>
        <v>7 - 13</v>
      </c>
      <c r="E39" s="228">
        <f t="shared" si="9"/>
        <v>72.611464968152859</v>
      </c>
      <c r="F39" s="228" t="str">
        <f t="shared" si="10"/>
        <v>67 - 77</v>
      </c>
      <c r="G39" s="228">
        <f t="shared" si="11"/>
        <v>17.834394904458598</v>
      </c>
      <c r="H39" s="247" t="str">
        <f t="shared" si="12"/>
        <v>14 - 22</v>
      </c>
      <c r="I39" s="1153"/>
      <c r="J39" s="1154"/>
      <c r="K39" s="1154"/>
      <c r="L39" s="1155"/>
      <c r="M39" s="417">
        <v>30</v>
      </c>
      <c r="N39" s="417">
        <v>314</v>
      </c>
      <c r="O39" s="417">
        <v>228</v>
      </c>
      <c r="P39" s="417">
        <v>314</v>
      </c>
      <c r="Q39" s="419">
        <v>56</v>
      </c>
      <c r="R39" s="419">
        <v>314</v>
      </c>
      <c r="S39" s="248"/>
      <c r="T39" s="233"/>
    </row>
    <row r="40" spans="1:20">
      <c r="A40" s="1151"/>
      <c r="B40" s="246" t="s">
        <v>30</v>
      </c>
      <c r="C40" s="228">
        <f t="shared" si="7"/>
        <v>9.8150782361308675</v>
      </c>
      <c r="D40" s="228" t="str">
        <f t="shared" si="8"/>
        <v>8 - 12</v>
      </c>
      <c r="E40" s="228">
        <f t="shared" si="9"/>
        <v>83.214793741109531</v>
      </c>
      <c r="F40" s="228" t="str">
        <f t="shared" si="10"/>
        <v>80 - 86</v>
      </c>
      <c r="G40" s="228">
        <f t="shared" si="11"/>
        <v>6.9701280227596012</v>
      </c>
      <c r="H40" s="247" t="str">
        <f t="shared" si="12"/>
        <v>5 - 9</v>
      </c>
      <c r="I40" s="1153"/>
      <c r="J40" s="1154"/>
      <c r="K40" s="1154"/>
      <c r="L40" s="1155"/>
      <c r="M40" s="417">
        <v>69</v>
      </c>
      <c r="N40" s="417">
        <v>703</v>
      </c>
      <c r="O40" s="417">
        <v>585</v>
      </c>
      <c r="P40" s="417">
        <v>703</v>
      </c>
      <c r="Q40" s="419">
        <v>49</v>
      </c>
      <c r="R40" s="419">
        <v>703</v>
      </c>
      <c r="S40" s="248"/>
      <c r="T40" s="233"/>
    </row>
    <row r="41" spans="1:20">
      <c r="A41" s="1151"/>
      <c r="B41" s="246" t="s">
        <v>35</v>
      </c>
      <c r="C41" s="228">
        <f t="shared" si="7"/>
        <v>13.65079365079365</v>
      </c>
      <c r="D41" s="228" t="str">
        <f t="shared" si="8"/>
        <v>11 - 17</v>
      </c>
      <c r="E41" s="228">
        <f t="shared" si="9"/>
        <v>69.365079365079367</v>
      </c>
      <c r="F41" s="228" t="str">
        <f t="shared" si="10"/>
        <v>66 - 73</v>
      </c>
      <c r="G41" s="228">
        <f t="shared" si="11"/>
        <v>16.984126984126984</v>
      </c>
      <c r="H41" s="247" t="str">
        <f t="shared" si="12"/>
        <v>14 - 20</v>
      </c>
      <c r="I41" s="1153"/>
      <c r="J41" s="1154"/>
      <c r="K41" s="1154"/>
      <c r="L41" s="1155"/>
      <c r="M41" s="417">
        <v>86</v>
      </c>
      <c r="N41" s="417">
        <v>630</v>
      </c>
      <c r="O41" s="417">
        <v>437</v>
      </c>
      <c r="P41" s="417">
        <v>630</v>
      </c>
      <c r="Q41" s="419">
        <v>107</v>
      </c>
      <c r="R41" s="419">
        <v>630</v>
      </c>
      <c r="S41" s="248"/>
      <c r="T41" s="233"/>
    </row>
    <row r="42" spans="1:20">
      <c r="A42" s="1151"/>
      <c r="B42" s="246" t="s">
        <v>34</v>
      </c>
      <c r="C42" s="228">
        <f t="shared" si="7"/>
        <v>9.7192224622030245</v>
      </c>
      <c r="D42" s="228" t="str">
        <f t="shared" si="8"/>
        <v>8 - 12</v>
      </c>
      <c r="E42" s="228">
        <f t="shared" si="9"/>
        <v>72.246220302375804</v>
      </c>
      <c r="F42" s="228" t="str">
        <f t="shared" si="10"/>
        <v>69 - 75</v>
      </c>
      <c r="G42" s="228">
        <f t="shared" si="11"/>
        <v>18.034557235421168</v>
      </c>
      <c r="H42" s="247" t="str">
        <f t="shared" si="12"/>
        <v>16 - 21</v>
      </c>
      <c r="I42" s="1153"/>
      <c r="J42" s="1154"/>
      <c r="K42" s="1154"/>
      <c r="L42" s="1155"/>
      <c r="M42" s="417">
        <v>90</v>
      </c>
      <c r="N42" s="417">
        <v>926</v>
      </c>
      <c r="O42" s="417">
        <v>669</v>
      </c>
      <c r="P42" s="417">
        <v>926</v>
      </c>
      <c r="Q42" s="419">
        <v>167</v>
      </c>
      <c r="R42" s="419">
        <v>926</v>
      </c>
      <c r="S42" s="248"/>
      <c r="T42" s="233"/>
    </row>
    <row r="43" spans="1:20">
      <c r="A43" s="1151"/>
      <c r="B43" s="246" t="s">
        <v>40</v>
      </c>
      <c r="C43" s="228">
        <f t="shared" si="7"/>
        <v>17.62536873156342</v>
      </c>
      <c r="D43" s="228" t="str">
        <f t="shared" si="8"/>
        <v>16 - 19</v>
      </c>
      <c r="E43" s="228">
        <f t="shared" si="9"/>
        <v>72.713864306784657</v>
      </c>
      <c r="F43" s="228" t="str">
        <f t="shared" si="10"/>
        <v>71 - 74</v>
      </c>
      <c r="G43" s="228">
        <f t="shared" si="11"/>
        <v>9.6607669616519178</v>
      </c>
      <c r="H43" s="247" t="str">
        <f t="shared" si="12"/>
        <v>9 - 11</v>
      </c>
      <c r="I43" s="1153"/>
      <c r="J43" s="1154"/>
      <c r="K43" s="1154"/>
      <c r="L43" s="1155"/>
      <c r="M43" s="417">
        <v>478</v>
      </c>
      <c r="N43" s="417">
        <v>2712</v>
      </c>
      <c r="O43" s="417">
        <v>1972</v>
      </c>
      <c r="P43" s="417">
        <v>2712</v>
      </c>
      <c r="Q43" s="419">
        <v>262</v>
      </c>
      <c r="R43" s="419">
        <v>2712</v>
      </c>
      <c r="S43" s="248"/>
      <c r="T43" s="233"/>
    </row>
    <row r="44" spans="1:20">
      <c r="A44" s="1151"/>
      <c r="B44" s="246" t="s">
        <v>36</v>
      </c>
      <c r="C44" s="228">
        <f t="shared" si="7"/>
        <v>12.869565217391305</v>
      </c>
      <c r="D44" s="228" t="str">
        <f t="shared" si="8"/>
        <v>10 - 16</v>
      </c>
      <c r="E44" s="228">
        <f t="shared" si="9"/>
        <v>82.434782608695656</v>
      </c>
      <c r="F44" s="228" t="str">
        <f t="shared" si="10"/>
        <v>79 - 85</v>
      </c>
      <c r="G44" s="228">
        <f t="shared" si="11"/>
        <v>4.695652173913043</v>
      </c>
      <c r="H44" s="247" t="str">
        <f t="shared" si="12"/>
        <v>3 - 7</v>
      </c>
      <c r="I44" s="1153"/>
      <c r="J44" s="1154"/>
      <c r="K44" s="1154"/>
      <c r="L44" s="1155"/>
      <c r="M44" s="417">
        <v>74</v>
      </c>
      <c r="N44" s="417">
        <v>575</v>
      </c>
      <c r="O44" s="417">
        <v>474</v>
      </c>
      <c r="P44" s="417">
        <v>575</v>
      </c>
      <c r="Q44" s="419">
        <v>27</v>
      </c>
      <c r="R44" s="419">
        <v>575</v>
      </c>
      <c r="S44" s="248"/>
      <c r="T44" s="233"/>
    </row>
    <row r="45" spans="1:20" ht="14.25">
      <c r="A45" s="1151"/>
      <c r="B45" s="246" t="s">
        <v>288</v>
      </c>
      <c r="C45" s="228">
        <f t="shared" si="7"/>
        <v>3.7298387096774195</v>
      </c>
      <c r="D45" s="228" t="str">
        <f t="shared" si="8"/>
        <v>3 - 5</v>
      </c>
      <c r="E45" s="228">
        <f t="shared" si="9"/>
        <v>74.29435483870968</v>
      </c>
      <c r="F45" s="228" t="str">
        <f t="shared" si="10"/>
        <v>71 - 77</v>
      </c>
      <c r="G45" s="228">
        <f t="shared" si="11"/>
        <v>21.975806451612904</v>
      </c>
      <c r="H45" s="247" t="str">
        <f t="shared" si="12"/>
        <v>20 - 25</v>
      </c>
      <c r="I45" s="1153"/>
      <c r="J45" s="1154"/>
      <c r="K45" s="1154"/>
      <c r="L45" s="1155"/>
      <c r="M45" s="417">
        <v>37</v>
      </c>
      <c r="N45" s="417">
        <v>992</v>
      </c>
      <c r="O45" s="417">
        <v>737</v>
      </c>
      <c r="P45" s="417">
        <v>992</v>
      </c>
      <c r="Q45" s="419">
        <v>218</v>
      </c>
      <c r="R45" s="419">
        <v>992</v>
      </c>
      <c r="S45" s="248"/>
      <c r="T45" s="233"/>
    </row>
    <row r="46" spans="1:20">
      <c r="A46" s="1151"/>
      <c r="B46" s="246" t="s">
        <v>38</v>
      </c>
      <c r="C46" s="228">
        <f t="shared" si="7"/>
        <v>10.830769230769231</v>
      </c>
      <c r="D46" s="228" t="str">
        <f t="shared" si="8"/>
        <v>9 - 12</v>
      </c>
      <c r="E46" s="228">
        <f t="shared" si="9"/>
        <v>69.476923076923086</v>
      </c>
      <c r="F46" s="228" t="str">
        <f t="shared" si="10"/>
        <v>67 - 72</v>
      </c>
      <c r="G46" s="228">
        <f t="shared" si="11"/>
        <v>19.692307692307693</v>
      </c>
      <c r="H46" s="247" t="str">
        <f t="shared" si="12"/>
        <v>18 - 22</v>
      </c>
      <c r="I46" s="1153"/>
      <c r="J46" s="1154"/>
      <c r="K46" s="1154"/>
      <c r="L46" s="1155"/>
      <c r="M46" s="417">
        <v>176</v>
      </c>
      <c r="N46" s="417">
        <v>1625</v>
      </c>
      <c r="O46" s="417">
        <v>1129</v>
      </c>
      <c r="P46" s="417">
        <v>1625</v>
      </c>
      <c r="Q46" s="419">
        <v>320</v>
      </c>
      <c r="R46" s="419">
        <v>1625</v>
      </c>
      <c r="S46" s="248"/>
      <c r="T46" s="233"/>
    </row>
    <row r="47" spans="1:20">
      <c r="A47" s="1151"/>
      <c r="B47" s="246" t="s">
        <v>41</v>
      </c>
      <c r="C47" s="228">
        <f t="shared" si="7"/>
        <v>37.878787878787875</v>
      </c>
      <c r="D47" s="228" t="str">
        <f t="shared" si="8"/>
        <v>27 - 50</v>
      </c>
      <c r="E47" s="228">
        <f t="shared" si="9"/>
        <v>59.090909090909093</v>
      </c>
      <c r="F47" s="228" t="str">
        <f t="shared" si="10"/>
        <v>47 - 70</v>
      </c>
      <c r="G47" s="228">
        <f t="shared" si="11"/>
        <v>3.0303030303030303</v>
      </c>
      <c r="H47" s="247" t="str">
        <f t="shared" si="12"/>
        <v>1 - 10</v>
      </c>
      <c r="I47" s="1153"/>
      <c r="J47" s="1154"/>
      <c r="K47" s="1154"/>
      <c r="L47" s="1155"/>
      <c r="M47" s="417">
        <v>25</v>
      </c>
      <c r="N47" s="417">
        <v>66</v>
      </c>
      <c r="O47" s="417">
        <v>39</v>
      </c>
      <c r="P47" s="417">
        <v>66</v>
      </c>
      <c r="Q47" s="419">
        <v>2</v>
      </c>
      <c r="R47" s="419">
        <v>66</v>
      </c>
      <c r="S47" s="248"/>
      <c r="T47" s="233"/>
    </row>
    <row r="48" spans="1:20">
      <c r="A48" s="1151"/>
      <c r="B48" s="246" t="s">
        <v>39</v>
      </c>
      <c r="C48" s="228">
        <f t="shared" si="7"/>
        <v>7.8947368421052628</v>
      </c>
      <c r="D48" s="228" t="str">
        <f t="shared" si="8"/>
        <v>3 - 21</v>
      </c>
      <c r="E48" s="228">
        <f t="shared" si="9"/>
        <v>84.210526315789465</v>
      </c>
      <c r="F48" s="228" t="str">
        <f t="shared" si="10"/>
        <v>70 - 93</v>
      </c>
      <c r="G48" s="228">
        <f t="shared" si="11"/>
        <v>7.8947368421052628</v>
      </c>
      <c r="H48" s="247" t="str">
        <f t="shared" si="12"/>
        <v>3 - 21</v>
      </c>
      <c r="I48" s="1153"/>
      <c r="J48" s="1154"/>
      <c r="K48" s="1154"/>
      <c r="L48" s="1155"/>
      <c r="M48" s="417">
        <v>3</v>
      </c>
      <c r="N48" s="417">
        <v>38</v>
      </c>
      <c r="O48" s="417">
        <v>32</v>
      </c>
      <c r="P48" s="417">
        <v>38</v>
      </c>
      <c r="Q48" s="419">
        <v>3</v>
      </c>
      <c r="R48" s="419">
        <v>38</v>
      </c>
      <c r="S48" s="248"/>
      <c r="T48" s="233"/>
    </row>
    <row r="49" spans="1:20">
      <c r="A49" s="1151"/>
      <c r="B49" s="246" t="s">
        <v>32</v>
      </c>
      <c r="C49" s="228">
        <f t="shared" si="7"/>
        <v>6.9868995633187767</v>
      </c>
      <c r="D49" s="228" t="str">
        <f t="shared" si="8"/>
        <v>5 - 9</v>
      </c>
      <c r="E49" s="228">
        <f t="shared" si="9"/>
        <v>75.400291120815126</v>
      </c>
      <c r="F49" s="228" t="str">
        <f t="shared" si="10"/>
        <v>72 - 78</v>
      </c>
      <c r="G49" s="228">
        <f t="shared" si="11"/>
        <v>17.612809315866084</v>
      </c>
      <c r="H49" s="247" t="str">
        <f t="shared" si="12"/>
        <v>15 - 21</v>
      </c>
      <c r="I49" s="1153"/>
      <c r="J49" s="1154"/>
      <c r="K49" s="1154"/>
      <c r="L49" s="1155"/>
      <c r="M49" s="417">
        <v>48</v>
      </c>
      <c r="N49" s="417">
        <v>687</v>
      </c>
      <c r="O49" s="417">
        <v>518</v>
      </c>
      <c r="P49" s="417">
        <v>687</v>
      </c>
      <c r="Q49" s="419">
        <v>121</v>
      </c>
      <c r="R49" s="419">
        <v>687</v>
      </c>
      <c r="S49" s="248"/>
      <c r="T49" s="233"/>
    </row>
    <row r="50" spans="1:20">
      <c r="A50" s="1152"/>
      <c r="B50" s="246" t="s">
        <v>37</v>
      </c>
      <c r="C50" s="228">
        <f t="shared" si="7"/>
        <v>0</v>
      </c>
      <c r="D50" s="228" t="str">
        <f t="shared" si="8"/>
        <v/>
      </c>
      <c r="E50" s="228">
        <f t="shared" si="9"/>
        <v>97.142857142857139</v>
      </c>
      <c r="F50" s="228" t="str">
        <f t="shared" si="10"/>
        <v>85 - 99</v>
      </c>
      <c r="G50" s="228">
        <f t="shared" si="11"/>
        <v>2.8571428571428572</v>
      </c>
      <c r="H50" s="247" t="str">
        <f t="shared" si="12"/>
        <v>1 - 15</v>
      </c>
      <c r="I50" s="1156"/>
      <c r="J50" s="1157"/>
      <c r="K50" s="1157"/>
      <c r="L50" s="1158"/>
      <c r="M50" s="417">
        <v>0</v>
      </c>
      <c r="N50" s="417">
        <v>35</v>
      </c>
      <c r="O50" s="417">
        <v>34</v>
      </c>
      <c r="P50" s="417">
        <v>35</v>
      </c>
      <c r="Q50" s="419">
        <v>1</v>
      </c>
      <c r="R50" s="419">
        <v>35</v>
      </c>
      <c r="S50" s="249"/>
      <c r="T50" s="250"/>
    </row>
    <row r="51" spans="1:20">
      <c r="A51" s="236"/>
      <c r="B51" s="214"/>
      <c r="C51" s="215"/>
      <c r="D51" s="215"/>
      <c r="E51" s="215"/>
      <c r="F51" s="215"/>
      <c r="G51" s="215"/>
      <c r="H51" s="215"/>
      <c r="I51" s="215"/>
      <c r="J51" s="215"/>
      <c r="M51" s="216"/>
      <c r="N51" s="216"/>
      <c r="O51" s="216"/>
      <c r="P51" s="216"/>
    </row>
    <row r="52" spans="1:20">
      <c r="A52" s="251" t="s">
        <v>139</v>
      </c>
      <c r="C52" s="215"/>
      <c r="D52" s="215"/>
      <c r="E52" s="215"/>
      <c r="F52" s="215"/>
      <c r="G52" s="215"/>
      <c r="H52" s="215"/>
      <c r="I52" s="215"/>
      <c r="J52" s="215"/>
    </row>
    <row r="53" spans="1:20">
      <c r="A53" s="236"/>
      <c r="C53" s="215"/>
      <c r="D53" s="215"/>
      <c r="E53" s="215"/>
      <c r="F53" s="215"/>
      <c r="G53" s="215"/>
      <c r="H53" s="215"/>
      <c r="I53" s="215"/>
    </row>
    <row r="54" spans="1:20">
      <c r="A54" s="236"/>
      <c r="C54" s="215"/>
      <c r="D54" s="215"/>
      <c r="E54" s="215"/>
      <c r="F54" s="215"/>
      <c r="G54" s="215"/>
      <c r="H54" s="215"/>
      <c r="I54" s="215"/>
    </row>
    <row r="55" spans="1:20">
      <c r="A55" s="236"/>
      <c r="C55" s="215"/>
      <c r="D55" s="215"/>
      <c r="E55" s="215"/>
      <c r="F55" s="215"/>
      <c r="G55" s="215"/>
      <c r="H55" s="215"/>
      <c r="I55" s="215"/>
    </row>
    <row r="56" spans="1:20">
      <c r="A56" s="236"/>
      <c r="C56" s="215"/>
      <c r="D56" s="215"/>
      <c r="E56" s="215"/>
      <c r="F56" s="215"/>
      <c r="G56" s="215"/>
      <c r="H56" s="215"/>
      <c r="I56" s="215"/>
    </row>
    <row r="57" spans="1:20">
      <c r="A57" s="236"/>
      <c r="C57" s="215"/>
      <c r="D57" s="215"/>
      <c r="E57" s="215"/>
      <c r="F57" s="215"/>
      <c r="G57" s="215"/>
      <c r="H57" s="215"/>
      <c r="I57" s="215"/>
    </row>
    <row r="58" spans="1:20">
      <c r="A58" s="236"/>
      <c r="C58" s="215"/>
      <c r="D58" s="215"/>
      <c r="E58" s="215"/>
      <c r="F58" s="215"/>
      <c r="G58" s="215"/>
      <c r="H58" s="215"/>
      <c r="I58" s="215"/>
    </row>
    <row r="59" spans="1:20">
      <c r="A59" s="236"/>
      <c r="C59" s="215"/>
      <c r="D59" s="215"/>
      <c r="E59" s="215"/>
      <c r="F59" s="215"/>
      <c r="G59" s="215"/>
      <c r="H59" s="215"/>
      <c r="I59" s="215"/>
    </row>
    <row r="60" spans="1:20">
      <c r="A60" s="236"/>
      <c r="C60" s="215"/>
      <c r="D60" s="215"/>
      <c r="E60" s="215"/>
      <c r="F60" s="215"/>
      <c r="G60" s="215"/>
      <c r="H60" s="215"/>
      <c r="I60" s="215"/>
    </row>
  </sheetData>
  <sheetProtection password="B8D9" sheet="1" objects="1" scenarios="1"/>
  <mergeCells count="48">
    <mergeCell ref="M35:N35"/>
    <mergeCell ref="O35:P35"/>
    <mergeCell ref="Q35:R35"/>
    <mergeCell ref="S35:T35"/>
    <mergeCell ref="A37:A50"/>
    <mergeCell ref="I37:L50"/>
    <mergeCell ref="K31:L31"/>
    <mergeCell ref="K32:L32"/>
    <mergeCell ref="A35:B35"/>
    <mergeCell ref="C35:D35"/>
    <mergeCell ref="E35:F35"/>
    <mergeCell ref="G35:H35"/>
    <mergeCell ref="I35:L36"/>
    <mergeCell ref="K30:L30"/>
    <mergeCell ref="K20:L20"/>
    <mergeCell ref="K21:L21"/>
    <mergeCell ref="K22:L22"/>
    <mergeCell ref="K23:L23"/>
    <mergeCell ref="K24:L24"/>
    <mergeCell ref="K25:L25"/>
    <mergeCell ref="K26:L26"/>
    <mergeCell ref="K27:L27"/>
    <mergeCell ref="K28:L28"/>
    <mergeCell ref="K29:L29"/>
    <mergeCell ref="K19:L19"/>
    <mergeCell ref="K8:L8"/>
    <mergeCell ref="K9:L9"/>
    <mergeCell ref="K10:L10"/>
    <mergeCell ref="K11:L11"/>
    <mergeCell ref="K12:L12"/>
    <mergeCell ref="K13:L13"/>
    <mergeCell ref="K14:L14"/>
    <mergeCell ref="K15:L15"/>
    <mergeCell ref="K16:L16"/>
    <mergeCell ref="K17:L17"/>
    <mergeCell ref="K18:L18"/>
    <mergeCell ref="S1:T1"/>
    <mergeCell ref="K3:L3"/>
    <mergeCell ref="K4:L4"/>
    <mergeCell ref="K5:L5"/>
    <mergeCell ref="K6:L6"/>
    <mergeCell ref="O1:P1"/>
    <mergeCell ref="Q1:R1"/>
    <mergeCell ref="K7:L7"/>
    <mergeCell ref="A1:B1"/>
    <mergeCell ref="C1:H1"/>
    <mergeCell ref="K1:L2"/>
    <mergeCell ref="M1:N1"/>
  </mergeCells>
  <pageMargins left="0.70866141732283472" right="0.70866141732283472" top="0.74803149606299213" bottom="0.74803149606299213" header="0.31496062992125984" footer="0.31496062992125984"/>
  <pageSetup paperSize="9" scale="62"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62.xml><?xml version="1.0" encoding="utf-8"?>
<worksheet xmlns="http://schemas.openxmlformats.org/spreadsheetml/2006/main" xmlns:r="http://schemas.openxmlformats.org/officeDocument/2006/relationships">
  <sheetPr codeName="Sheet71">
    <pageSetUpPr fitToPage="1"/>
  </sheetPr>
  <dimension ref="B1:P73"/>
  <sheetViews>
    <sheetView workbookViewId="0"/>
  </sheetViews>
  <sheetFormatPr defaultRowHeight="12.75"/>
  <cols>
    <col min="1" max="1" width="1.7109375" style="326" customWidth="1"/>
    <col min="2" max="2" width="16.7109375" style="326" customWidth="1"/>
    <col min="3" max="3" width="40.7109375" style="326" customWidth="1"/>
    <col min="4" max="13" width="10.7109375" style="326" customWidth="1"/>
    <col min="14" max="16384" width="9.140625" style="326"/>
  </cols>
  <sheetData>
    <row r="1" spans="2:12" ht="12.75" customHeight="1">
      <c r="B1" s="935" t="s">
        <v>698</v>
      </c>
      <c r="C1" s="935"/>
      <c r="D1" s="935"/>
      <c r="E1" s="935"/>
      <c r="F1" s="935"/>
      <c r="G1" s="935"/>
      <c r="H1" s="935"/>
      <c r="I1" s="935"/>
      <c r="J1" s="597"/>
      <c r="K1" s="597"/>
      <c r="L1" s="985" t="s">
        <v>45</v>
      </c>
    </row>
    <row r="2" spans="2:12">
      <c r="B2" s="935"/>
      <c r="C2" s="935"/>
      <c r="D2" s="935"/>
      <c r="E2" s="935"/>
      <c r="F2" s="935"/>
      <c r="G2" s="935"/>
      <c r="H2" s="935"/>
      <c r="I2" s="935"/>
      <c r="J2" s="597"/>
      <c r="K2" s="597"/>
      <c r="L2" s="985"/>
    </row>
    <row r="3" spans="2:12" ht="12.75" customHeight="1">
      <c r="B3" s="1044" t="s">
        <v>377</v>
      </c>
      <c r="C3" s="1044"/>
      <c r="D3" s="1044"/>
      <c r="E3" s="1044"/>
      <c r="F3" s="1044"/>
      <c r="G3" s="1044"/>
      <c r="H3" s="1044"/>
      <c r="I3" s="1044"/>
      <c r="J3" s="598"/>
      <c r="K3" s="454"/>
      <c r="L3" s="985"/>
    </row>
    <row r="4" spans="2:12">
      <c r="B4" s="1044"/>
      <c r="C4" s="1044"/>
      <c r="D4" s="1044"/>
      <c r="E4" s="1044"/>
      <c r="F4" s="1044"/>
      <c r="G4" s="1044"/>
      <c r="H4" s="1044"/>
      <c r="I4" s="1044"/>
      <c r="J4" s="598"/>
      <c r="L4" s="985"/>
    </row>
    <row r="5" spans="2:12">
      <c r="B5" s="1044"/>
      <c r="C5" s="1044"/>
      <c r="D5" s="1044"/>
      <c r="E5" s="1044"/>
      <c r="F5" s="1044"/>
      <c r="G5" s="1044"/>
      <c r="H5" s="1044"/>
      <c r="I5" s="1044"/>
      <c r="J5" s="598"/>
      <c r="K5" s="435"/>
      <c r="L5" s="435"/>
    </row>
    <row r="6" spans="2:12">
      <c r="B6" s="455"/>
      <c r="C6" s="569"/>
      <c r="D6" s="455"/>
      <c r="E6" s="455"/>
      <c r="F6" s="455"/>
      <c r="G6" s="455"/>
      <c r="H6" s="455"/>
      <c r="I6" s="455"/>
      <c r="J6" s="455"/>
    </row>
    <row r="35" spans="2:16">
      <c r="B35" s="32" t="s">
        <v>542</v>
      </c>
      <c r="C35" s="32"/>
    </row>
    <row r="36" spans="2:16">
      <c r="B36" s="67" t="s">
        <v>385</v>
      </c>
      <c r="C36" s="67"/>
    </row>
    <row r="37" spans="2:16">
      <c r="B37" s="67" t="s">
        <v>386</v>
      </c>
      <c r="C37" s="67"/>
    </row>
    <row r="38" spans="2:16">
      <c r="B38" s="62" t="s">
        <v>387</v>
      </c>
      <c r="C38" s="62"/>
    </row>
    <row r="39" spans="2:16">
      <c r="B39" s="62" t="s">
        <v>408</v>
      </c>
      <c r="C39" s="62"/>
    </row>
    <row r="40" spans="2:16" s="784" customFormat="1" ht="15">
      <c r="B40" s="205" t="s">
        <v>756</v>
      </c>
      <c r="C40" s="203"/>
      <c r="D40" s="204"/>
      <c r="E40" s="204"/>
      <c r="F40" s="204"/>
      <c r="G40" s="204"/>
      <c r="H40" s="204"/>
      <c r="I40" s="204"/>
      <c r="J40" s="203"/>
    </row>
    <row r="41" spans="2:16" s="784" customFormat="1" ht="26.1" customHeight="1">
      <c r="B41" s="972" t="s">
        <v>737</v>
      </c>
      <c r="C41" s="972"/>
      <c r="D41" s="972"/>
      <c r="E41" s="972"/>
      <c r="F41" s="972"/>
      <c r="G41" s="972"/>
      <c r="H41" s="972"/>
      <c r="I41" s="972"/>
      <c r="J41" s="972"/>
      <c r="K41" s="972"/>
      <c r="L41" s="972"/>
    </row>
    <row r="42" spans="2:16">
      <c r="B42" s="62"/>
      <c r="C42" s="62"/>
    </row>
    <row r="44" spans="2:16" ht="50.1" customHeight="1">
      <c r="B44" s="595" t="s">
        <v>25</v>
      </c>
      <c r="C44" s="593"/>
      <c r="D44" s="1170" t="s">
        <v>306</v>
      </c>
      <c r="E44" s="1170"/>
      <c r="F44" s="1170" t="s">
        <v>308</v>
      </c>
      <c r="G44" s="1170"/>
      <c r="H44" s="1170" t="s">
        <v>309</v>
      </c>
      <c r="I44" s="1170"/>
      <c r="J44" s="1170" t="s">
        <v>307</v>
      </c>
      <c r="K44" s="1170"/>
      <c r="L44" s="1170" t="s">
        <v>310</v>
      </c>
      <c r="M44" s="1171"/>
    </row>
    <row r="45" spans="2:16" ht="30" customHeight="1">
      <c r="B45" s="596" t="s">
        <v>24</v>
      </c>
      <c r="C45" s="594" t="s">
        <v>25</v>
      </c>
      <c r="D45" s="328">
        <v>2015</v>
      </c>
      <c r="E45" s="328">
        <v>2016</v>
      </c>
      <c r="F45" s="328">
        <v>2015</v>
      </c>
      <c r="G45" s="328">
        <v>2016</v>
      </c>
      <c r="H45" s="328">
        <v>2015</v>
      </c>
      <c r="I45" s="328">
        <v>2016</v>
      </c>
      <c r="J45" s="328">
        <v>2015</v>
      </c>
      <c r="K45" s="328">
        <v>2016</v>
      </c>
      <c r="L45" s="328">
        <v>2015</v>
      </c>
      <c r="M45" s="329">
        <v>2016</v>
      </c>
    </row>
    <row r="46" spans="2:16">
      <c r="B46" s="327" t="s">
        <v>134</v>
      </c>
      <c r="C46" s="327" t="s">
        <v>134</v>
      </c>
      <c r="D46" s="327">
        <f>SUM(D47:D73)</f>
        <v>953</v>
      </c>
      <c r="E46" s="327">
        <f>SUM(E47:E73)</f>
        <v>908</v>
      </c>
      <c r="F46" s="327">
        <f>SUM(F47:F73)</f>
        <v>906</v>
      </c>
      <c r="G46" s="327">
        <f>SUM(G47:G73)</f>
        <v>870</v>
      </c>
      <c r="H46" s="330">
        <f t="shared" ref="H46:H73" si="0">IF(ISERR(F46/D46*100),"",F46/D46*100)</f>
        <v>95.068205666316899</v>
      </c>
      <c r="I46" s="330">
        <f t="shared" ref="I46:I73" si="1">IF(ISERR(G46/E46*100),"",G46/E46*100)</f>
        <v>95.81497797356829</v>
      </c>
      <c r="J46" s="327">
        <f>SUM(J47:J73)</f>
        <v>89</v>
      </c>
      <c r="K46" s="327">
        <f>SUM(K47:K73)</f>
        <v>102</v>
      </c>
      <c r="L46" s="331">
        <f t="shared" ref="L46:L73" si="2">IF(ISERR(J46/F46*100),"",J46/F46*100)</f>
        <v>9.8233995584988971</v>
      </c>
      <c r="M46" s="331">
        <f t="shared" ref="M46:M73" si="3">IF(ISERR(K46/G46*100),"",K46/G46*100)</f>
        <v>11.724137931034482</v>
      </c>
      <c r="N46" s="420" t="str">
        <f>B46</f>
        <v>Scotland</v>
      </c>
      <c r="O46" s="421"/>
      <c r="P46" s="421"/>
    </row>
    <row r="47" spans="2:16">
      <c r="B47" s="327" t="s">
        <v>58</v>
      </c>
      <c r="C47" s="327" t="s">
        <v>57</v>
      </c>
      <c r="D47" s="327">
        <v>11</v>
      </c>
      <c r="E47" s="327">
        <v>0</v>
      </c>
      <c r="F47" s="327">
        <v>11</v>
      </c>
      <c r="G47" s="327">
        <v>0</v>
      </c>
      <c r="H47" s="330">
        <f t="shared" si="0"/>
        <v>100</v>
      </c>
      <c r="I47" s="330" t="str">
        <f t="shared" si="1"/>
        <v/>
      </c>
      <c r="J47" s="327">
        <v>0</v>
      </c>
      <c r="K47" s="327">
        <v>0</v>
      </c>
      <c r="L47" s="331">
        <f t="shared" si="2"/>
        <v>0</v>
      </c>
      <c r="M47" s="331" t="str">
        <f t="shared" si="3"/>
        <v/>
      </c>
      <c r="N47" s="420" t="str">
        <f>B47</f>
        <v>Ayr</v>
      </c>
      <c r="O47" s="421"/>
      <c r="P47" s="421"/>
    </row>
    <row r="48" spans="2:16">
      <c r="B48" s="327" t="s">
        <v>185</v>
      </c>
      <c r="C48" s="327" t="s">
        <v>85</v>
      </c>
      <c r="D48" s="327">
        <v>2</v>
      </c>
      <c r="E48" s="327">
        <v>0</v>
      </c>
      <c r="F48" s="327">
        <v>2</v>
      </c>
      <c r="G48" s="327">
        <v>0</v>
      </c>
      <c r="H48" s="330">
        <f t="shared" si="0"/>
        <v>100</v>
      </c>
      <c r="I48" s="330" t="str">
        <f t="shared" si="1"/>
        <v/>
      </c>
      <c r="J48" s="327">
        <v>0</v>
      </c>
      <c r="K48" s="327">
        <v>0</v>
      </c>
      <c r="L48" s="331">
        <f t="shared" si="2"/>
        <v>0</v>
      </c>
      <c r="M48" s="331" t="str">
        <f t="shared" si="3"/>
        <v/>
      </c>
      <c r="N48" s="420" t="str">
        <f t="shared" ref="N48:N73" si="4">B48</f>
        <v>RAH</v>
      </c>
      <c r="O48" s="421"/>
      <c r="P48" s="421"/>
    </row>
    <row r="49" spans="2:16">
      <c r="B49" s="327" t="s">
        <v>28</v>
      </c>
      <c r="C49" s="327" t="s">
        <v>63</v>
      </c>
      <c r="D49" s="327">
        <v>10</v>
      </c>
      <c r="E49" s="327">
        <v>9</v>
      </c>
      <c r="F49" s="327">
        <v>10</v>
      </c>
      <c r="G49" s="327">
        <v>9</v>
      </c>
      <c r="H49" s="330">
        <f t="shared" si="0"/>
        <v>100</v>
      </c>
      <c r="I49" s="330">
        <f t="shared" si="1"/>
        <v>100</v>
      </c>
      <c r="J49" s="327">
        <v>0</v>
      </c>
      <c r="K49" s="327">
        <v>1</v>
      </c>
      <c r="L49" s="331">
        <f t="shared" si="2"/>
        <v>0</v>
      </c>
      <c r="M49" s="331">
        <f t="shared" si="3"/>
        <v>11.111111111111111</v>
      </c>
      <c r="N49" s="420" t="str">
        <f t="shared" si="4"/>
        <v>Borders</v>
      </c>
      <c r="O49" s="421"/>
      <c r="P49" s="421"/>
    </row>
    <row r="50" spans="2:16">
      <c r="B50" s="327" t="s">
        <v>65</v>
      </c>
      <c r="C50" s="327" t="s">
        <v>66</v>
      </c>
      <c r="D50" s="327">
        <v>32</v>
      </c>
      <c r="E50" s="327">
        <v>25</v>
      </c>
      <c r="F50" s="327">
        <v>32</v>
      </c>
      <c r="G50" s="327">
        <v>25</v>
      </c>
      <c r="H50" s="330">
        <f t="shared" si="0"/>
        <v>100</v>
      </c>
      <c r="I50" s="330">
        <f t="shared" si="1"/>
        <v>100</v>
      </c>
      <c r="J50" s="327">
        <v>4</v>
      </c>
      <c r="K50" s="327">
        <v>1</v>
      </c>
      <c r="L50" s="331">
        <f t="shared" si="2"/>
        <v>12.5</v>
      </c>
      <c r="M50" s="331">
        <f t="shared" si="3"/>
        <v>4</v>
      </c>
      <c r="N50" s="420" t="str">
        <f t="shared" si="4"/>
        <v>DGRI</v>
      </c>
      <c r="O50" s="421"/>
      <c r="P50" s="421"/>
    </row>
    <row r="51" spans="2:16">
      <c r="B51" s="327" t="s">
        <v>68</v>
      </c>
      <c r="C51" s="327" t="s">
        <v>69</v>
      </c>
      <c r="D51" s="327">
        <v>8</v>
      </c>
      <c r="E51" s="327">
        <v>7</v>
      </c>
      <c r="F51" s="327">
        <v>8</v>
      </c>
      <c r="G51" s="327">
        <v>7</v>
      </c>
      <c r="H51" s="330">
        <f t="shared" si="0"/>
        <v>100</v>
      </c>
      <c r="I51" s="330">
        <f t="shared" si="1"/>
        <v>100</v>
      </c>
      <c r="J51" s="327">
        <v>0</v>
      </c>
      <c r="K51" s="327">
        <v>1</v>
      </c>
      <c r="L51" s="331">
        <f t="shared" si="2"/>
        <v>0</v>
      </c>
      <c r="M51" s="331">
        <f t="shared" si="3"/>
        <v>14.285714285714285</v>
      </c>
      <c r="N51" s="420" t="str">
        <f t="shared" si="4"/>
        <v>GCH</v>
      </c>
      <c r="O51" s="421"/>
      <c r="P51" s="421"/>
    </row>
    <row r="52" spans="2:16">
      <c r="B52" s="327" t="s">
        <v>183</v>
      </c>
      <c r="C52" s="327" t="s">
        <v>73</v>
      </c>
      <c r="D52" s="327">
        <v>40</v>
      </c>
      <c r="E52" s="327">
        <v>54</v>
      </c>
      <c r="F52" s="327">
        <v>40</v>
      </c>
      <c r="G52" s="327">
        <v>54</v>
      </c>
      <c r="H52" s="330">
        <f t="shared" si="0"/>
        <v>100</v>
      </c>
      <c r="I52" s="330">
        <f t="shared" si="1"/>
        <v>100</v>
      </c>
      <c r="J52" s="327">
        <v>3</v>
      </c>
      <c r="K52" s="327">
        <v>5</v>
      </c>
      <c r="L52" s="331">
        <f t="shared" si="2"/>
        <v>7.5</v>
      </c>
      <c r="M52" s="331">
        <f t="shared" si="3"/>
        <v>9.2592592592592595</v>
      </c>
      <c r="N52" s="420" t="str">
        <f t="shared" si="4"/>
        <v>FVRH</v>
      </c>
      <c r="O52" s="421"/>
      <c r="P52" s="421"/>
    </row>
    <row r="53" spans="2:16">
      <c r="B53" s="327" t="s">
        <v>184</v>
      </c>
      <c r="C53" s="327" t="s">
        <v>80</v>
      </c>
      <c r="D53" s="327">
        <v>1</v>
      </c>
      <c r="E53" s="327">
        <v>18</v>
      </c>
      <c r="F53" s="327">
        <v>1</v>
      </c>
      <c r="G53" s="327">
        <v>18</v>
      </c>
      <c r="H53" s="330">
        <f t="shared" si="0"/>
        <v>100</v>
      </c>
      <c r="I53" s="330">
        <f t="shared" si="1"/>
        <v>100</v>
      </c>
      <c r="J53" s="327">
        <v>0</v>
      </c>
      <c r="K53" s="327">
        <v>2</v>
      </c>
      <c r="L53" s="331">
        <f t="shared" si="2"/>
        <v>0</v>
      </c>
      <c r="M53" s="331">
        <f t="shared" si="3"/>
        <v>11.111111111111111</v>
      </c>
      <c r="N53" s="420" t="str">
        <f t="shared" si="4"/>
        <v>GRI</v>
      </c>
      <c r="O53" s="421"/>
      <c r="P53" s="421"/>
    </row>
    <row r="54" spans="2:16">
      <c r="B54" s="327" t="s">
        <v>95</v>
      </c>
      <c r="C54" s="327" t="s">
        <v>96</v>
      </c>
      <c r="D54" s="327">
        <v>3</v>
      </c>
      <c r="E54" s="327">
        <v>9</v>
      </c>
      <c r="F54" s="327">
        <v>3</v>
      </c>
      <c r="G54" s="327">
        <v>9</v>
      </c>
      <c r="H54" s="330">
        <f t="shared" si="0"/>
        <v>100</v>
      </c>
      <c r="I54" s="330">
        <f t="shared" si="1"/>
        <v>100</v>
      </c>
      <c r="J54" s="327">
        <v>0</v>
      </c>
      <c r="K54" s="327">
        <v>2</v>
      </c>
      <c r="L54" s="331">
        <f t="shared" si="2"/>
        <v>0</v>
      </c>
      <c r="M54" s="331">
        <f t="shared" si="3"/>
        <v>22.222222222222221</v>
      </c>
      <c r="N54" s="420" t="str">
        <f t="shared" si="4"/>
        <v>L&amp;I</v>
      </c>
      <c r="O54" s="421"/>
      <c r="P54" s="421"/>
    </row>
    <row r="55" spans="2:16">
      <c r="B55" s="327" t="s">
        <v>104</v>
      </c>
      <c r="C55" s="327" t="s">
        <v>105</v>
      </c>
      <c r="D55" s="327">
        <v>39</v>
      </c>
      <c r="E55" s="327">
        <v>23</v>
      </c>
      <c r="F55" s="327">
        <v>37</v>
      </c>
      <c r="G55" s="327">
        <v>23</v>
      </c>
      <c r="H55" s="330">
        <f t="shared" si="0"/>
        <v>94.871794871794862</v>
      </c>
      <c r="I55" s="330">
        <f t="shared" si="1"/>
        <v>100</v>
      </c>
      <c r="J55" s="327">
        <v>1</v>
      </c>
      <c r="K55" s="327">
        <v>2</v>
      </c>
      <c r="L55" s="331">
        <f t="shared" si="2"/>
        <v>2.7027027027027026</v>
      </c>
      <c r="M55" s="331">
        <f t="shared" si="3"/>
        <v>8.695652173913043</v>
      </c>
      <c r="N55" s="420" t="str">
        <f t="shared" si="4"/>
        <v>Monklands</v>
      </c>
      <c r="O55" s="421"/>
      <c r="P55" s="421"/>
    </row>
    <row r="56" spans="2:16">
      <c r="B56" s="327" t="s">
        <v>115</v>
      </c>
      <c r="C56" s="327" t="s">
        <v>116</v>
      </c>
      <c r="D56" s="327">
        <v>11</v>
      </c>
      <c r="E56" s="327">
        <v>10</v>
      </c>
      <c r="F56" s="327">
        <v>11</v>
      </c>
      <c r="G56" s="327">
        <v>10</v>
      </c>
      <c r="H56" s="330">
        <f t="shared" si="0"/>
        <v>100</v>
      </c>
      <c r="I56" s="330">
        <f t="shared" si="1"/>
        <v>100</v>
      </c>
      <c r="J56" s="327">
        <v>4</v>
      </c>
      <c r="K56" s="327">
        <v>1</v>
      </c>
      <c r="L56" s="331">
        <f t="shared" si="2"/>
        <v>36.363636363636367</v>
      </c>
      <c r="M56" s="331">
        <f t="shared" si="3"/>
        <v>10</v>
      </c>
      <c r="N56" s="420" t="str">
        <f t="shared" si="4"/>
        <v>WGH</v>
      </c>
      <c r="O56" s="421"/>
      <c r="P56" s="421"/>
    </row>
    <row r="57" spans="2:16">
      <c r="B57" s="327" t="s">
        <v>118</v>
      </c>
      <c r="C57" s="327" t="s">
        <v>119</v>
      </c>
      <c r="D57" s="327">
        <v>2</v>
      </c>
      <c r="E57" s="327">
        <v>5</v>
      </c>
      <c r="F57" s="327">
        <v>2</v>
      </c>
      <c r="G57" s="327">
        <v>5</v>
      </c>
      <c r="H57" s="330">
        <f t="shared" si="0"/>
        <v>100</v>
      </c>
      <c r="I57" s="330">
        <f t="shared" si="1"/>
        <v>100</v>
      </c>
      <c r="J57" s="327">
        <v>0</v>
      </c>
      <c r="K57" s="327">
        <v>1</v>
      </c>
      <c r="L57" s="331">
        <f t="shared" si="2"/>
        <v>0</v>
      </c>
      <c r="M57" s="331">
        <f t="shared" si="3"/>
        <v>20</v>
      </c>
      <c r="N57" s="420" t="str">
        <f t="shared" si="4"/>
        <v>Balfour</v>
      </c>
      <c r="O57" s="421"/>
      <c r="P57" s="421"/>
    </row>
    <row r="58" spans="2:16">
      <c r="B58" s="327" t="s">
        <v>124</v>
      </c>
      <c r="C58" s="327" t="s">
        <v>125</v>
      </c>
      <c r="D58" s="327">
        <v>52</v>
      </c>
      <c r="E58" s="327">
        <v>43</v>
      </c>
      <c r="F58" s="327">
        <v>52</v>
      </c>
      <c r="G58" s="327">
        <v>43</v>
      </c>
      <c r="H58" s="330">
        <f t="shared" si="0"/>
        <v>100</v>
      </c>
      <c r="I58" s="330">
        <f t="shared" si="1"/>
        <v>100</v>
      </c>
      <c r="J58" s="327">
        <v>3</v>
      </c>
      <c r="K58" s="327">
        <v>6</v>
      </c>
      <c r="L58" s="331">
        <f t="shared" si="2"/>
        <v>5.7692307692307692</v>
      </c>
      <c r="M58" s="331">
        <f t="shared" si="3"/>
        <v>13.953488372093023</v>
      </c>
      <c r="N58" s="420" t="str">
        <f t="shared" si="4"/>
        <v>Ninewells</v>
      </c>
      <c r="O58" s="421"/>
      <c r="P58" s="421"/>
    </row>
    <row r="59" spans="2:16">
      <c r="B59" s="327" t="s">
        <v>127</v>
      </c>
      <c r="C59" s="327" t="s">
        <v>128</v>
      </c>
      <c r="D59" s="327">
        <v>27</v>
      </c>
      <c r="E59" s="327">
        <v>23</v>
      </c>
      <c r="F59" s="327">
        <v>27</v>
      </c>
      <c r="G59" s="327">
        <v>23</v>
      </c>
      <c r="H59" s="330">
        <f t="shared" si="0"/>
        <v>100</v>
      </c>
      <c r="I59" s="330">
        <f t="shared" si="1"/>
        <v>100</v>
      </c>
      <c r="J59" s="327">
        <v>1</v>
      </c>
      <c r="K59" s="327">
        <v>2</v>
      </c>
      <c r="L59" s="331">
        <f t="shared" si="2"/>
        <v>3.7037037037037033</v>
      </c>
      <c r="M59" s="331">
        <f t="shared" si="3"/>
        <v>8.695652173913043</v>
      </c>
      <c r="N59" s="420" t="str">
        <f t="shared" si="4"/>
        <v>PRI</v>
      </c>
      <c r="O59" s="421"/>
      <c r="P59" s="421"/>
    </row>
    <row r="60" spans="2:16">
      <c r="B60" s="327" t="s">
        <v>37</v>
      </c>
      <c r="C60" s="327" t="s">
        <v>133</v>
      </c>
      <c r="D60" s="327">
        <v>8</v>
      </c>
      <c r="E60" s="327">
        <v>3</v>
      </c>
      <c r="F60" s="327">
        <v>7</v>
      </c>
      <c r="G60" s="327">
        <v>3</v>
      </c>
      <c r="H60" s="330">
        <f t="shared" si="0"/>
        <v>87.5</v>
      </c>
      <c r="I60" s="330">
        <f t="shared" si="1"/>
        <v>100</v>
      </c>
      <c r="J60" s="327">
        <v>0</v>
      </c>
      <c r="K60" s="327">
        <v>1</v>
      </c>
      <c r="L60" s="331">
        <f t="shared" si="2"/>
        <v>0</v>
      </c>
      <c r="M60" s="331">
        <f t="shared" si="3"/>
        <v>33.333333333333329</v>
      </c>
      <c r="N60" s="420" t="str">
        <f t="shared" si="4"/>
        <v>Western Isles</v>
      </c>
      <c r="O60" s="421"/>
      <c r="P60" s="421"/>
    </row>
    <row r="61" spans="2:16">
      <c r="B61" s="327" t="s">
        <v>459</v>
      </c>
      <c r="C61" s="327" t="s">
        <v>460</v>
      </c>
      <c r="D61" s="327">
        <v>227</v>
      </c>
      <c r="E61" s="327">
        <v>186</v>
      </c>
      <c r="F61" s="327">
        <v>226</v>
      </c>
      <c r="G61" s="327">
        <v>184</v>
      </c>
      <c r="H61" s="330">
        <f t="shared" si="0"/>
        <v>99.559471365638757</v>
      </c>
      <c r="I61" s="330">
        <f t="shared" si="1"/>
        <v>98.924731182795696</v>
      </c>
      <c r="J61" s="327">
        <v>31</v>
      </c>
      <c r="K61" s="327">
        <v>26</v>
      </c>
      <c r="L61" s="331">
        <f t="shared" si="2"/>
        <v>13.716814159292035</v>
      </c>
      <c r="M61" s="331">
        <f t="shared" si="3"/>
        <v>14.130434782608695</v>
      </c>
      <c r="N61" s="420" t="str">
        <f t="shared" si="4"/>
        <v>QEUH</v>
      </c>
      <c r="O61" s="421"/>
      <c r="P61" s="421"/>
    </row>
    <row r="62" spans="2:16">
      <c r="B62" s="327" t="s">
        <v>174</v>
      </c>
      <c r="C62" s="327" t="s">
        <v>71</v>
      </c>
      <c r="D62" s="327">
        <v>60</v>
      </c>
      <c r="E62" s="327">
        <v>75</v>
      </c>
      <c r="F62" s="327">
        <v>59</v>
      </c>
      <c r="G62" s="327">
        <v>74</v>
      </c>
      <c r="H62" s="330">
        <f t="shared" si="0"/>
        <v>98.333333333333329</v>
      </c>
      <c r="I62" s="330">
        <f t="shared" si="1"/>
        <v>98.666666666666671</v>
      </c>
      <c r="J62" s="327">
        <v>7</v>
      </c>
      <c r="K62" s="327">
        <v>7</v>
      </c>
      <c r="L62" s="331">
        <f t="shared" si="2"/>
        <v>11.864406779661017</v>
      </c>
      <c r="M62" s="331">
        <f t="shared" si="3"/>
        <v>9.4594594594594597</v>
      </c>
      <c r="N62" s="420" t="str">
        <f t="shared" si="4"/>
        <v>VHK</v>
      </c>
      <c r="O62" s="421"/>
      <c r="P62" s="421"/>
    </row>
    <row r="63" spans="2:16">
      <c r="B63" s="327" t="s">
        <v>175</v>
      </c>
      <c r="C63" s="327" t="s">
        <v>75</v>
      </c>
      <c r="D63" s="327">
        <v>157</v>
      </c>
      <c r="E63" s="327">
        <v>119</v>
      </c>
      <c r="F63" s="327">
        <v>153</v>
      </c>
      <c r="G63" s="327">
        <v>116</v>
      </c>
      <c r="H63" s="330">
        <f t="shared" si="0"/>
        <v>97.452229299363054</v>
      </c>
      <c r="I63" s="330">
        <f t="shared" si="1"/>
        <v>97.47899159663865</v>
      </c>
      <c r="J63" s="327">
        <v>18</v>
      </c>
      <c r="K63" s="327">
        <v>14</v>
      </c>
      <c r="L63" s="331">
        <f t="shared" si="2"/>
        <v>11.76470588235294</v>
      </c>
      <c r="M63" s="331">
        <f t="shared" si="3"/>
        <v>12.068965517241379</v>
      </c>
      <c r="N63" s="420" t="str">
        <f t="shared" si="4"/>
        <v>ARI</v>
      </c>
      <c r="O63" s="421"/>
      <c r="P63" s="421"/>
    </row>
    <row r="64" spans="2:16">
      <c r="B64" s="327" t="s">
        <v>60</v>
      </c>
      <c r="C64" s="327" t="s">
        <v>61</v>
      </c>
      <c r="D64" s="327">
        <v>31</v>
      </c>
      <c r="E64" s="327">
        <v>69</v>
      </c>
      <c r="F64" s="327">
        <v>30</v>
      </c>
      <c r="G64" s="327">
        <v>67</v>
      </c>
      <c r="H64" s="330">
        <f t="shared" si="0"/>
        <v>96.774193548387103</v>
      </c>
      <c r="I64" s="330">
        <f t="shared" si="1"/>
        <v>97.101449275362313</v>
      </c>
      <c r="J64" s="327">
        <v>2</v>
      </c>
      <c r="K64" s="327">
        <v>6</v>
      </c>
      <c r="L64" s="331">
        <f t="shared" si="2"/>
        <v>6.666666666666667</v>
      </c>
      <c r="M64" s="331">
        <f t="shared" si="3"/>
        <v>8.9552238805970141</v>
      </c>
      <c r="N64" s="420" t="str">
        <f t="shared" si="4"/>
        <v>Crosshouse</v>
      </c>
      <c r="O64" s="421"/>
      <c r="P64" s="421"/>
    </row>
    <row r="65" spans="2:16">
      <c r="B65" s="327" t="s">
        <v>107</v>
      </c>
      <c r="C65" s="327" t="s">
        <v>106</v>
      </c>
      <c r="D65" s="327">
        <v>47</v>
      </c>
      <c r="E65" s="327">
        <v>32</v>
      </c>
      <c r="F65" s="327">
        <v>46</v>
      </c>
      <c r="G65" s="327">
        <v>31</v>
      </c>
      <c r="H65" s="330">
        <f t="shared" si="0"/>
        <v>97.872340425531917</v>
      </c>
      <c r="I65" s="330">
        <f t="shared" si="1"/>
        <v>96.875</v>
      </c>
      <c r="J65" s="327">
        <v>5</v>
      </c>
      <c r="K65" s="327">
        <v>3</v>
      </c>
      <c r="L65" s="331">
        <f t="shared" si="2"/>
        <v>10.869565217391305</v>
      </c>
      <c r="M65" s="331">
        <f t="shared" si="3"/>
        <v>9.67741935483871</v>
      </c>
      <c r="N65" s="420" t="str">
        <f t="shared" si="4"/>
        <v>Wishaw</v>
      </c>
      <c r="O65" s="421"/>
      <c r="P65" s="421"/>
    </row>
    <row r="66" spans="2:16">
      <c r="B66" s="327" t="s">
        <v>112</v>
      </c>
      <c r="C66" s="327" t="s">
        <v>113</v>
      </c>
      <c r="D66" s="327">
        <v>26</v>
      </c>
      <c r="E66" s="327">
        <v>25</v>
      </c>
      <c r="F66" s="327">
        <v>26</v>
      </c>
      <c r="G66" s="327">
        <v>24</v>
      </c>
      <c r="H66" s="330">
        <f t="shared" si="0"/>
        <v>100</v>
      </c>
      <c r="I66" s="330">
        <f t="shared" si="1"/>
        <v>96</v>
      </c>
      <c r="J66" s="327">
        <v>2</v>
      </c>
      <c r="K66" s="327">
        <v>2</v>
      </c>
      <c r="L66" s="331">
        <f t="shared" si="2"/>
        <v>7.6923076923076925</v>
      </c>
      <c r="M66" s="331">
        <f t="shared" si="3"/>
        <v>8.3333333333333321</v>
      </c>
      <c r="N66" s="420" t="str">
        <f t="shared" si="4"/>
        <v>SJH</v>
      </c>
      <c r="O66" s="421"/>
      <c r="P66" s="421"/>
    </row>
    <row r="67" spans="2:16">
      <c r="B67" s="327" t="s">
        <v>101</v>
      </c>
      <c r="C67" s="327" t="s">
        <v>102</v>
      </c>
      <c r="D67" s="327">
        <v>26</v>
      </c>
      <c r="E67" s="327">
        <v>24</v>
      </c>
      <c r="F67" s="327">
        <v>25</v>
      </c>
      <c r="G67" s="327">
        <v>23</v>
      </c>
      <c r="H67" s="330">
        <f t="shared" si="0"/>
        <v>96.15384615384616</v>
      </c>
      <c r="I67" s="330">
        <f t="shared" si="1"/>
        <v>95.833333333333343</v>
      </c>
      <c r="J67" s="327">
        <v>0</v>
      </c>
      <c r="K67" s="327">
        <v>4</v>
      </c>
      <c r="L67" s="331">
        <f t="shared" si="2"/>
        <v>0</v>
      </c>
      <c r="M67" s="331">
        <f t="shared" si="3"/>
        <v>17.391304347826086</v>
      </c>
      <c r="N67" s="420" t="str">
        <f t="shared" si="4"/>
        <v>Hairmyres</v>
      </c>
      <c r="O67" s="421"/>
      <c r="P67" s="421"/>
    </row>
    <row r="68" spans="2:16">
      <c r="B68" s="327" t="s">
        <v>109</v>
      </c>
      <c r="C68" s="327" t="s">
        <v>110</v>
      </c>
      <c r="D68" s="327">
        <v>85</v>
      </c>
      <c r="E68" s="327">
        <v>102</v>
      </c>
      <c r="F68" s="327">
        <v>82</v>
      </c>
      <c r="G68" s="327">
        <v>96</v>
      </c>
      <c r="H68" s="330">
        <f t="shared" si="0"/>
        <v>96.470588235294116</v>
      </c>
      <c r="I68" s="330">
        <f t="shared" si="1"/>
        <v>94.117647058823522</v>
      </c>
      <c r="J68" s="327">
        <v>6</v>
      </c>
      <c r="K68" s="327">
        <v>11</v>
      </c>
      <c r="L68" s="331">
        <f t="shared" si="2"/>
        <v>7.3170731707317067</v>
      </c>
      <c r="M68" s="331">
        <f t="shared" si="3"/>
        <v>11.458333333333332</v>
      </c>
      <c r="N68" s="420" t="str">
        <f t="shared" si="4"/>
        <v>RIE</v>
      </c>
      <c r="O68" s="421"/>
      <c r="P68" s="421"/>
    </row>
    <row r="69" spans="2:16">
      <c r="B69" s="327" t="s">
        <v>77</v>
      </c>
      <c r="C69" s="327" t="s">
        <v>78</v>
      </c>
      <c r="D69" s="327">
        <v>9</v>
      </c>
      <c r="E69" s="327">
        <v>21</v>
      </c>
      <c r="F69" s="327">
        <v>7</v>
      </c>
      <c r="G69" s="327">
        <v>19</v>
      </c>
      <c r="H69" s="330">
        <f t="shared" si="0"/>
        <v>77.777777777777786</v>
      </c>
      <c r="I69" s="330">
        <f t="shared" si="1"/>
        <v>90.476190476190482</v>
      </c>
      <c r="J69" s="327">
        <v>1</v>
      </c>
      <c r="K69" s="327">
        <v>3</v>
      </c>
      <c r="L69" s="331">
        <f t="shared" si="2"/>
        <v>14.285714285714285</v>
      </c>
      <c r="M69" s="331">
        <f t="shared" si="3"/>
        <v>15.789473684210526</v>
      </c>
      <c r="N69" s="420" t="str">
        <f t="shared" si="4"/>
        <v>Dr Grays</v>
      </c>
      <c r="O69" s="421"/>
      <c r="P69" s="421"/>
    </row>
    <row r="70" spans="2:16">
      <c r="B70" s="327" t="s">
        <v>89</v>
      </c>
      <c r="C70" s="327" t="s">
        <v>90</v>
      </c>
      <c r="D70" s="327">
        <v>3</v>
      </c>
      <c r="E70" s="327">
        <v>2</v>
      </c>
      <c r="F70" s="327">
        <v>0</v>
      </c>
      <c r="G70" s="327">
        <v>1</v>
      </c>
      <c r="H70" s="330">
        <f t="shared" si="0"/>
        <v>0</v>
      </c>
      <c r="I70" s="330">
        <f t="shared" si="1"/>
        <v>50</v>
      </c>
      <c r="J70" s="327">
        <v>0</v>
      </c>
      <c r="K70" s="327">
        <v>0</v>
      </c>
      <c r="L70" s="331" t="str">
        <f t="shared" si="2"/>
        <v/>
      </c>
      <c r="M70" s="331">
        <f t="shared" si="3"/>
        <v>0</v>
      </c>
      <c r="N70" s="420" t="str">
        <f t="shared" si="4"/>
        <v>Belford</v>
      </c>
      <c r="O70" s="421"/>
      <c r="P70" s="421"/>
    </row>
    <row r="71" spans="2:16">
      <c r="B71" s="327" t="s">
        <v>121</v>
      </c>
      <c r="C71" s="327" t="s">
        <v>122</v>
      </c>
      <c r="D71" s="327">
        <v>2</v>
      </c>
      <c r="E71" s="327">
        <v>2</v>
      </c>
      <c r="F71" s="327">
        <v>2</v>
      </c>
      <c r="G71" s="327">
        <v>1</v>
      </c>
      <c r="H71" s="330">
        <f t="shared" si="0"/>
        <v>100</v>
      </c>
      <c r="I71" s="330">
        <f t="shared" si="1"/>
        <v>50</v>
      </c>
      <c r="J71" s="327">
        <v>0</v>
      </c>
      <c r="K71" s="327">
        <v>0</v>
      </c>
      <c r="L71" s="331">
        <f t="shared" si="2"/>
        <v>0</v>
      </c>
      <c r="M71" s="331">
        <f t="shared" si="3"/>
        <v>0</v>
      </c>
      <c r="N71" s="420" t="str">
        <f t="shared" si="4"/>
        <v>Gilbert Bain</v>
      </c>
      <c r="O71" s="421"/>
      <c r="P71" s="421"/>
    </row>
    <row r="72" spans="2:16">
      <c r="B72" s="327" t="s">
        <v>92</v>
      </c>
      <c r="C72" s="327" t="s">
        <v>93</v>
      </c>
      <c r="D72" s="327">
        <v>11</v>
      </c>
      <c r="E72" s="327">
        <v>4</v>
      </c>
      <c r="F72" s="327">
        <v>6</v>
      </c>
      <c r="G72" s="327">
        <v>1</v>
      </c>
      <c r="H72" s="330">
        <f t="shared" si="0"/>
        <v>54.54545454545454</v>
      </c>
      <c r="I72" s="330">
        <f t="shared" si="1"/>
        <v>25</v>
      </c>
      <c r="J72" s="327">
        <v>0</v>
      </c>
      <c r="K72" s="327">
        <v>0</v>
      </c>
      <c r="L72" s="331">
        <f t="shared" si="2"/>
        <v>0</v>
      </c>
      <c r="M72" s="331">
        <f t="shared" si="3"/>
        <v>0</v>
      </c>
      <c r="N72" s="420" t="str">
        <f t="shared" si="4"/>
        <v>Caithness</v>
      </c>
      <c r="O72" s="421"/>
      <c r="P72" s="421"/>
    </row>
    <row r="73" spans="2:16">
      <c r="B73" s="327" t="s">
        <v>98</v>
      </c>
      <c r="C73" s="327" t="s">
        <v>99</v>
      </c>
      <c r="D73" s="327">
        <v>23</v>
      </c>
      <c r="E73" s="327">
        <v>18</v>
      </c>
      <c r="F73" s="327">
        <v>1</v>
      </c>
      <c r="G73" s="327">
        <v>4</v>
      </c>
      <c r="H73" s="330">
        <f t="shared" si="0"/>
        <v>4.3478260869565215</v>
      </c>
      <c r="I73" s="330">
        <f t="shared" si="1"/>
        <v>22.222222222222221</v>
      </c>
      <c r="J73" s="327">
        <v>1</v>
      </c>
      <c r="K73" s="327">
        <v>1</v>
      </c>
      <c r="L73" s="331">
        <f t="shared" si="2"/>
        <v>100</v>
      </c>
      <c r="M73" s="331">
        <f t="shared" si="3"/>
        <v>25</v>
      </c>
      <c r="N73" s="420" t="str">
        <f t="shared" si="4"/>
        <v>Raigmore</v>
      </c>
      <c r="O73" s="421"/>
      <c r="P73" s="421"/>
    </row>
  </sheetData>
  <sheetProtection password="B8D9" sheet="1" objects="1" scenarios="1"/>
  <sortState ref="B52:M77">
    <sortCondition descending="1" ref="I52:I77"/>
  </sortState>
  <mergeCells count="9">
    <mergeCell ref="L1:L4"/>
    <mergeCell ref="D44:E44"/>
    <mergeCell ref="F44:G44"/>
    <mergeCell ref="H44:I44"/>
    <mergeCell ref="J44:K44"/>
    <mergeCell ref="L44:M44"/>
    <mergeCell ref="B1:I2"/>
    <mergeCell ref="B3:I5"/>
    <mergeCell ref="B41:L41"/>
  </mergeCells>
  <conditionalFormatting sqref="H47">
    <cfRule type="expression" dxfId="14" priority="5">
      <formula>$H$47="#DIV/0!"</formula>
    </cfRule>
    <cfRule type="expression" dxfId="13" priority="6">
      <formula>AND($H$47&lt;100,$H$47&gt;0)</formula>
    </cfRule>
  </conditionalFormatting>
  <conditionalFormatting sqref="H48:H73 H46 I46:I73">
    <cfRule type="expression" dxfId="12" priority="4">
      <formula>AND($H$47&lt;100,$H$47&gt;0)</formula>
    </cfRule>
  </conditionalFormatting>
  <conditionalFormatting sqref="L46:M73">
    <cfRule type="expression" dxfId="11" priority="1">
      <formula>AND($H$47&lt;100,$H$47&gt;0)</formula>
    </cfRule>
    <cfRule type="cellIs" dxfId="10" priority="2" operator="equal">
      <formula>100</formula>
    </cfRule>
  </conditionalFormatting>
  <hyperlinks>
    <hyperlink ref="L1" location="'List of Tables &amp; Charts'!A1" display="return to List of Tables &amp; Charts"/>
  </hyperlinks>
  <pageMargins left="0.70866141732283472" right="0.70866141732283472" top="0.74803149606299213" bottom="0.74803149606299213" header="0.31496062992125984" footer="0.31496062992125984"/>
  <pageSetup paperSize="9" scale="50"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63.xml><?xml version="1.0" encoding="utf-8"?>
<worksheet xmlns="http://schemas.openxmlformats.org/spreadsheetml/2006/main" xmlns:r="http://schemas.openxmlformats.org/officeDocument/2006/relationships">
  <sheetPr codeName="Sheet72">
    <pageSetUpPr fitToPage="1"/>
  </sheetPr>
  <dimension ref="B1:P72"/>
  <sheetViews>
    <sheetView workbookViewId="0">
      <pane ySplit="5" topLeftCell="A6" activePane="bottomLeft" state="frozen"/>
      <selection activeCell="L1" sqref="L1:L4"/>
      <selection pane="bottomLeft" activeCell="A6" sqref="A6"/>
    </sheetView>
  </sheetViews>
  <sheetFormatPr defaultRowHeight="12.75"/>
  <cols>
    <col min="1" max="1" width="1.7109375" style="326" customWidth="1"/>
    <col min="2" max="2" width="16.7109375" style="326" customWidth="1"/>
    <col min="3" max="3" width="40.7109375" style="326" customWidth="1"/>
    <col min="4" max="13" width="10.7109375" style="326" customWidth="1"/>
    <col min="14" max="16384" width="9.140625" style="326"/>
  </cols>
  <sheetData>
    <row r="1" spans="2:12" ht="12.75" customHeight="1">
      <c r="B1" s="935" t="s">
        <v>699</v>
      </c>
      <c r="C1" s="935"/>
      <c r="D1" s="935"/>
      <c r="E1" s="935"/>
      <c r="F1" s="935"/>
      <c r="G1" s="935"/>
      <c r="H1" s="935"/>
      <c r="I1" s="935"/>
      <c r="J1" s="597"/>
      <c r="K1" s="597"/>
      <c r="L1" s="985" t="s">
        <v>45</v>
      </c>
    </row>
    <row r="2" spans="2:12">
      <c r="B2" s="935"/>
      <c r="C2" s="935"/>
      <c r="D2" s="935"/>
      <c r="E2" s="935"/>
      <c r="F2" s="935"/>
      <c r="G2" s="935"/>
      <c r="H2" s="935"/>
      <c r="I2" s="935"/>
      <c r="J2" s="597"/>
      <c r="K2" s="597"/>
      <c r="L2" s="985"/>
    </row>
    <row r="3" spans="2:12" ht="12.75" customHeight="1">
      <c r="B3" s="1044" t="s">
        <v>377</v>
      </c>
      <c r="C3" s="1044"/>
      <c r="D3" s="1044"/>
      <c r="E3" s="1044"/>
      <c r="F3" s="1044"/>
      <c r="G3" s="1044"/>
      <c r="H3" s="1044"/>
      <c r="I3" s="1044"/>
      <c r="J3" s="598"/>
      <c r="K3" s="568"/>
      <c r="L3" s="985"/>
    </row>
    <row r="4" spans="2:12">
      <c r="B4" s="1044"/>
      <c r="C4" s="1044"/>
      <c r="D4" s="1044"/>
      <c r="E4" s="1044"/>
      <c r="F4" s="1044"/>
      <c r="G4" s="1044"/>
      <c r="H4" s="1044"/>
      <c r="I4" s="1044"/>
      <c r="J4" s="598"/>
      <c r="L4" s="985"/>
    </row>
    <row r="5" spans="2:12">
      <c r="B5" s="1044"/>
      <c r="C5" s="1044"/>
      <c r="D5" s="1044"/>
      <c r="E5" s="1044"/>
      <c r="F5" s="1044"/>
      <c r="G5" s="1044"/>
      <c r="H5" s="1044"/>
      <c r="I5" s="1044"/>
      <c r="J5" s="598"/>
      <c r="K5" s="435"/>
      <c r="L5" s="435"/>
    </row>
    <row r="6" spans="2:12">
      <c r="B6" s="569"/>
      <c r="C6" s="569"/>
      <c r="D6" s="569"/>
      <c r="E6" s="569"/>
      <c r="F6" s="569"/>
      <c r="G6" s="569"/>
      <c r="H6" s="569"/>
      <c r="I6" s="569"/>
      <c r="J6" s="569"/>
    </row>
    <row r="35" spans="2:16">
      <c r="B35" s="32" t="s">
        <v>700</v>
      </c>
      <c r="C35" s="32"/>
    </row>
    <row r="36" spans="2:16">
      <c r="B36" s="67" t="s">
        <v>385</v>
      </c>
      <c r="C36" s="67"/>
    </row>
    <row r="37" spans="2:16">
      <c r="B37" s="67" t="s">
        <v>386</v>
      </c>
      <c r="C37" s="67"/>
    </row>
    <row r="38" spans="2:16">
      <c r="B38" s="62" t="s">
        <v>387</v>
      </c>
      <c r="C38" s="62"/>
    </row>
    <row r="39" spans="2:16">
      <c r="B39" s="62" t="s">
        <v>408</v>
      </c>
      <c r="C39" s="62"/>
    </row>
    <row r="40" spans="2:16" s="784" customFormat="1" ht="15">
      <c r="B40" s="205" t="s">
        <v>756</v>
      </c>
      <c r="C40" s="203"/>
      <c r="D40" s="204"/>
      <c r="E40" s="204"/>
      <c r="F40" s="204"/>
      <c r="G40" s="204"/>
      <c r="H40" s="204"/>
      <c r="I40" s="204"/>
      <c r="J40" s="203"/>
    </row>
    <row r="41" spans="2:16" s="784" customFormat="1" ht="26.1" customHeight="1">
      <c r="B41" s="972" t="s">
        <v>737</v>
      </c>
      <c r="C41" s="972"/>
      <c r="D41" s="972"/>
      <c r="E41" s="972"/>
      <c r="F41" s="972"/>
      <c r="G41" s="972"/>
      <c r="H41" s="972"/>
      <c r="I41" s="972"/>
      <c r="J41" s="972"/>
      <c r="K41" s="972"/>
      <c r="L41" s="972"/>
    </row>
    <row r="43" spans="2:16" ht="50.1" customHeight="1">
      <c r="B43" s="595" t="s">
        <v>25</v>
      </c>
      <c r="C43" s="593"/>
      <c r="D43" s="1170" t="s">
        <v>306</v>
      </c>
      <c r="E43" s="1170"/>
      <c r="F43" s="1170" t="s">
        <v>308</v>
      </c>
      <c r="G43" s="1170"/>
      <c r="H43" s="1170" t="s">
        <v>309</v>
      </c>
      <c r="I43" s="1170"/>
      <c r="J43" s="1170" t="s">
        <v>307</v>
      </c>
      <c r="K43" s="1170"/>
      <c r="L43" s="1170" t="s">
        <v>310</v>
      </c>
      <c r="M43" s="1171"/>
    </row>
    <row r="44" spans="2:16" ht="30" customHeight="1">
      <c r="B44" s="596" t="s">
        <v>24</v>
      </c>
      <c r="C44" s="594" t="s">
        <v>25</v>
      </c>
      <c r="D44" s="328">
        <v>2015</v>
      </c>
      <c r="E44" s="328">
        <v>2016</v>
      </c>
      <c r="F44" s="328">
        <v>2015</v>
      </c>
      <c r="G44" s="328">
        <v>2016</v>
      </c>
      <c r="H44" s="328">
        <v>2015</v>
      </c>
      <c r="I44" s="328">
        <v>2016</v>
      </c>
      <c r="J44" s="328">
        <v>2015</v>
      </c>
      <c r="K44" s="328">
        <v>2016</v>
      </c>
      <c r="L44" s="328">
        <v>2015</v>
      </c>
      <c r="M44" s="329">
        <v>2016</v>
      </c>
    </row>
    <row r="45" spans="2:16">
      <c r="B45" s="327" t="s">
        <v>134</v>
      </c>
      <c r="C45" s="327" t="s">
        <v>134</v>
      </c>
      <c r="D45" s="327">
        <f>SUM(D46:D72)</f>
        <v>953</v>
      </c>
      <c r="E45" s="327">
        <f>SUM(E46:E72)</f>
        <v>908</v>
      </c>
      <c r="F45" s="327">
        <f>SUM(F46:F72)</f>
        <v>906</v>
      </c>
      <c r="G45" s="327">
        <f>SUM(G46:G72)</f>
        <v>870</v>
      </c>
      <c r="H45" s="330">
        <f t="shared" ref="H45:H72" si="0">IF(ISERR(F45/D45*100),"",F45/D45*100)</f>
        <v>95.068205666316899</v>
      </c>
      <c r="I45" s="330">
        <f t="shared" ref="I45:I72" si="1">IF(ISERR(G45/E45*100),"",G45/E45*100)</f>
        <v>95.81497797356829</v>
      </c>
      <c r="J45" s="327">
        <f>SUM(J46:J72)</f>
        <v>89</v>
      </c>
      <c r="K45" s="327">
        <f>SUM(K46:K72)</f>
        <v>102</v>
      </c>
      <c r="L45" s="331">
        <f t="shared" ref="L45:L72" si="2">IF(ISERR(J45/F45*100),"",J45/F45*100)</f>
        <v>9.8233995584988971</v>
      </c>
      <c r="M45" s="331">
        <f t="shared" ref="M45:M72" si="3">IF(ISERR(K45/G45*100),"",K45/G45*100)</f>
        <v>11.724137931034482</v>
      </c>
      <c r="N45" s="420" t="str">
        <f t="shared" ref="N45:N72" si="4">B45</f>
        <v>Scotland</v>
      </c>
      <c r="O45" s="421"/>
      <c r="P45" s="421"/>
    </row>
    <row r="46" spans="2:16">
      <c r="B46" s="327" t="s">
        <v>58</v>
      </c>
      <c r="C46" s="327" t="s">
        <v>57</v>
      </c>
      <c r="D46" s="327">
        <v>11</v>
      </c>
      <c r="E46" s="327">
        <v>0</v>
      </c>
      <c r="F46" s="327">
        <v>11</v>
      </c>
      <c r="G46" s="327">
        <v>0</v>
      </c>
      <c r="H46" s="330">
        <f t="shared" si="0"/>
        <v>100</v>
      </c>
      <c r="I46" s="330" t="str">
        <f t="shared" si="1"/>
        <v/>
      </c>
      <c r="J46" s="327">
        <v>0</v>
      </c>
      <c r="K46" s="327">
        <v>0</v>
      </c>
      <c r="L46" s="331">
        <f t="shared" si="2"/>
        <v>0</v>
      </c>
      <c r="M46" s="331" t="str">
        <f t="shared" si="3"/>
        <v/>
      </c>
      <c r="N46" s="420" t="str">
        <f t="shared" si="4"/>
        <v>Ayr</v>
      </c>
      <c r="O46" s="421"/>
      <c r="P46" s="421"/>
    </row>
    <row r="47" spans="2:16">
      <c r="B47" s="327" t="s">
        <v>185</v>
      </c>
      <c r="C47" s="327" t="s">
        <v>85</v>
      </c>
      <c r="D47" s="327">
        <v>2</v>
      </c>
      <c r="E47" s="327">
        <v>0</v>
      </c>
      <c r="F47" s="327">
        <v>2</v>
      </c>
      <c r="G47" s="327">
        <v>0</v>
      </c>
      <c r="H47" s="330">
        <f t="shared" si="0"/>
        <v>100</v>
      </c>
      <c r="I47" s="330" t="str">
        <f t="shared" si="1"/>
        <v/>
      </c>
      <c r="J47" s="327">
        <v>0</v>
      </c>
      <c r="K47" s="327">
        <v>0</v>
      </c>
      <c r="L47" s="331">
        <f t="shared" si="2"/>
        <v>0</v>
      </c>
      <c r="M47" s="331" t="str">
        <f t="shared" si="3"/>
        <v/>
      </c>
      <c r="N47" s="420" t="str">
        <f t="shared" si="4"/>
        <v>RAH</v>
      </c>
      <c r="O47" s="421"/>
      <c r="P47" s="421"/>
    </row>
    <row r="48" spans="2:16">
      <c r="B48" s="327" t="s">
        <v>28</v>
      </c>
      <c r="C48" s="327" t="s">
        <v>63</v>
      </c>
      <c r="D48" s="327">
        <v>10</v>
      </c>
      <c r="E48" s="327">
        <v>9</v>
      </c>
      <c r="F48" s="327">
        <v>10</v>
      </c>
      <c r="G48" s="327">
        <v>9</v>
      </c>
      <c r="H48" s="330">
        <f t="shared" si="0"/>
        <v>100</v>
      </c>
      <c r="I48" s="330">
        <f t="shared" si="1"/>
        <v>100</v>
      </c>
      <c r="J48" s="327">
        <v>0</v>
      </c>
      <c r="K48" s="327">
        <v>1</v>
      </c>
      <c r="L48" s="331">
        <f t="shared" si="2"/>
        <v>0</v>
      </c>
      <c r="M48" s="331">
        <f t="shared" si="3"/>
        <v>11.111111111111111</v>
      </c>
      <c r="N48" s="420" t="str">
        <f t="shared" si="4"/>
        <v>Borders</v>
      </c>
      <c r="O48" s="421"/>
      <c r="P48" s="421"/>
    </row>
    <row r="49" spans="2:16">
      <c r="B49" s="327" t="s">
        <v>65</v>
      </c>
      <c r="C49" s="327" t="s">
        <v>66</v>
      </c>
      <c r="D49" s="327">
        <v>32</v>
      </c>
      <c r="E49" s="327">
        <v>25</v>
      </c>
      <c r="F49" s="327">
        <v>32</v>
      </c>
      <c r="G49" s="327">
        <v>25</v>
      </c>
      <c r="H49" s="330">
        <f t="shared" si="0"/>
        <v>100</v>
      </c>
      <c r="I49" s="330">
        <f t="shared" si="1"/>
        <v>100</v>
      </c>
      <c r="J49" s="327">
        <v>4</v>
      </c>
      <c r="K49" s="327">
        <v>1</v>
      </c>
      <c r="L49" s="331">
        <f t="shared" si="2"/>
        <v>12.5</v>
      </c>
      <c r="M49" s="331">
        <f t="shared" si="3"/>
        <v>4</v>
      </c>
      <c r="N49" s="420" t="str">
        <f t="shared" si="4"/>
        <v>DGRI</v>
      </c>
      <c r="O49" s="421"/>
      <c r="P49" s="421"/>
    </row>
    <row r="50" spans="2:16">
      <c r="B50" s="327" t="s">
        <v>68</v>
      </c>
      <c r="C50" s="327" t="s">
        <v>69</v>
      </c>
      <c r="D50" s="327">
        <v>8</v>
      </c>
      <c r="E50" s="327">
        <v>7</v>
      </c>
      <c r="F50" s="327">
        <v>8</v>
      </c>
      <c r="G50" s="327">
        <v>7</v>
      </c>
      <c r="H50" s="330">
        <f t="shared" si="0"/>
        <v>100</v>
      </c>
      <c r="I50" s="330">
        <f t="shared" si="1"/>
        <v>100</v>
      </c>
      <c r="J50" s="327">
        <v>0</v>
      </c>
      <c r="K50" s="327">
        <v>1</v>
      </c>
      <c r="L50" s="331">
        <f t="shared" si="2"/>
        <v>0</v>
      </c>
      <c r="M50" s="331">
        <f t="shared" si="3"/>
        <v>14.285714285714285</v>
      </c>
      <c r="N50" s="420" t="str">
        <f t="shared" si="4"/>
        <v>GCH</v>
      </c>
      <c r="O50" s="421"/>
      <c r="P50" s="421"/>
    </row>
    <row r="51" spans="2:16">
      <c r="B51" s="327" t="s">
        <v>183</v>
      </c>
      <c r="C51" s="327" t="s">
        <v>73</v>
      </c>
      <c r="D51" s="327">
        <v>40</v>
      </c>
      <c r="E51" s="327">
        <v>54</v>
      </c>
      <c r="F51" s="327">
        <v>40</v>
      </c>
      <c r="G51" s="327">
        <v>54</v>
      </c>
      <c r="H51" s="330">
        <f t="shared" si="0"/>
        <v>100</v>
      </c>
      <c r="I51" s="330">
        <f t="shared" si="1"/>
        <v>100</v>
      </c>
      <c r="J51" s="327">
        <v>3</v>
      </c>
      <c r="K51" s="327">
        <v>5</v>
      </c>
      <c r="L51" s="331">
        <f t="shared" si="2"/>
        <v>7.5</v>
      </c>
      <c r="M51" s="331">
        <f t="shared" si="3"/>
        <v>9.2592592592592595</v>
      </c>
      <c r="N51" s="420" t="str">
        <f t="shared" si="4"/>
        <v>FVRH</v>
      </c>
      <c r="O51" s="421"/>
      <c r="P51" s="421"/>
    </row>
    <row r="52" spans="2:16">
      <c r="B52" s="327" t="s">
        <v>184</v>
      </c>
      <c r="C52" s="327" t="s">
        <v>80</v>
      </c>
      <c r="D52" s="327">
        <v>1</v>
      </c>
      <c r="E52" s="327">
        <v>18</v>
      </c>
      <c r="F52" s="327">
        <v>1</v>
      </c>
      <c r="G52" s="327">
        <v>18</v>
      </c>
      <c r="H52" s="330">
        <f t="shared" si="0"/>
        <v>100</v>
      </c>
      <c r="I52" s="330">
        <f t="shared" si="1"/>
        <v>100</v>
      </c>
      <c r="J52" s="327">
        <v>0</v>
      </c>
      <c r="K52" s="327">
        <v>2</v>
      </c>
      <c r="L52" s="331">
        <f t="shared" si="2"/>
        <v>0</v>
      </c>
      <c r="M52" s="331">
        <f t="shared" si="3"/>
        <v>11.111111111111111</v>
      </c>
      <c r="N52" s="420" t="str">
        <f t="shared" si="4"/>
        <v>GRI</v>
      </c>
      <c r="O52" s="421"/>
      <c r="P52" s="421"/>
    </row>
    <row r="53" spans="2:16">
      <c r="B53" s="327" t="s">
        <v>95</v>
      </c>
      <c r="C53" s="327" t="s">
        <v>96</v>
      </c>
      <c r="D53" s="327">
        <v>3</v>
      </c>
      <c r="E53" s="327">
        <v>9</v>
      </c>
      <c r="F53" s="327">
        <v>3</v>
      </c>
      <c r="G53" s="327">
        <v>9</v>
      </c>
      <c r="H53" s="330">
        <f t="shared" si="0"/>
        <v>100</v>
      </c>
      <c r="I53" s="330">
        <f t="shared" si="1"/>
        <v>100</v>
      </c>
      <c r="J53" s="327">
        <v>0</v>
      </c>
      <c r="K53" s="327">
        <v>2</v>
      </c>
      <c r="L53" s="331">
        <f t="shared" si="2"/>
        <v>0</v>
      </c>
      <c r="M53" s="331">
        <f t="shared" si="3"/>
        <v>22.222222222222221</v>
      </c>
      <c r="N53" s="420" t="str">
        <f t="shared" si="4"/>
        <v>L&amp;I</v>
      </c>
      <c r="O53" s="421"/>
      <c r="P53" s="421"/>
    </row>
    <row r="54" spans="2:16">
      <c r="B54" s="327" t="s">
        <v>115</v>
      </c>
      <c r="C54" s="327" t="s">
        <v>116</v>
      </c>
      <c r="D54" s="327">
        <v>11</v>
      </c>
      <c r="E54" s="327">
        <v>10</v>
      </c>
      <c r="F54" s="327">
        <v>11</v>
      </c>
      <c r="G54" s="327">
        <v>10</v>
      </c>
      <c r="H54" s="330">
        <f t="shared" si="0"/>
        <v>100</v>
      </c>
      <c r="I54" s="330">
        <f t="shared" si="1"/>
        <v>100</v>
      </c>
      <c r="J54" s="327">
        <v>4</v>
      </c>
      <c r="K54" s="327">
        <v>1</v>
      </c>
      <c r="L54" s="331">
        <f t="shared" si="2"/>
        <v>36.363636363636367</v>
      </c>
      <c r="M54" s="331">
        <f t="shared" si="3"/>
        <v>10</v>
      </c>
      <c r="N54" s="420" t="str">
        <f t="shared" si="4"/>
        <v>WGH</v>
      </c>
      <c r="O54" s="421"/>
      <c r="P54" s="421"/>
    </row>
    <row r="55" spans="2:16">
      <c r="B55" s="327" t="s">
        <v>118</v>
      </c>
      <c r="C55" s="327" t="s">
        <v>119</v>
      </c>
      <c r="D55" s="327">
        <v>2</v>
      </c>
      <c r="E55" s="327">
        <v>5</v>
      </c>
      <c r="F55" s="327">
        <v>2</v>
      </c>
      <c r="G55" s="327">
        <v>5</v>
      </c>
      <c r="H55" s="330">
        <f t="shared" si="0"/>
        <v>100</v>
      </c>
      <c r="I55" s="330">
        <f t="shared" si="1"/>
        <v>100</v>
      </c>
      <c r="J55" s="327">
        <v>0</v>
      </c>
      <c r="K55" s="327">
        <v>1</v>
      </c>
      <c r="L55" s="331">
        <f t="shared" si="2"/>
        <v>0</v>
      </c>
      <c r="M55" s="331">
        <f t="shared" si="3"/>
        <v>20</v>
      </c>
      <c r="N55" s="420" t="str">
        <f t="shared" si="4"/>
        <v>Balfour</v>
      </c>
      <c r="O55" s="421"/>
      <c r="P55" s="421"/>
    </row>
    <row r="56" spans="2:16">
      <c r="B56" s="327" t="s">
        <v>124</v>
      </c>
      <c r="C56" s="327" t="s">
        <v>125</v>
      </c>
      <c r="D56" s="327">
        <v>52</v>
      </c>
      <c r="E56" s="327">
        <v>43</v>
      </c>
      <c r="F56" s="327">
        <v>52</v>
      </c>
      <c r="G56" s="327">
        <v>43</v>
      </c>
      <c r="H56" s="330">
        <f t="shared" si="0"/>
        <v>100</v>
      </c>
      <c r="I56" s="330">
        <f t="shared" si="1"/>
        <v>100</v>
      </c>
      <c r="J56" s="327">
        <v>3</v>
      </c>
      <c r="K56" s="327">
        <v>6</v>
      </c>
      <c r="L56" s="331">
        <f t="shared" si="2"/>
        <v>5.7692307692307692</v>
      </c>
      <c r="M56" s="331">
        <f t="shared" si="3"/>
        <v>13.953488372093023</v>
      </c>
      <c r="N56" s="420" t="str">
        <f t="shared" si="4"/>
        <v>Ninewells</v>
      </c>
      <c r="O56" s="421"/>
      <c r="P56" s="421"/>
    </row>
    <row r="57" spans="2:16">
      <c r="B57" s="327" t="s">
        <v>127</v>
      </c>
      <c r="C57" s="327" t="s">
        <v>128</v>
      </c>
      <c r="D57" s="327">
        <v>27</v>
      </c>
      <c r="E57" s="327">
        <v>23</v>
      </c>
      <c r="F57" s="327">
        <v>27</v>
      </c>
      <c r="G57" s="327">
        <v>23</v>
      </c>
      <c r="H57" s="330">
        <f t="shared" si="0"/>
        <v>100</v>
      </c>
      <c r="I57" s="330">
        <f t="shared" si="1"/>
        <v>100</v>
      </c>
      <c r="J57" s="327">
        <v>1</v>
      </c>
      <c r="K57" s="327">
        <v>2</v>
      </c>
      <c r="L57" s="331">
        <f t="shared" si="2"/>
        <v>3.7037037037037033</v>
      </c>
      <c r="M57" s="331">
        <f t="shared" si="3"/>
        <v>8.695652173913043</v>
      </c>
      <c r="N57" s="420" t="str">
        <f t="shared" si="4"/>
        <v>PRI</v>
      </c>
      <c r="O57" s="421"/>
      <c r="P57" s="421"/>
    </row>
    <row r="58" spans="2:16">
      <c r="B58" s="327" t="s">
        <v>112</v>
      </c>
      <c r="C58" s="327" t="s">
        <v>113</v>
      </c>
      <c r="D58" s="327">
        <v>26</v>
      </c>
      <c r="E58" s="327">
        <v>25</v>
      </c>
      <c r="F58" s="327">
        <v>26</v>
      </c>
      <c r="G58" s="327">
        <v>24</v>
      </c>
      <c r="H58" s="330">
        <f t="shared" si="0"/>
        <v>100</v>
      </c>
      <c r="I58" s="330">
        <f t="shared" si="1"/>
        <v>96</v>
      </c>
      <c r="J58" s="327">
        <v>2</v>
      </c>
      <c r="K58" s="327">
        <v>2</v>
      </c>
      <c r="L58" s="331">
        <f t="shared" si="2"/>
        <v>7.6923076923076925</v>
      </c>
      <c r="M58" s="331">
        <f t="shared" si="3"/>
        <v>8.3333333333333321</v>
      </c>
      <c r="N58" s="420" t="str">
        <f t="shared" si="4"/>
        <v>SJH</v>
      </c>
      <c r="O58" s="421"/>
      <c r="P58" s="421"/>
    </row>
    <row r="59" spans="2:16">
      <c r="B59" s="327" t="s">
        <v>121</v>
      </c>
      <c r="C59" s="327" t="s">
        <v>122</v>
      </c>
      <c r="D59" s="327">
        <v>2</v>
      </c>
      <c r="E59" s="327">
        <v>2</v>
      </c>
      <c r="F59" s="327">
        <v>2</v>
      </c>
      <c r="G59" s="327">
        <v>1</v>
      </c>
      <c r="H59" s="330">
        <f t="shared" si="0"/>
        <v>100</v>
      </c>
      <c r="I59" s="330">
        <f t="shared" si="1"/>
        <v>50</v>
      </c>
      <c r="J59" s="327">
        <v>0</v>
      </c>
      <c r="K59" s="327">
        <v>0</v>
      </c>
      <c r="L59" s="331">
        <f t="shared" si="2"/>
        <v>0</v>
      </c>
      <c r="M59" s="331">
        <f t="shared" si="3"/>
        <v>0</v>
      </c>
      <c r="N59" s="420" t="str">
        <f t="shared" si="4"/>
        <v>Gilbert Bain</v>
      </c>
      <c r="O59" s="421"/>
      <c r="P59" s="421"/>
    </row>
    <row r="60" spans="2:16">
      <c r="B60" s="327" t="s">
        <v>459</v>
      </c>
      <c r="C60" s="327" t="s">
        <v>460</v>
      </c>
      <c r="D60" s="327">
        <v>227</v>
      </c>
      <c r="E60" s="327">
        <v>186</v>
      </c>
      <c r="F60" s="327">
        <v>226</v>
      </c>
      <c r="G60" s="327">
        <v>184</v>
      </c>
      <c r="H60" s="330">
        <f t="shared" si="0"/>
        <v>99.559471365638757</v>
      </c>
      <c r="I60" s="330">
        <f t="shared" si="1"/>
        <v>98.924731182795696</v>
      </c>
      <c r="J60" s="327">
        <v>31</v>
      </c>
      <c r="K60" s="327">
        <v>26</v>
      </c>
      <c r="L60" s="331">
        <f t="shared" si="2"/>
        <v>13.716814159292035</v>
      </c>
      <c r="M60" s="331">
        <f t="shared" si="3"/>
        <v>14.130434782608695</v>
      </c>
      <c r="N60" s="420" t="str">
        <f t="shared" si="4"/>
        <v>QEUH</v>
      </c>
      <c r="O60" s="421"/>
      <c r="P60" s="421"/>
    </row>
    <row r="61" spans="2:16">
      <c r="B61" s="327" t="s">
        <v>174</v>
      </c>
      <c r="C61" s="327" t="s">
        <v>71</v>
      </c>
      <c r="D61" s="327">
        <v>60</v>
      </c>
      <c r="E61" s="327">
        <v>75</v>
      </c>
      <c r="F61" s="327">
        <v>59</v>
      </c>
      <c r="G61" s="327">
        <v>74</v>
      </c>
      <c r="H61" s="330">
        <f t="shared" si="0"/>
        <v>98.333333333333329</v>
      </c>
      <c r="I61" s="330">
        <f t="shared" si="1"/>
        <v>98.666666666666671</v>
      </c>
      <c r="J61" s="327">
        <v>7</v>
      </c>
      <c r="K61" s="327">
        <v>7</v>
      </c>
      <c r="L61" s="331">
        <f t="shared" si="2"/>
        <v>11.864406779661017</v>
      </c>
      <c r="M61" s="331">
        <f t="shared" si="3"/>
        <v>9.4594594594594597</v>
      </c>
      <c r="N61" s="420" t="str">
        <f t="shared" si="4"/>
        <v>VHK</v>
      </c>
      <c r="O61" s="421"/>
      <c r="P61" s="421"/>
    </row>
    <row r="62" spans="2:16">
      <c r="B62" s="327" t="s">
        <v>107</v>
      </c>
      <c r="C62" s="327" t="s">
        <v>106</v>
      </c>
      <c r="D62" s="327">
        <v>47</v>
      </c>
      <c r="E62" s="327">
        <v>32</v>
      </c>
      <c r="F62" s="327">
        <v>46</v>
      </c>
      <c r="G62" s="327">
        <v>31</v>
      </c>
      <c r="H62" s="330">
        <f t="shared" si="0"/>
        <v>97.872340425531917</v>
      </c>
      <c r="I62" s="330">
        <f t="shared" si="1"/>
        <v>96.875</v>
      </c>
      <c r="J62" s="327">
        <v>5</v>
      </c>
      <c r="K62" s="327">
        <v>3</v>
      </c>
      <c r="L62" s="331">
        <f t="shared" si="2"/>
        <v>10.869565217391305</v>
      </c>
      <c r="M62" s="331">
        <f t="shared" si="3"/>
        <v>9.67741935483871</v>
      </c>
      <c r="N62" s="420" t="str">
        <f t="shared" si="4"/>
        <v>Wishaw</v>
      </c>
      <c r="O62" s="421"/>
      <c r="P62" s="421"/>
    </row>
    <row r="63" spans="2:16">
      <c r="B63" s="327" t="s">
        <v>175</v>
      </c>
      <c r="C63" s="327" t="s">
        <v>75</v>
      </c>
      <c r="D63" s="327">
        <v>157</v>
      </c>
      <c r="E63" s="327">
        <v>119</v>
      </c>
      <c r="F63" s="327">
        <v>153</v>
      </c>
      <c r="G63" s="327">
        <v>116</v>
      </c>
      <c r="H63" s="330">
        <f t="shared" si="0"/>
        <v>97.452229299363054</v>
      </c>
      <c r="I63" s="330">
        <f t="shared" si="1"/>
        <v>97.47899159663865</v>
      </c>
      <c r="J63" s="327">
        <v>18</v>
      </c>
      <c r="K63" s="327">
        <v>14</v>
      </c>
      <c r="L63" s="331">
        <f t="shared" si="2"/>
        <v>11.76470588235294</v>
      </c>
      <c r="M63" s="331">
        <f t="shared" si="3"/>
        <v>12.068965517241379</v>
      </c>
      <c r="N63" s="420" t="str">
        <f t="shared" si="4"/>
        <v>ARI</v>
      </c>
      <c r="O63" s="421"/>
      <c r="P63" s="421"/>
    </row>
    <row r="64" spans="2:16">
      <c r="B64" s="327" t="s">
        <v>60</v>
      </c>
      <c r="C64" s="327" t="s">
        <v>61</v>
      </c>
      <c r="D64" s="327">
        <v>31</v>
      </c>
      <c r="E64" s="327">
        <v>69</v>
      </c>
      <c r="F64" s="327">
        <v>30</v>
      </c>
      <c r="G64" s="327">
        <v>67</v>
      </c>
      <c r="H64" s="330">
        <f t="shared" si="0"/>
        <v>96.774193548387103</v>
      </c>
      <c r="I64" s="330">
        <f t="shared" si="1"/>
        <v>97.101449275362313</v>
      </c>
      <c r="J64" s="327">
        <v>2</v>
      </c>
      <c r="K64" s="327">
        <v>6</v>
      </c>
      <c r="L64" s="331">
        <f t="shared" si="2"/>
        <v>6.666666666666667</v>
      </c>
      <c r="M64" s="331">
        <f t="shared" si="3"/>
        <v>8.9552238805970141</v>
      </c>
      <c r="N64" s="420" t="str">
        <f t="shared" si="4"/>
        <v>Crosshouse</v>
      </c>
      <c r="O64" s="421"/>
      <c r="P64" s="421"/>
    </row>
    <row r="65" spans="2:16">
      <c r="B65" s="327" t="s">
        <v>109</v>
      </c>
      <c r="C65" s="327" t="s">
        <v>110</v>
      </c>
      <c r="D65" s="327">
        <v>85</v>
      </c>
      <c r="E65" s="327">
        <v>102</v>
      </c>
      <c r="F65" s="327">
        <v>82</v>
      </c>
      <c r="G65" s="327">
        <v>96</v>
      </c>
      <c r="H65" s="330">
        <f t="shared" si="0"/>
        <v>96.470588235294116</v>
      </c>
      <c r="I65" s="330">
        <f t="shared" si="1"/>
        <v>94.117647058823522</v>
      </c>
      <c r="J65" s="327">
        <v>6</v>
      </c>
      <c r="K65" s="327">
        <v>11</v>
      </c>
      <c r="L65" s="331">
        <f t="shared" si="2"/>
        <v>7.3170731707317067</v>
      </c>
      <c r="M65" s="331">
        <f t="shared" si="3"/>
        <v>11.458333333333332</v>
      </c>
      <c r="N65" s="420" t="str">
        <f t="shared" si="4"/>
        <v>RIE</v>
      </c>
      <c r="O65" s="421"/>
      <c r="P65" s="421"/>
    </row>
    <row r="66" spans="2:16">
      <c r="B66" s="327" t="s">
        <v>101</v>
      </c>
      <c r="C66" s="327" t="s">
        <v>102</v>
      </c>
      <c r="D66" s="327">
        <v>26</v>
      </c>
      <c r="E66" s="327">
        <v>24</v>
      </c>
      <c r="F66" s="327">
        <v>25</v>
      </c>
      <c r="G66" s="327">
        <v>23</v>
      </c>
      <c r="H66" s="330">
        <f t="shared" si="0"/>
        <v>96.15384615384616</v>
      </c>
      <c r="I66" s="330">
        <f t="shared" si="1"/>
        <v>95.833333333333343</v>
      </c>
      <c r="J66" s="327">
        <v>0</v>
      </c>
      <c r="K66" s="327">
        <v>4</v>
      </c>
      <c r="L66" s="331">
        <f t="shared" si="2"/>
        <v>0</v>
      </c>
      <c r="M66" s="331">
        <f t="shared" si="3"/>
        <v>17.391304347826086</v>
      </c>
      <c r="N66" s="420" t="str">
        <f t="shared" si="4"/>
        <v>Hairmyres</v>
      </c>
      <c r="O66" s="421"/>
      <c r="P66" s="421"/>
    </row>
    <row r="67" spans="2:16">
      <c r="B67" s="327" t="s">
        <v>104</v>
      </c>
      <c r="C67" s="327" t="s">
        <v>105</v>
      </c>
      <c r="D67" s="327">
        <v>39</v>
      </c>
      <c r="E67" s="327">
        <v>23</v>
      </c>
      <c r="F67" s="327">
        <v>37</v>
      </c>
      <c r="G67" s="327">
        <v>23</v>
      </c>
      <c r="H67" s="330">
        <f t="shared" si="0"/>
        <v>94.871794871794862</v>
      </c>
      <c r="I67" s="330">
        <f t="shared" si="1"/>
        <v>100</v>
      </c>
      <c r="J67" s="327">
        <v>1</v>
      </c>
      <c r="K67" s="327">
        <v>2</v>
      </c>
      <c r="L67" s="331">
        <f t="shared" si="2"/>
        <v>2.7027027027027026</v>
      </c>
      <c r="M67" s="331">
        <f t="shared" si="3"/>
        <v>8.695652173913043</v>
      </c>
      <c r="N67" s="420" t="str">
        <f t="shared" si="4"/>
        <v>Monklands</v>
      </c>
      <c r="O67" s="421"/>
      <c r="P67" s="421"/>
    </row>
    <row r="68" spans="2:16">
      <c r="B68" s="327" t="s">
        <v>37</v>
      </c>
      <c r="C68" s="327" t="s">
        <v>133</v>
      </c>
      <c r="D68" s="327">
        <v>8</v>
      </c>
      <c r="E68" s="327">
        <v>3</v>
      </c>
      <c r="F68" s="327">
        <v>7</v>
      </c>
      <c r="G68" s="327">
        <v>3</v>
      </c>
      <c r="H68" s="330">
        <f t="shared" si="0"/>
        <v>87.5</v>
      </c>
      <c r="I68" s="330">
        <f t="shared" si="1"/>
        <v>100</v>
      </c>
      <c r="J68" s="327">
        <v>0</v>
      </c>
      <c r="K68" s="327">
        <v>1</v>
      </c>
      <c r="L68" s="331">
        <f t="shared" si="2"/>
        <v>0</v>
      </c>
      <c r="M68" s="331">
        <f t="shared" si="3"/>
        <v>33.333333333333329</v>
      </c>
      <c r="N68" s="420" t="str">
        <f t="shared" si="4"/>
        <v>Western Isles</v>
      </c>
      <c r="O68" s="421"/>
      <c r="P68" s="421"/>
    </row>
    <row r="69" spans="2:16">
      <c r="B69" s="327" t="s">
        <v>77</v>
      </c>
      <c r="C69" s="327" t="s">
        <v>78</v>
      </c>
      <c r="D69" s="327">
        <v>9</v>
      </c>
      <c r="E69" s="327">
        <v>21</v>
      </c>
      <c r="F69" s="327">
        <v>7</v>
      </c>
      <c r="G69" s="327">
        <v>19</v>
      </c>
      <c r="H69" s="330">
        <f t="shared" si="0"/>
        <v>77.777777777777786</v>
      </c>
      <c r="I69" s="330">
        <f t="shared" si="1"/>
        <v>90.476190476190482</v>
      </c>
      <c r="J69" s="327">
        <v>1</v>
      </c>
      <c r="K69" s="327">
        <v>3</v>
      </c>
      <c r="L69" s="331">
        <f t="shared" si="2"/>
        <v>14.285714285714285</v>
      </c>
      <c r="M69" s="331">
        <f t="shared" si="3"/>
        <v>15.789473684210526</v>
      </c>
      <c r="N69" s="420" t="str">
        <f t="shared" si="4"/>
        <v>Dr Grays</v>
      </c>
      <c r="O69" s="421"/>
      <c r="P69" s="421"/>
    </row>
    <row r="70" spans="2:16">
      <c r="B70" s="327" t="s">
        <v>92</v>
      </c>
      <c r="C70" s="327" t="s">
        <v>93</v>
      </c>
      <c r="D70" s="327">
        <v>11</v>
      </c>
      <c r="E70" s="327">
        <v>4</v>
      </c>
      <c r="F70" s="327">
        <v>6</v>
      </c>
      <c r="G70" s="327">
        <v>1</v>
      </c>
      <c r="H70" s="330">
        <f t="shared" si="0"/>
        <v>54.54545454545454</v>
      </c>
      <c r="I70" s="330">
        <f t="shared" si="1"/>
        <v>25</v>
      </c>
      <c r="J70" s="327">
        <v>0</v>
      </c>
      <c r="K70" s="327">
        <v>0</v>
      </c>
      <c r="L70" s="331">
        <f t="shared" si="2"/>
        <v>0</v>
      </c>
      <c r="M70" s="331">
        <f t="shared" si="3"/>
        <v>0</v>
      </c>
      <c r="N70" s="420" t="str">
        <f t="shared" si="4"/>
        <v>Caithness</v>
      </c>
      <c r="O70" s="421"/>
      <c r="P70" s="421"/>
    </row>
    <row r="71" spans="2:16">
      <c r="B71" s="327" t="s">
        <v>98</v>
      </c>
      <c r="C71" s="327" t="s">
        <v>99</v>
      </c>
      <c r="D71" s="327">
        <v>23</v>
      </c>
      <c r="E71" s="327">
        <v>18</v>
      </c>
      <c r="F71" s="327">
        <v>1</v>
      </c>
      <c r="G71" s="327">
        <v>4</v>
      </c>
      <c r="H71" s="330">
        <f t="shared" si="0"/>
        <v>4.3478260869565215</v>
      </c>
      <c r="I71" s="330">
        <f t="shared" si="1"/>
        <v>22.222222222222221</v>
      </c>
      <c r="J71" s="327">
        <v>1</v>
      </c>
      <c r="K71" s="327">
        <v>1</v>
      </c>
      <c r="L71" s="331">
        <f t="shared" si="2"/>
        <v>100</v>
      </c>
      <c r="M71" s="331">
        <f t="shared" si="3"/>
        <v>25</v>
      </c>
      <c r="N71" s="420" t="str">
        <f t="shared" si="4"/>
        <v>Raigmore</v>
      </c>
      <c r="O71" s="421"/>
      <c r="P71" s="421"/>
    </row>
    <row r="72" spans="2:16">
      <c r="B72" s="327" t="s">
        <v>89</v>
      </c>
      <c r="C72" s="327" t="s">
        <v>90</v>
      </c>
      <c r="D72" s="327">
        <v>3</v>
      </c>
      <c r="E72" s="327">
        <v>2</v>
      </c>
      <c r="F72" s="327">
        <v>0</v>
      </c>
      <c r="G72" s="327">
        <v>1</v>
      </c>
      <c r="H72" s="330">
        <f t="shared" si="0"/>
        <v>0</v>
      </c>
      <c r="I72" s="330">
        <f t="shared" si="1"/>
        <v>50</v>
      </c>
      <c r="J72" s="327">
        <v>0</v>
      </c>
      <c r="K72" s="327">
        <v>0</v>
      </c>
      <c r="L72" s="331" t="str">
        <f t="shared" si="2"/>
        <v/>
      </c>
      <c r="M72" s="331">
        <f t="shared" si="3"/>
        <v>0</v>
      </c>
      <c r="N72" s="420" t="str">
        <f t="shared" si="4"/>
        <v>Belford</v>
      </c>
      <c r="O72" s="421"/>
      <c r="P72" s="421"/>
    </row>
  </sheetData>
  <sheetProtection password="B8D9" sheet="1" objects="1" scenarios="1"/>
  <sortState ref="B51:N76">
    <sortCondition descending="1" ref="H51:H76"/>
  </sortState>
  <mergeCells count="9">
    <mergeCell ref="B1:I2"/>
    <mergeCell ref="L1:L4"/>
    <mergeCell ref="B3:I5"/>
    <mergeCell ref="D43:E43"/>
    <mergeCell ref="F43:G43"/>
    <mergeCell ref="H43:I43"/>
    <mergeCell ref="J43:K43"/>
    <mergeCell ref="L43:M43"/>
    <mergeCell ref="B41:L41"/>
  </mergeCells>
  <conditionalFormatting sqref="H46">
    <cfRule type="expression" dxfId="9" priority="4">
      <formula>$H$46="#DIV/0!"</formula>
    </cfRule>
    <cfRule type="expression" dxfId="8" priority="5">
      <formula>AND($H$46&lt;100,$H$46&gt;0)</formula>
    </cfRule>
  </conditionalFormatting>
  <conditionalFormatting sqref="H47:H72 H45 I45:I72">
    <cfRule type="expression" dxfId="7" priority="3">
      <formula>AND($H$46&lt;100,$H$46&gt;0)</formula>
    </cfRule>
  </conditionalFormatting>
  <conditionalFormatting sqref="L45:M72">
    <cfRule type="expression" dxfId="6" priority="1">
      <formula>AND($H$46&lt;100,$H$46&gt;0)</formula>
    </cfRule>
    <cfRule type="cellIs" dxfId="5" priority="2" operator="equal">
      <formula>100</formula>
    </cfRule>
  </conditionalFormatting>
  <hyperlinks>
    <hyperlink ref="L1" location="'List of Tables &amp; Charts'!A1" display="return to List of Tables &amp; Charts"/>
  </hyperlinks>
  <pageMargins left="0.70866141732283472" right="0.70866141732283472" top="0.74803149606299213" bottom="0.74803149606299213" header="0.31496062992125984" footer="0.31496062992125984"/>
  <pageSetup paperSize="9" scale="51"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64.xml><?xml version="1.0" encoding="utf-8"?>
<worksheet xmlns="http://schemas.openxmlformats.org/spreadsheetml/2006/main" xmlns:r="http://schemas.openxmlformats.org/officeDocument/2006/relationships">
  <sheetPr codeName="Sheet56">
    <pageSetUpPr fitToPage="1"/>
  </sheetPr>
  <dimension ref="B1:R65"/>
  <sheetViews>
    <sheetView zoomScaleNormal="100" workbookViewId="0"/>
  </sheetViews>
  <sheetFormatPr defaultRowHeight="15"/>
  <cols>
    <col min="1" max="1" width="2.42578125" customWidth="1"/>
  </cols>
  <sheetData>
    <row r="1" spans="2:18">
      <c r="B1" s="373" t="s">
        <v>635</v>
      </c>
      <c r="C1" s="373"/>
      <c r="D1" s="373"/>
      <c r="E1" s="373"/>
      <c r="F1" s="373"/>
      <c r="G1" s="373"/>
      <c r="H1" s="373"/>
      <c r="I1" s="373"/>
    </row>
    <row r="2" spans="2:18">
      <c r="B2" s="392"/>
      <c r="C2" s="203"/>
      <c r="D2" s="203"/>
      <c r="E2" s="203"/>
      <c r="F2" s="203"/>
      <c r="G2" s="203"/>
      <c r="H2" s="203"/>
      <c r="I2" s="203"/>
      <c r="R2" s="985" t="s">
        <v>45</v>
      </c>
    </row>
    <row r="3" spans="2:18">
      <c r="R3" s="985"/>
    </row>
    <row r="4" spans="2:18">
      <c r="R4" s="985"/>
    </row>
    <row r="5" spans="2:18">
      <c r="R5" s="985"/>
    </row>
    <row r="30" spans="2:14">
      <c r="B30" s="466" t="s">
        <v>543</v>
      </c>
      <c r="C30" s="383"/>
      <c r="D30" s="383"/>
      <c r="E30" s="383"/>
      <c r="F30" s="383"/>
      <c r="G30" s="383"/>
      <c r="H30" s="383"/>
      <c r="I30" s="383"/>
      <c r="J30" s="383"/>
      <c r="K30" s="383"/>
      <c r="L30" s="383"/>
      <c r="M30" s="383"/>
      <c r="N30" s="383"/>
    </row>
    <row r="31" spans="2:14">
      <c r="B31" s="381" t="s">
        <v>409</v>
      </c>
      <c r="C31" s="383"/>
      <c r="D31" s="383"/>
      <c r="E31" s="383"/>
      <c r="F31" s="383"/>
      <c r="G31" s="383"/>
      <c r="H31" s="383"/>
      <c r="I31" s="383"/>
      <c r="J31" s="383"/>
      <c r="K31" s="383"/>
      <c r="L31" s="383"/>
      <c r="M31" s="383"/>
      <c r="N31" s="383"/>
    </row>
    <row r="32" spans="2:14" ht="24.75" customHeight="1">
      <c r="B32" s="1174" t="s">
        <v>378</v>
      </c>
      <c r="C32" s="1174"/>
      <c r="D32" s="1174"/>
      <c r="E32" s="1174"/>
      <c r="F32" s="1174"/>
      <c r="G32" s="1174"/>
      <c r="H32" s="1174"/>
      <c r="I32" s="1174"/>
      <c r="J32" s="1174"/>
      <c r="K32" s="1174"/>
      <c r="L32" s="1174"/>
      <c r="M32" s="1174"/>
      <c r="N32" s="1174"/>
    </row>
    <row r="33" spans="2:14" ht="23.25" customHeight="1">
      <c r="B33" s="1174" t="s">
        <v>457</v>
      </c>
      <c r="C33" s="1174"/>
      <c r="D33" s="1174"/>
      <c r="E33" s="1174"/>
      <c r="F33" s="1174"/>
      <c r="G33" s="1174"/>
      <c r="H33" s="1174"/>
      <c r="I33" s="1174"/>
      <c r="J33" s="1174"/>
      <c r="K33" s="1174"/>
      <c r="L33" s="1174"/>
      <c r="M33" s="1174"/>
      <c r="N33" s="1174"/>
    </row>
    <row r="34" spans="2:14" ht="34.5" customHeight="1">
      <c r="B34" s="1173" t="s">
        <v>544</v>
      </c>
      <c r="C34" s="1173"/>
      <c r="D34" s="1173"/>
      <c r="E34" s="1173"/>
      <c r="F34" s="1173"/>
      <c r="G34" s="1173"/>
      <c r="H34" s="1173"/>
      <c r="I34" s="1173"/>
      <c r="J34" s="1173"/>
      <c r="K34" s="1173"/>
      <c r="L34" s="1173"/>
      <c r="M34" s="1173"/>
      <c r="N34" s="1173"/>
    </row>
    <row r="35" spans="2:14" ht="24.75" customHeight="1">
      <c r="B35" s="1172" t="s">
        <v>334</v>
      </c>
      <c r="C35" s="1172"/>
      <c r="D35" s="1172"/>
      <c r="E35" s="1172"/>
      <c r="F35" s="1172"/>
      <c r="G35" s="1172"/>
      <c r="H35" s="1172"/>
      <c r="I35" s="1172"/>
      <c r="J35" s="1172"/>
      <c r="K35" s="1172"/>
      <c r="L35" s="1172"/>
      <c r="M35" s="1172"/>
      <c r="N35" s="1172"/>
    </row>
    <row r="36" spans="2:14" ht="10.5" customHeight="1">
      <c r="B36" s="1172"/>
      <c r="C36" s="1172"/>
      <c r="D36" s="1172"/>
      <c r="E36" s="1172"/>
      <c r="F36" s="1172"/>
      <c r="G36" s="1172"/>
      <c r="H36" s="1172"/>
      <c r="I36" s="1172"/>
      <c r="J36" s="1172"/>
      <c r="K36" s="1172"/>
      <c r="L36" s="1172"/>
      <c r="M36" s="1172"/>
      <c r="N36" s="1172"/>
    </row>
    <row r="37" spans="2:14" s="784" customFormat="1">
      <c r="B37" s="205" t="s">
        <v>775</v>
      </c>
      <c r="C37" s="203"/>
      <c r="D37" s="204"/>
      <c r="E37" s="204"/>
      <c r="F37" s="204"/>
      <c r="G37" s="204"/>
      <c r="H37" s="204"/>
      <c r="I37" s="204"/>
      <c r="J37" s="203"/>
    </row>
    <row r="59" spans="2:14">
      <c r="B59" s="377"/>
    </row>
    <row r="60" spans="2:14">
      <c r="B60" s="383"/>
      <c r="C60" s="382"/>
      <c r="D60" s="382"/>
      <c r="E60" s="382"/>
      <c r="F60" s="382"/>
      <c r="G60" s="382"/>
      <c r="H60" s="382"/>
      <c r="I60" s="382"/>
      <c r="J60" s="382"/>
      <c r="K60" s="382"/>
      <c r="L60" s="382"/>
      <c r="M60" s="382"/>
      <c r="N60" s="382"/>
    </row>
    <row r="61" spans="2:14">
      <c r="B61" s="383"/>
      <c r="C61" s="382"/>
      <c r="D61" s="382"/>
      <c r="E61" s="382"/>
      <c r="F61" s="382"/>
      <c r="G61" s="382"/>
      <c r="H61" s="382"/>
      <c r="I61" s="382"/>
      <c r="J61" s="382"/>
      <c r="K61" s="382"/>
      <c r="L61" s="382"/>
      <c r="M61" s="382"/>
      <c r="N61" s="382"/>
    </row>
    <row r="62" spans="2:14" ht="23.25" customHeight="1">
      <c r="B62" s="1173"/>
      <c r="C62" s="1173"/>
      <c r="D62" s="1173"/>
      <c r="E62" s="1173"/>
      <c r="F62" s="1173"/>
      <c r="G62" s="1173"/>
      <c r="H62" s="1173"/>
      <c r="I62" s="1173"/>
      <c r="J62" s="1173"/>
      <c r="K62" s="1173"/>
      <c r="L62" s="1173"/>
      <c r="M62" s="1173"/>
      <c r="N62" s="1173"/>
    </row>
    <row r="63" spans="2:14">
      <c r="B63" s="383"/>
      <c r="C63" s="382"/>
      <c r="D63" s="382"/>
      <c r="E63" s="382"/>
      <c r="F63" s="382"/>
      <c r="G63" s="382"/>
      <c r="H63" s="382"/>
      <c r="I63" s="382"/>
      <c r="J63" s="382"/>
      <c r="K63" s="382"/>
      <c r="L63" s="382"/>
      <c r="M63" s="382"/>
      <c r="N63" s="382"/>
    </row>
    <row r="64" spans="2:14" ht="26.25" customHeight="1">
      <c r="B64" s="1172"/>
      <c r="C64" s="1172"/>
      <c r="D64" s="1172"/>
      <c r="E64" s="1172"/>
      <c r="F64" s="1172"/>
      <c r="G64" s="1172"/>
      <c r="H64" s="1172"/>
      <c r="I64" s="1172"/>
      <c r="J64" s="1172"/>
      <c r="K64" s="1172"/>
      <c r="L64" s="1172"/>
      <c r="M64" s="1172"/>
      <c r="N64" s="1172"/>
    </row>
    <row r="65" spans="2:14" ht="9.75" customHeight="1">
      <c r="B65" s="1172"/>
      <c r="C65" s="1172"/>
      <c r="D65" s="1172"/>
      <c r="E65" s="1172"/>
      <c r="F65" s="1172"/>
      <c r="G65" s="1172"/>
      <c r="H65" s="1172"/>
      <c r="I65" s="1172"/>
      <c r="J65" s="1172"/>
      <c r="K65" s="1172"/>
      <c r="L65" s="1172"/>
      <c r="M65" s="1172"/>
      <c r="N65" s="1172"/>
    </row>
  </sheetData>
  <sheetProtection password="B8D9" sheet="1" objects="1" scenarios="1"/>
  <mergeCells count="7">
    <mergeCell ref="B64:N65"/>
    <mergeCell ref="B34:N34"/>
    <mergeCell ref="R2:R5"/>
    <mergeCell ref="B32:N32"/>
    <mergeCell ref="B33:N33"/>
    <mergeCell ref="B35:N36"/>
    <mergeCell ref="B62:N62"/>
  </mergeCells>
  <hyperlinks>
    <hyperlink ref="R2" location="'List of Tables &amp; Charts'!A1" display="return to List of Tables &amp; Charts"/>
  </hyperlinks>
  <pageMargins left="0.70866141732283472" right="0.70866141732283472" top="0.74803149606299213" bottom="0.74803149606299213" header="0.31496062992125984" footer="0.31496062992125984"/>
  <pageSetup paperSize="9" scale="48"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65.xml><?xml version="1.0" encoding="utf-8"?>
<worksheet xmlns="http://schemas.openxmlformats.org/spreadsheetml/2006/main" xmlns:r="http://schemas.openxmlformats.org/officeDocument/2006/relationships">
  <sheetPr codeName="Sheet57">
    <pageSetUpPr fitToPage="1"/>
  </sheetPr>
  <dimension ref="B1:S36"/>
  <sheetViews>
    <sheetView zoomScaleNormal="100" workbookViewId="0"/>
  </sheetViews>
  <sheetFormatPr defaultRowHeight="15"/>
  <cols>
    <col min="1" max="1" width="2.42578125" customWidth="1"/>
  </cols>
  <sheetData>
    <row r="1" spans="2:19">
      <c r="B1" s="373" t="s">
        <v>636</v>
      </c>
      <c r="C1" s="373"/>
      <c r="D1" s="373"/>
      <c r="E1" s="373"/>
      <c r="F1" s="373"/>
      <c r="G1" s="373"/>
      <c r="H1" s="373"/>
      <c r="I1" s="373"/>
    </row>
    <row r="2" spans="2:19">
      <c r="B2" s="392"/>
      <c r="C2" s="203"/>
      <c r="D2" s="203"/>
      <c r="E2" s="203"/>
      <c r="F2" s="203"/>
      <c r="G2" s="203"/>
      <c r="H2" s="203"/>
      <c r="I2" s="203"/>
      <c r="J2" s="203"/>
      <c r="S2" s="985" t="s">
        <v>45</v>
      </c>
    </row>
    <row r="3" spans="2:19">
      <c r="S3" s="985"/>
    </row>
    <row r="4" spans="2:19">
      <c r="S4" s="985"/>
    </row>
    <row r="5" spans="2:19">
      <c r="S5" s="985"/>
    </row>
    <row r="29" spans="2:14">
      <c r="B29" s="466" t="s">
        <v>545</v>
      </c>
      <c r="C29" s="383"/>
      <c r="D29" s="383"/>
      <c r="E29" s="383"/>
      <c r="F29" s="383"/>
      <c r="G29" s="383"/>
      <c r="H29" s="383"/>
      <c r="I29" s="383"/>
      <c r="J29" s="383"/>
      <c r="K29" s="383"/>
      <c r="L29" s="383"/>
      <c r="M29" s="383"/>
      <c r="N29" s="383"/>
    </row>
    <row r="30" spans="2:14">
      <c r="B30" s="383" t="s">
        <v>637</v>
      </c>
      <c r="C30" s="383"/>
      <c r="D30" s="383"/>
      <c r="E30" s="383"/>
      <c r="F30" s="383"/>
      <c r="G30" s="383"/>
      <c r="H30" s="383"/>
      <c r="I30" s="383"/>
      <c r="J30" s="383"/>
      <c r="K30" s="383"/>
      <c r="L30" s="383"/>
      <c r="M30" s="383"/>
      <c r="N30" s="383"/>
    </row>
    <row r="31" spans="2:14">
      <c r="B31" s="383" t="s">
        <v>335</v>
      </c>
      <c r="C31" s="383"/>
      <c r="D31" s="383"/>
      <c r="E31" s="383"/>
      <c r="F31" s="383"/>
      <c r="G31" s="383"/>
      <c r="H31" s="383"/>
      <c r="I31" s="383"/>
      <c r="J31" s="383"/>
      <c r="K31" s="383"/>
      <c r="L31" s="383"/>
      <c r="M31" s="383"/>
      <c r="N31" s="383"/>
    </row>
    <row r="32" spans="2:14" ht="23.25" customHeight="1">
      <c r="B32" s="1173" t="s">
        <v>458</v>
      </c>
      <c r="C32" s="1173"/>
      <c r="D32" s="1173"/>
      <c r="E32" s="1173"/>
      <c r="F32" s="1173"/>
      <c r="G32" s="1173"/>
      <c r="H32" s="1173"/>
      <c r="I32" s="1173"/>
      <c r="J32" s="1173"/>
      <c r="K32" s="1173"/>
      <c r="L32" s="1173"/>
      <c r="M32" s="1173"/>
      <c r="N32" s="1173"/>
    </row>
    <row r="33" spans="2:14" ht="35.25" customHeight="1">
      <c r="B33" s="1173" t="s">
        <v>566</v>
      </c>
      <c r="C33" s="1173"/>
      <c r="D33" s="1173"/>
      <c r="E33" s="1173"/>
      <c r="F33" s="1173"/>
      <c r="G33" s="1173"/>
      <c r="H33" s="1173"/>
      <c r="I33" s="1173"/>
      <c r="J33" s="1173"/>
      <c r="K33" s="1173"/>
      <c r="L33" s="1173"/>
      <c r="M33" s="1173"/>
      <c r="N33" s="1173"/>
    </row>
    <row r="34" spans="2:14" ht="26.25" customHeight="1">
      <c r="B34" s="1172" t="s">
        <v>334</v>
      </c>
      <c r="C34" s="1172"/>
      <c r="D34" s="1172"/>
      <c r="E34" s="1172"/>
      <c r="F34" s="1172"/>
      <c r="G34" s="1172"/>
      <c r="H34" s="1172"/>
      <c r="I34" s="1172"/>
      <c r="J34" s="1172"/>
      <c r="K34" s="1172"/>
      <c r="L34" s="1172"/>
      <c r="M34" s="1172"/>
      <c r="N34" s="1172"/>
    </row>
    <row r="35" spans="2:14" ht="9.75" customHeight="1">
      <c r="B35" s="1172"/>
      <c r="C35" s="1172"/>
      <c r="D35" s="1172"/>
      <c r="E35" s="1172"/>
      <c r="F35" s="1172"/>
      <c r="G35" s="1172"/>
      <c r="H35" s="1172"/>
      <c r="I35" s="1172"/>
      <c r="J35" s="1172"/>
      <c r="K35" s="1172"/>
      <c r="L35" s="1172"/>
      <c r="M35" s="1172"/>
      <c r="N35" s="1172"/>
    </row>
    <row r="36" spans="2:14" s="784" customFormat="1">
      <c r="B36" s="205" t="s">
        <v>775</v>
      </c>
      <c r="C36" s="203"/>
      <c r="D36" s="204"/>
      <c r="E36" s="204"/>
      <c r="F36" s="204"/>
      <c r="G36" s="204"/>
      <c r="H36" s="204"/>
      <c r="I36" s="204"/>
      <c r="J36" s="203"/>
    </row>
  </sheetData>
  <sheetProtection password="B8D9" sheet="1" objects="1" scenarios="1"/>
  <mergeCells count="4">
    <mergeCell ref="B32:N32"/>
    <mergeCell ref="B34:N35"/>
    <mergeCell ref="B33:N33"/>
    <mergeCell ref="S2:S5"/>
  </mergeCells>
  <hyperlinks>
    <hyperlink ref="S2" location="'List of Tables &amp; Charts'!A1" display="return to List of Tables &amp; Charts"/>
  </hyperlinks>
  <pageMargins left="0.70866141732283472" right="0.70866141732283472" top="0.74803149606299213" bottom="0.74803149606299213" header="0.31496062992125984" footer="0.31496062992125984"/>
  <pageSetup paperSize="9" scale="78"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66.xml><?xml version="1.0" encoding="utf-8"?>
<worksheet xmlns="http://schemas.openxmlformats.org/spreadsheetml/2006/main" xmlns:r="http://schemas.openxmlformats.org/officeDocument/2006/relationships">
  <sheetPr codeName="Sheet58">
    <pageSetUpPr fitToPage="1"/>
  </sheetPr>
  <dimension ref="A1:O33"/>
  <sheetViews>
    <sheetView workbookViewId="0"/>
  </sheetViews>
  <sheetFormatPr defaultRowHeight="15"/>
  <cols>
    <col min="1" max="1" width="1.7109375" customWidth="1"/>
  </cols>
  <sheetData>
    <row r="1" spans="1:15" s="397" customFormat="1" ht="12.75" customHeight="1">
      <c r="A1" s="1"/>
      <c r="B1" s="969" t="s">
        <v>701</v>
      </c>
      <c r="C1" s="969"/>
      <c r="D1" s="969"/>
      <c r="E1" s="969"/>
      <c r="F1" s="969"/>
      <c r="G1" s="969"/>
      <c r="H1" s="969"/>
      <c r="I1" s="969"/>
      <c r="J1" s="969"/>
      <c r="K1" s="969"/>
      <c r="L1" s="969"/>
      <c r="M1" s="969"/>
      <c r="N1" s="969"/>
      <c r="O1" s="985" t="s">
        <v>45</v>
      </c>
    </row>
    <row r="2" spans="1:15" s="397" customFormat="1" ht="12.75">
      <c r="B2" s="969"/>
      <c r="C2" s="969"/>
      <c r="D2" s="969"/>
      <c r="E2" s="969"/>
      <c r="F2" s="969"/>
      <c r="G2" s="969"/>
      <c r="H2" s="969"/>
      <c r="I2" s="969"/>
      <c r="J2" s="969"/>
      <c r="K2" s="969"/>
      <c r="L2" s="969"/>
      <c r="M2" s="969"/>
      <c r="N2" s="969"/>
      <c r="O2" s="985"/>
    </row>
    <row r="3" spans="1:15" s="397" customFormat="1" ht="12.75">
      <c r="B3" s="969"/>
      <c r="C3" s="969"/>
      <c r="D3" s="969"/>
      <c r="E3" s="969"/>
      <c r="F3" s="969"/>
      <c r="G3" s="969"/>
      <c r="H3" s="969"/>
      <c r="I3" s="969"/>
      <c r="J3" s="969"/>
      <c r="K3" s="969"/>
      <c r="L3" s="969"/>
      <c r="M3" s="969"/>
      <c r="N3" s="969"/>
      <c r="O3" s="985"/>
    </row>
    <row r="4" spans="1:15" s="113" customFormat="1" ht="12.75" customHeight="1">
      <c r="B4" s="280" t="s">
        <v>358</v>
      </c>
      <c r="C4" s="280"/>
      <c r="D4" s="280"/>
      <c r="E4" s="280"/>
      <c r="F4" s="280"/>
      <c r="G4" s="280"/>
      <c r="H4" s="280"/>
      <c r="I4" s="280"/>
      <c r="J4" s="280"/>
      <c r="K4" s="280"/>
      <c r="L4" s="280"/>
      <c r="M4" s="280"/>
      <c r="N4" s="280"/>
      <c r="O4" s="985"/>
    </row>
    <row r="5" spans="1:15" s="397" customFormat="1" ht="12.75" customHeight="1">
      <c r="B5" s="391" t="s">
        <v>360</v>
      </c>
      <c r="C5" s="279"/>
      <c r="D5" s="279"/>
      <c r="E5" s="279"/>
      <c r="F5" s="279"/>
      <c r="G5" s="279"/>
      <c r="H5" s="279"/>
      <c r="I5" s="279"/>
      <c r="J5" s="279"/>
      <c r="K5" s="279"/>
      <c r="L5" s="279"/>
      <c r="M5" s="279"/>
      <c r="N5" s="289"/>
      <c r="O5" s="396"/>
    </row>
    <row r="6" spans="1:15" s="397" customFormat="1" ht="12.75">
      <c r="B6" s="391" t="s">
        <v>359</v>
      </c>
      <c r="C6" s="279"/>
      <c r="D6" s="279"/>
      <c r="E6" s="279"/>
      <c r="F6" s="279"/>
      <c r="G6" s="279"/>
      <c r="H6" s="279"/>
      <c r="I6" s="279"/>
      <c r="J6" s="279"/>
      <c r="K6" s="279"/>
      <c r="L6" s="279"/>
      <c r="M6" s="279"/>
      <c r="N6" s="987" t="s">
        <v>552</v>
      </c>
      <c r="O6" s="987"/>
    </row>
    <row r="32" spans="2:2">
      <c r="B32" s="32" t="s">
        <v>546</v>
      </c>
    </row>
    <row r="33" spans="2:4">
      <c r="B33" s="422" t="s">
        <v>380</v>
      </c>
      <c r="D33" s="423" t="s">
        <v>206</v>
      </c>
    </row>
  </sheetData>
  <sheetProtection password="B8D9" sheet="1" objects="1" scenarios="1"/>
  <mergeCells count="3">
    <mergeCell ref="B1:N3"/>
    <mergeCell ref="O1:O4"/>
    <mergeCell ref="N6:O6"/>
  </mergeCells>
  <hyperlinks>
    <hyperlink ref="O1" location="'List of Tables &amp; Charts'!A1" display="return to List of Tables &amp; Charts"/>
    <hyperlink ref="D33" location="'Chart 2a'!A1" display="Chart 2a"/>
    <hyperlink ref="N6:O6" location="'Chart 17a DATA'!A1" display="view Chart 17a data"/>
  </hyperlinks>
  <pageMargins left="0.70866141732283472" right="0.70866141732283472" top="0.74803149606299213" bottom="0.74803149606299213" header="0.31496062992125984" footer="0.31496062992125984"/>
  <pageSetup paperSize="9" scale="9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67.xml><?xml version="1.0" encoding="utf-8"?>
<worksheet xmlns="http://schemas.openxmlformats.org/spreadsheetml/2006/main" xmlns:r="http://schemas.openxmlformats.org/officeDocument/2006/relationships">
  <sheetPr codeName="Sheet59">
    <pageSetUpPr fitToPage="1"/>
  </sheetPr>
  <dimension ref="A1:S19"/>
  <sheetViews>
    <sheetView workbookViewId="0">
      <selection sqref="A1:A2"/>
    </sheetView>
  </sheetViews>
  <sheetFormatPr defaultRowHeight="11.25"/>
  <cols>
    <col min="1" max="1" width="22.42578125" style="387" bestFit="1" customWidth="1"/>
    <col min="2" max="19" width="7.7109375" style="387" customWidth="1"/>
    <col min="20" max="16384" width="9.140625" style="387"/>
  </cols>
  <sheetData>
    <row r="1" spans="1:19" ht="15" customHeight="1">
      <c r="A1" s="1175" t="s">
        <v>19</v>
      </c>
      <c r="B1" s="1177" t="s">
        <v>366</v>
      </c>
      <c r="C1" s="1177"/>
      <c r="D1" s="1177"/>
      <c r="E1" s="1177"/>
      <c r="F1" s="1177"/>
      <c r="G1" s="1177"/>
      <c r="H1" s="1177" t="s">
        <v>364</v>
      </c>
      <c r="I1" s="1177"/>
      <c r="J1" s="1177"/>
      <c r="K1" s="1177"/>
      <c r="L1" s="1177"/>
      <c r="M1" s="1177"/>
      <c r="N1" s="1177" t="s">
        <v>365</v>
      </c>
      <c r="O1" s="1177"/>
      <c r="P1" s="1177"/>
      <c r="Q1" s="1177"/>
      <c r="R1" s="1178"/>
      <c r="S1" s="1179"/>
    </row>
    <row r="2" spans="1:19">
      <c r="A2" s="1176"/>
      <c r="B2" s="389">
        <v>2011</v>
      </c>
      <c r="C2" s="389">
        <v>2012</v>
      </c>
      <c r="D2" s="389">
        <v>2013</v>
      </c>
      <c r="E2" s="389">
        <v>2014</v>
      </c>
      <c r="F2" s="389">
        <v>2015</v>
      </c>
      <c r="G2" s="389">
        <v>2016</v>
      </c>
      <c r="H2" s="389">
        <v>2011</v>
      </c>
      <c r="I2" s="389">
        <v>2012</v>
      </c>
      <c r="J2" s="389">
        <v>2013</v>
      </c>
      <c r="K2" s="389">
        <v>2014</v>
      </c>
      <c r="L2" s="389">
        <v>2015</v>
      </c>
      <c r="M2" s="389">
        <v>2016</v>
      </c>
      <c r="N2" s="389">
        <v>2011</v>
      </c>
      <c r="O2" s="389">
        <v>2012</v>
      </c>
      <c r="P2" s="389">
        <v>2013</v>
      </c>
      <c r="Q2" s="389">
        <v>2014</v>
      </c>
      <c r="R2" s="755">
        <v>2015</v>
      </c>
      <c r="S2" s="390">
        <v>2016</v>
      </c>
    </row>
    <row r="3" spans="1:19">
      <c r="A3" s="465" t="s">
        <v>344</v>
      </c>
      <c r="B3" s="402">
        <f>SUM(B4:B17)</f>
        <v>6935</v>
      </c>
      <c r="C3" s="402">
        <f t="shared" ref="C3:M3" si="0">SUM(C4:C17)</f>
        <v>6953</v>
      </c>
      <c r="D3" s="402">
        <f t="shared" si="0"/>
        <v>7487</v>
      </c>
      <c r="E3" s="402">
        <f t="shared" si="0"/>
        <v>7425</v>
      </c>
      <c r="F3" s="402">
        <f t="shared" si="0"/>
        <v>7729</v>
      </c>
      <c r="G3" s="402">
        <f t="shared" si="0"/>
        <v>7975</v>
      </c>
      <c r="H3" s="402">
        <f t="shared" si="0"/>
        <v>5255</v>
      </c>
      <c r="I3" s="402">
        <f t="shared" si="0"/>
        <v>5437</v>
      </c>
      <c r="J3" s="402">
        <f t="shared" si="0"/>
        <v>6085</v>
      </c>
      <c r="K3" s="402">
        <f t="shared" si="0"/>
        <v>5908</v>
      </c>
      <c r="L3" s="402">
        <f t="shared" si="0"/>
        <v>6046</v>
      </c>
      <c r="M3" s="402">
        <f t="shared" si="0"/>
        <v>6519</v>
      </c>
      <c r="N3" s="388">
        <f>H3/B3*100</f>
        <v>75.775054073540019</v>
      </c>
      <c r="O3" s="388">
        <f>I3/C3*100</f>
        <v>78.196461958866678</v>
      </c>
      <c r="P3" s="388">
        <f>J3/D3*100</f>
        <v>81.274208628289031</v>
      </c>
      <c r="Q3" s="388">
        <f>K3/E3*100</f>
        <v>79.569023569023571</v>
      </c>
      <c r="R3" s="388">
        <f>L3/F3*100</f>
        <v>78.224867382585074</v>
      </c>
      <c r="S3" s="388">
        <f t="shared" ref="S3:S17" si="1">M3/G3*100</f>
        <v>81.742946708463947</v>
      </c>
    </row>
    <row r="4" spans="1:19">
      <c r="A4" s="465" t="s">
        <v>702</v>
      </c>
      <c r="B4" s="402">
        <v>541</v>
      </c>
      <c r="C4" s="402">
        <v>563</v>
      </c>
      <c r="D4" s="402">
        <v>597</v>
      </c>
      <c r="E4" s="402">
        <v>531</v>
      </c>
      <c r="F4" s="402">
        <v>556</v>
      </c>
      <c r="G4" s="402">
        <v>727</v>
      </c>
      <c r="H4" s="402">
        <v>491</v>
      </c>
      <c r="I4" s="402">
        <v>495</v>
      </c>
      <c r="J4" s="402">
        <v>546</v>
      </c>
      <c r="K4" s="402">
        <v>466</v>
      </c>
      <c r="L4" s="402">
        <v>495</v>
      </c>
      <c r="M4" s="402">
        <v>680</v>
      </c>
      <c r="N4" s="388">
        <f t="shared" ref="N4:N17" si="2">H4/B4*100</f>
        <v>90.757855822550837</v>
      </c>
      <c r="O4" s="388">
        <f t="shared" ref="O4:O17" si="3">I4/C4*100</f>
        <v>87.921847246891645</v>
      </c>
      <c r="P4" s="388">
        <f t="shared" ref="P4:P17" si="4">J4/D4*100</f>
        <v>91.457286432160799</v>
      </c>
      <c r="Q4" s="388">
        <f t="shared" ref="Q4:Q17" si="5">K4/E4*100</f>
        <v>87.758945386064042</v>
      </c>
      <c r="R4" s="388">
        <f t="shared" ref="R4:R17" si="6">L4/F4*100</f>
        <v>89.02877697841727</v>
      </c>
      <c r="S4" s="388">
        <f t="shared" si="1"/>
        <v>93.535075653370015</v>
      </c>
    </row>
    <row r="5" spans="1:19">
      <c r="A5" s="465" t="s">
        <v>346</v>
      </c>
      <c r="B5" s="402">
        <v>187</v>
      </c>
      <c r="C5" s="402">
        <v>181</v>
      </c>
      <c r="D5" s="402">
        <v>184</v>
      </c>
      <c r="E5" s="402">
        <v>173</v>
      </c>
      <c r="F5" s="402">
        <v>197</v>
      </c>
      <c r="G5" s="402">
        <v>171</v>
      </c>
      <c r="H5" s="402">
        <v>124</v>
      </c>
      <c r="I5" s="402">
        <v>149</v>
      </c>
      <c r="J5" s="402">
        <v>179</v>
      </c>
      <c r="K5" s="402">
        <v>157</v>
      </c>
      <c r="L5" s="402">
        <v>161</v>
      </c>
      <c r="M5" s="402">
        <v>146</v>
      </c>
      <c r="N5" s="388">
        <f t="shared" si="2"/>
        <v>66.310160427807489</v>
      </c>
      <c r="O5" s="388">
        <f t="shared" si="3"/>
        <v>82.320441988950279</v>
      </c>
      <c r="P5" s="388">
        <f t="shared" si="4"/>
        <v>97.282608695652172</v>
      </c>
      <c r="Q5" s="388">
        <f t="shared" si="5"/>
        <v>90.751445086705203</v>
      </c>
      <c r="R5" s="388">
        <f t="shared" si="6"/>
        <v>81.725888324873097</v>
      </c>
      <c r="S5" s="388">
        <f t="shared" si="1"/>
        <v>85.380116959064324</v>
      </c>
    </row>
    <row r="6" spans="1:19">
      <c r="A6" s="465" t="s">
        <v>703</v>
      </c>
      <c r="B6" s="402">
        <v>227</v>
      </c>
      <c r="C6" s="402">
        <v>253</v>
      </c>
      <c r="D6" s="402">
        <v>256</v>
      </c>
      <c r="E6" s="402">
        <v>243</v>
      </c>
      <c r="F6" s="402">
        <v>241</v>
      </c>
      <c r="G6" s="402">
        <v>194</v>
      </c>
      <c r="H6" s="402">
        <v>184</v>
      </c>
      <c r="I6" s="402">
        <v>207</v>
      </c>
      <c r="J6" s="402">
        <v>219</v>
      </c>
      <c r="K6" s="402">
        <v>208</v>
      </c>
      <c r="L6" s="402">
        <v>197</v>
      </c>
      <c r="M6" s="402">
        <v>152</v>
      </c>
      <c r="N6" s="388">
        <f t="shared" si="2"/>
        <v>81.057268722466958</v>
      </c>
      <c r="O6" s="388">
        <f t="shared" si="3"/>
        <v>81.818181818181827</v>
      </c>
      <c r="P6" s="388">
        <f t="shared" si="4"/>
        <v>85.546875</v>
      </c>
      <c r="Q6" s="388">
        <f t="shared" si="5"/>
        <v>85.596707818930042</v>
      </c>
      <c r="R6" s="388">
        <f t="shared" si="6"/>
        <v>81.742738589211612</v>
      </c>
      <c r="S6" s="388">
        <f t="shared" si="1"/>
        <v>78.350515463917532</v>
      </c>
    </row>
    <row r="7" spans="1:19">
      <c r="A7" s="465" t="s">
        <v>348</v>
      </c>
      <c r="B7" s="402">
        <v>441</v>
      </c>
      <c r="C7" s="402">
        <v>440</v>
      </c>
      <c r="D7" s="402">
        <v>463</v>
      </c>
      <c r="E7" s="402">
        <v>473</v>
      </c>
      <c r="F7" s="402">
        <v>501</v>
      </c>
      <c r="G7" s="402">
        <v>523</v>
      </c>
      <c r="H7" s="402">
        <v>340</v>
      </c>
      <c r="I7" s="402">
        <v>347</v>
      </c>
      <c r="J7" s="402">
        <v>419</v>
      </c>
      <c r="K7" s="402">
        <v>407</v>
      </c>
      <c r="L7" s="402">
        <v>424</v>
      </c>
      <c r="M7" s="402">
        <v>458</v>
      </c>
      <c r="N7" s="388">
        <f t="shared" si="2"/>
        <v>77.097505668934247</v>
      </c>
      <c r="O7" s="388">
        <f t="shared" si="3"/>
        <v>78.863636363636374</v>
      </c>
      <c r="P7" s="388">
        <f t="shared" si="4"/>
        <v>90.496760259179268</v>
      </c>
      <c r="Q7" s="388">
        <f t="shared" si="5"/>
        <v>86.04651162790698</v>
      </c>
      <c r="R7" s="388">
        <f t="shared" si="6"/>
        <v>84.63073852295409</v>
      </c>
      <c r="S7" s="388">
        <f t="shared" si="1"/>
        <v>87.571701720841304</v>
      </c>
    </row>
    <row r="8" spans="1:19">
      <c r="A8" s="465" t="s">
        <v>349</v>
      </c>
      <c r="B8" s="402">
        <v>437</v>
      </c>
      <c r="C8" s="402">
        <v>419</v>
      </c>
      <c r="D8" s="402">
        <v>399</v>
      </c>
      <c r="E8" s="402">
        <v>435</v>
      </c>
      <c r="F8" s="402">
        <v>491</v>
      </c>
      <c r="G8" s="402">
        <v>482</v>
      </c>
      <c r="H8" s="402">
        <v>278</v>
      </c>
      <c r="I8" s="402">
        <v>347</v>
      </c>
      <c r="J8" s="402">
        <v>290</v>
      </c>
      <c r="K8" s="402">
        <v>353</v>
      </c>
      <c r="L8" s="402">
        <v>375</v>
      </c>
      <c r="M8" s="402">
        <v>412</v>
      </c>
      <c r="N8" s="388">
        <f t="shared" si="2"/>
        <v>63.615560640732262</v>
      </c>
      <c r="O8" s="388">
        <f t="shared" si="3"/>
        <v>82.816229116945109</v>
      </c>
      <c r="P8" s="388">
        <f t="shared" si="4"/>
        <v>72.681704260651628</v>
      </c>
      <c r="Q8" s="388">
        <f t="shared" si="5"/>
        <v>81.149425287356323</v>
      </c>
      <c r="R8" s="388">
        <f t="shared" si="6"/>
        <v>76.374745417515271</v>
      </c>
      <c r="S8" s="388">
        <f t="shared" si="1"/>
        <v>85.477178423236509</v>
      </c>
    </row>
    <row r="9" spans="1:19">
      <c r="A9" s="465" t="s">
        <v>704</v>
      </c>
      <c r="B9" s="402">
        <v>541</v>
      </c>
      <c r="C9" s="402">
        <v>542</v>
      </c>
      <c r="D9" s="402">
        <v>578</v>
      </c>
      <c r="E9" s="402">
        <v>602</v>
      </c>
      <c r="F9" s="402">
        <v>674</v>
      </c>
      <c r="G9" s="402">
        <v>665</v>
      </c>
      <c r="H9" s="402">
        <v>416</v>
      </c>
      <c r="I9" s="402">
        <v>404</v>
      </c>
      <c r="J9" s="402">
        <v>431</v>
      </c>
      <c r="K9" s="402">
        <v>442</v>
      </c>
      <c r="L9" s="402">
        <v>481</v>
      </c>
      <c r="M9" s="402">
        <v>499</v>
      </c>
      <c r="N9" s="388">
        <f t="shared" si="2"/>
        <v>76.894639556377072</v>
      </c>
      <c r="O9" s="388">
        <f t="shared" si="3"/>
        <v>74.538745387453872</v>
      </c>
      <c r="P9" s="388">
        <f t="shared" si="4"/>
        <v>74.567474048442904</v>
      </c>
      <c r="Q9" s="388">
        <f t="shared" si="5"/>
        <v>73.421926910299007</v>
      </c>
      <c r="R9" s="388">
        <f t="shared" si="6"/>
        <v>71.36498516320475</v>
      </c>
      <c r="S9" s="388">
        <f t="shared" si="1"/>
        <v>75.037593984962399</v>
      </c>
    </row>
    <row r="10" spans="1:19">
      <c r="A10" s="465" t="s">
        <v>351</v>
      </c>
      <c r="B10" s="402">
        <v>1840</v>
      </c>
      <c r="C10" s="402">
        <v>2009</v>
      </c>
      <c r="D10" s="402">
        <v>1996</v>
      </c>
      <c r="E10" s="402">
        <v>2013</v>
      </c>
      <c r="F10" s="402">
        <v>2036</v>
      </c>
      <c r="G10" s="402">
        <v>2156</v>
      </c>
      <c r="H10" s="402">
        <v>1295</v>
      </c>
      <c r="I10" s="402">
        <v>1469</v>
      </c>
      <c r="J10" s="402">
        <v>1635</v>
      </c>
      <c r="K10" s="402">
        <v>1651</v>
      </c>
      <c r="L10" s="402">
        <v>1752</v>
      </c>
      <c r="M10" s="402">
        <v>1844</v>
      </c>
      <c r="N10" s="388">
        <f t="shared" si="2"/>
        <v>70.380434782608688</v>
      </c>
      <c r="O10" s="388">
        <f t="shared" si="3"/>
        <v>73.120955699352905</v>
      </c>
      <c r="P10" s="388">
        <f t="shared" si="4"/>
        <v>81.913827655310627</v>
      </c>
      <c r="Q10" s="388">
        <f t="shared" si="5"/>
        <v>82.016890213611532</v>
      </c>
      <c r="R10" s="388">
        <f t="shared" si="6"/>
        <v>86.051080550098234</v>
      </c>
      <c r="S10" s="388">
        <f t="shared" si="1"/>
        <v>85.528756957328383</v>
      </c>
    </row>
    <row r="11" spans="1:19">
      <c r="A11" s="465" t="s">
        <v>352</v>
      </c>
      <c r="B11" s="402">
        <v>376</v>
      </c>
      <c r="C11" s="402">
        <v>380</v>
      </c>
      <c r="D11" s="402">
        <v>399</v>
      </c>
      <c r="E11" s="402">
        <v>386</v>
      </c>
      <c r="F11" s="402">
        <v>377</v>
      </c>
      <c r="G11" s="402">
        <v>358</v>
      </c>
      <c r="H11" s="402">
        <v>177</v>
      </c>
      <c r="I11" s="402">
        <v>259</v>
      </c>
      <c r="J11" s="402">
        <v>294</v>
      </c>
      <c r="K11" s="402">
        <v>289</v>
      </c>
      <c r="L11" s="402">
        <v>229</v>
      </c>
      <c r="M11" s="402">
        <v>238</v>
      </c>
      <c r="N11" s="388">
        <f t="shared" si="2"/>
        <v>47.074468085106389</v>
      </c>
      <c r="O11" s="388">
        <f t="shared" si="3"/>
        <v>68.15789473684211</v>
      </c>
      <c r="P11" s="388">
        <f t="shared" si="4"/>
        <v>73.68421052631578</v>
      </c>
      <c r="Q11" s="388">
        <f t="shared" si="5"/>
        <v>74.870466321243526</v>
      </c>
      <c r="R11" s="388">
        <f t="shared" si="6"/>
        <v>60.742705570291776</v>
      </c>
      <c r="S11" s="388">
        <f t="shared" si="1"/>
        <v>66.480446927374302</v>
      </c>
    </row>
    <row r="12" spans="1:19">
      <c r="A12" s="465" t="s">
        <v>495</v>
      </c>
      <c r="B12" s="402">
        <v>821</v>
      </c>
      <c r="C12" s="402">
        <v>672</v>
      </c>
      <c r="D12" s="402">
        <v>800</v>
      </c>
      <c r="E12" s="402">
        <v>810</v>
      </c>
      <c r="F12" s="402">
        <v>841</v>
      </c>
      <c r="G12" s="402">
        <v>848</v>
      </c>
      <c r="H12" s="402">
        <v>693</v>
      </c>
      <c r="I12" s="402">
        <v>615</v>
      </c>
      <c r="J12" s="402">
        <v>716</v>
      </c>
      <c r="K12" s="402">
        <v>724</v>
      </c>
      <c r="L12" s="402">
        <v>682</v>
      </c>
      <c r="M12" s="402">
        <v>735</v>
      </c>
      <c r="N12" s="388">
        <f t="shared" si="2"/>
        <v>84.409257003654076</v>
      </c>
      <c r="O12" s="388">
        <f t="shared" si="3"/>
        <v>91.517857142857139</v>
      </c>
      <c r="P12" s="388">
        <f t="shared" si="4"/>
        <v>89.5</v>
      </c>
      <c r="Q12" s="388">
        <f t="shared" si="5"/>
        <v>89.382716049382722</v>
      </c>
      <c r="R12" s="388">
        <f t="shared" si="6"/>
        <v>81.093935790725325</v>
      </c>
      <c r="S12" s="388">
        <f t="shared" si="1"/>
        <v>86.674528301886795</v>
      </c>
    </row>
    <row r="13" spans="1:19">
      <c r="A13" s="465" t="s">
        <v>362</v>
      </c>
      <c r="B13" s="402">
        <v>896</v>
      </c>
      <c r="C13" s="402">
        <v>862</v>
      </c>
      <c r="D13" s="402">
        <v>1120</v>
      </c>
      <c r="E13" s="402">
        <v>1156</v>
      </c>
      <c r="F13" s="402">
        <v>1147</v>
      </c>
      <c r="G13" s="402">
        <v>1110</v>
      </c>
      <c r="H13" s="402">
        <v>706</v>
      </c>
      <c r="I13" s="402">
        <v>606</v>
      </c>
      <c r="J13" s="402">
        <v>762</v>
      </c>
      <c r="K13" s="402">
        <v>714</v>
      </c>
      <c r="L13" s="402">
        <v>725</v>
      </c>
      <c r="M13" s="402">
        <v>762</v>
      </c>
      <c r="N13" s="388">
        <f t="shared" si="2"/>
        <v>78.794642857142861</v>
      </c>
      <c r="O13" s="388">
        <f t="shared" si="3"/>
        <v>70.301624129930389</v>
      </c>
      <c r="P13" s="388">
        <f t="shared" si="4"/>
        <v>68.035714285714292</v>
      </c>
      <c r="Q13" s="388">
        <f t="shared" si="5"/>
        <v>61.764705882352942</v>
      </c>
      <c r="R13" s="388">
        <f t="shared" si="6"/>
        <v>63.208369659982566</v>
      </c>
      <c r="S13" s="388">
        <f t="shared" si="1"/>
        <v>68.648648648648646</v>
      </c>
    </row>
    <row r="14" spans="1:19">
      <c r="A14" s="465" t="s">
        <v>342</v>
      </c>
      <c r="B14" s="402">
        <v>27</v>
      </c>
      <c r="C14" s="402">
        <v>16</v>
      </c>
      <c r="D14" s="402">
        <v>37</v>
      </c>
      <c r="E14" s="402">
        <v>31</v>
      </c>
      <c r="F14" s="402">
        <v>26</v>
      </c>
      <c r="G14" s="402">
        <v>26</v>
      </c>
      <c r="H14" s="402">
        <v>19</v>
      </c>
      <c r="I14" s="402">
        <v>8</v>
      </c>
      <c r="J14" s="402">
        <v>24</v>
      </c>
      <c r="K14" s="402">
        <v>25</v>
      </c>
      <c r="L14" s="402">
        <v>19</v>
      </c>
      <c r="M14" s="402">
        <v>16</v>
      </c>
      <c r="N14" s="388">
        <f t="shared" si="2"/>
        <v>70.370370370370367</v>
      </c>
      <c r="O14" s="388">
        <f t="shared" si="3"/>
        <v>50</v>
      </c>
      <c r="P14" s="388">
        <f t="shared" si="4"/>
        <v>64.86486486486487</v>
      </c>
      <c r="Q14" s="388">
        <f t="shared" si="5"/>
        <v>80.645161290322577</v>
      </c>
      <c r="R14" s="388">
        <f t="shared" si="6"/>
        <v>73.076923076923066</v>
      </c>
      <c r="S14" s="388">
        <f t="shared" si="1"/>
        <v>61.53846153846154</v>
      </c>
    </row>
    <row r="15" spans="1:19">
      <c r="A15" s="465" t="s">
        <v>497</v>
      </c>
      <c r="B15" s="402">
        <v>34</v>
      </c>
      <c r="C15" s="402">
        <v>25</v>
      </c>
      <c r="D15" s="402">
        <v>33</v>
      </c>
      <c r="E15" s="402">
        <v>32</v>
      </c>
      <c r="F15" s="402">
        <v>30</v>
      </c>
      <c r="G15" s="402">
        <v>36</v>
      </c>
      <c r="H15" s="402">
        <v>34</v>
      </c>
      <c r="I15" s="402">
        <v>25</v>
      </c>
      <c r="J15" s="402">
        <v>33</v>
      </c>
      <c r="K15" s="402">
        <v>32</v>
      </c>
      <c r="L15" s="402">
        <v>30</v>
      </c>
      <c r="M15" s="402">
        <v>35</v>
      </c>
      <c r="N15" s="388">
        <f t="shared" si="2"/>
        <v>100</v>
      </c>
      <c r="O15" s="388">
        <f t="shared" si="3"/>
        <v>100</v>
      </c>
      <c r="P15" s="388">
        <f t="shared" si="4"/>
        <v>100</v>
      </c>
      <c r="Q15" s="388">
        <f t="shared" si="5"/>
        <v>100</v>
      </c>
      <c r="R15" s="388">
        <f t="shared" si="6"/>
        <v>100</v>
      </c>
      <c r="S15" s="388">
        <f t="shared" si="1"/>
        <v>97.222222222222214</v>
      </c>
    </row>
    <row r="16" spans="1:19">
      <c r="A16" s="465" t="s">
        <v>496</v>
      </c>
      <c r="B16" s="402">
        <v>538</v>
      </c>
      <c r="C16" s="402">
        <v>563</v>
      </c>
      <c r="D16" s="402">
        <v>602</v>
      </c>
      <c r="E16" s="402">
        <v>520</v>
      </c>
      <c r="F16" s="402">
        <v>580</v>
      </c>
      <c r="G16" s="402">
        <v>656</v>
      </c>
      <c r="H16" s="402">
        <v>471</v>
      </c>
      <c r="I16" s="402">
        <v>485</v>
      </c>
      <c r="J16" s="402">
        <v>516</v>
      </c>
      <c r="K16" s="402">
        <v>421</v>
      </c>
      <c r="L16" s="402">
        <v>447</v>
      </c>
      <c r="M16" s="402">
        <v>519</v>
      </c>
      <c r="N16" s="388">
        <f t="shared" si="2"/>
        <v>87.54646840148699</v>
      </c>
      <c r="O16" s="388">
        <f t="shared" si="3"/>
        <v>86.145648312611016</v>
      </c>
      <c r="P16" s="388">
        <f t="shared" si="4"/>
        <v>85.714285714285708</v>
      </c>
      <c r="Q16" s="388">
        <f t="shared" si="5"/>
        <v>80.961538461538467</v>
      </c>
      <c r="R16" s="388">
        <f t="shared" si="6"/>
        <v>77.068965517241381</v>
      </c>
      <c r="S16" s="388">
        <f t="shared" si="1"/>
        <v>79.115853658536579</v>
      </c>
    </row>
    <row r="17" spans="1:19">
      <c r="A17" s="465" t="s">
        <v>343</v>
      </c>
      <c r="B17" s="402">
        <v>29</v>
      </c>
      <c r="C17" s="402">
        <v>28</v>
      </c>
      <c r="D17" s="402">
        <v>23</v>
      </c>
      <c r="E17" s="402">
        <v>20</v>
      </c>
      <c r="F17" s="402">
        <v>32</v>
      </c>
      <c r="G17" s="402">
        <v>23</v>
      </c>
      <c r="H17" s="402">
        <v>27</v>
      </c>
      <c r="I17" s="402">
        <v>21</v>
      </c>
      <c r="J17" s="402">
        <v>21</v>
      </c>
      <c r="K17" s="402">
        <v>19</v>
      </c>
      <c r="L17" s="402">
        <v>29</v>
      </c>
      <c r="M17" s="402">
        <v>23</v>
      </c>
      <c r="N17" s="388">
        <f t="shared" si="2"/>
        <v>93.103448275862064</v>
      </c>
      <c r="O17" s="388">
        <f t="shared" si="3"/>
        <v>75</v>
      </c>
      <c r="P17" s="388">
        <f t="shared" si="4"/>
        <v>91.304347826086953</v>
      </c>
      <c r="Q17" s="388">
        <f t="shared" si="5"/>
        <v>95</v>
      </c>
      <c r="R17" s="388">
        <f t="shared" si="6"/>
        <v>90.625</v>
      </c>
      <c r="S17" s="388">
        <f t="shared" si="1"/>
        <v>100</v>
      </c>
    </row>
    <row r="18" spans="1:19">
      <c r="A18" s="387" t="s">
        <v>357</v>
      </c>
    </row>
    <row r="19" spans="1:19">
      <c r="A19" s="387" t="s">
        <v>367</v>
      </c>
    </row>
  </sheetData>
  <sheetProtection password="B8D9" sheet="1" objects="1" scenarios="1"/>
  <mergeCells count="4">
    <mergeCell ref="A1:A2"/>
    <mergeCell ref="B1:G1"/>
    <mergeCell ref="H1:M1"/>
    <mergeCell ref="N1:S1"/>
  </mergeCells>
  <pageMargins left="0.70866141732283472" right="0.70866141732283472" top="0.74803149606299213" bottom="0.74803149606299213" header="0.31496062992125984" footer="0.31496062992125984"/>
  <pageSetup paperSize="9" scale="81"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68.xml><?xml version="1.0" encoding="utf-8"?>
<worksheet xmlns="http://schemas.openxmlformats.org/spreadsheetml/2006/main" xmlns:r="http://schemas.openxmlformats.org/officeDocument/2006/relationships">
  <sheetPr codeName="Sheet62">
    <pageSetUpPr fitToPage="1"/>
  </sheetPr>
  <dimension ref="A1:O37"/>
  <sheetViews>
    <sheetView workbookViewId="0"/>
  </sheetViews>
  <sheetFormatPr defaultRowHeight="15"/>
  <cols>
    <col min="1" max="1" width="1.7109375" customWidth="1"/>
  </cols>
  <sheetData>
    <row r="1" spans="1:15" s="397" customFormat="1" ht="12.75" customHeight="1">
      <c r="A1" s="1"/>
      <c r="B1" s="969" t="s">
        <v>705</v>
      </c>
      <c r="C1" s="969"/>
      <c r="D1" s="969"/>
      <c r="E1" s="969"/>
      <c r="F1" s="969"/>
      <c r="G1" s="969"/>
      <c r="H1" s="969"/>
      <c r="I1" s="969"/>
      <c r="J1" s="969"/>
      <c r="K1" s="969"/>
      <c r="L1" s="969"/>
      <c r="M1" s="969"/>
      <c r="N1" s="969"/>
      <c r="O1" s="985" t="s">
        <v>45</v>
      </c>
    </row>
    <row r="2" spans="1:15" s="397" customFormat="1" ht="12.75">
      <c r="B2" s="969"/>
      <c r="C2" s="969"/>
      <c r="D2" s="969"/>
      <c r="E2" s="969"/>
      <c r="F2" s="969"/>
      <c r="G2" s="969"/>
      <c r="H2" s="969"/>
      <c r="I2" s="969"/>
      <c r="J2" s="969"/>
      <c r="K2" s="969"/>
      <c r="L2" s="969"/>
      <c r="M2" s="969"/>
      <c r="N2" s="969"/>
      <c r="O2" s="985"/>
    </row>
    <row r="3" spans="1:15" s="397" customFormat="1" ht="12.75">
      <c r="B3" s="969"/>
      <c r="C3" s="969"/>
      <c r="D3" s="969"/>
      <c r="E3" s="969"/>
      <c r="F3" s="969"/>
      <c r="G3" s="969"/>
      <c r="H3" s="969"/>
      <c r="I3" s="969"/>
      <c r="J3" s="969"/>
      <c r="K3" s="969"/>
      <c r="L3" s="969"/>
      <c r="M3" s="969"/>
      <c r="N3" s="969"/>
      <c r="O3" s="985"/>
    </row>
    <row r="4" spans="1:15" s="113" customFormat="1" ht="12.75" customHeight="1">
      <c r="B4" s="280" t="s">
        <v>358</v>
      </c>
      <c r="C4" s="280"/>
      <c r="D4" s="280"/>
      <c r="E4" s="280"/>
      <c r="F4" s="280"/>
      <c r="G4" s="280"/>
      <c r="H4" s="280"/>
      <c r="I4" s="280"/>
      <c r="J4" s="280"/>
      <c r="K4" s="280"/>
      <c r="L4" s="280"/>
      <c r="M4" s="280"/>
      <c r="N4" s="280"/>
      <c r="O4" s="985"/>
    </row>
    <row r="5" spans="1:15" s="397" customFormat="1" ht="12.75" customHeight="1">
      <c r="B5" s="391" t="s">
        <v>360</v>
      </c>
      <c r="C5" s="279"/>
      <c r="D5" s="279"/>
      <c r="E5" s="279"/>
      <c r="F5" s="279"/>
      <c r="G5" s="279"/>
      <c r="H5" s="279"/>
      <c r="I5" s="279"/>
      <c r="J5" s="279"/>
      <c r="K5" s="279"/>
      <c r="L5" s="279"/>
      <c r="M5" s="279"/>
      <c r="N5" s="289"/>
      <c r="O5" s="396"/>
    </row>
    <row r="6" spans="1:15" s="397" customFormat="1" ht="12.75">
      <c r="B6" s="391" t="s">
        <v>359</v>
      </c>
      <c r="C6" s="279"/>
      <c r="D6" s="279"/>
      <c r="E6" s="279"/>
      <c r="F6" s="279"/>
      <c r="G6" s="279"/>
      <c r="H6" s="279"/>
      <c r="I6" s="279"/>
      <c r="J6" s="279"/>
      <c r="K6" s="279"/>
      <c r="L6" s="279"/>
      <c r="M6" s="279"/>
      <c r="N6" s="1102" t="s">
        <v>550</v>
      </c>
      <c r="O6" s="1102"/>
    </row>
    <row r="32" spans="2:2">
      <c r="B32" s="32" t="s">
        <v>547</v>
      </c>
    </row>
    <row r="33" spans="2:4">
      <c r="B33" s="422" t="s">
        <v>381</v>
      </c>
      <c r="D33" s="423" t="s">
        <v>208</v>
      </c>
    </row>
    <row r="35" spans="2:4">
      <c r="B35" s="32" t="s">
        <v>383</v>
      </c>
    </row>
    <row r="36" spans="2:4">
      <c r="B36" s="32" t="s">
        <v>384</v>
      </c>
    </row>
    <row r="37" spans="2:4">
      <c r="B37" s="32" t="s">
        <v>548</v>
      </c>
    </row>
  </sheetData>
  <sheetProtection password="B8D9" sheet="1" objects="1" scenarios="1"/>
  <mergeCells count="3">
    <mergeCell ref="B1:N3"/>
    <mergeCell ref="O1:O4"/>
    <mergeCell ref="N6:O6"/>
  </mergeCells>
  <hyperlinks>
    <hyperlink ref="O1" location="'List of Tables &amp; Charts'!A1" display="return to List of Tables &amp; Charts"/>
    <hyperlink ref="D33" location="'Chart 2c'!A1" display="Chart 2c"/>
    <hyperlink ref="N6:O6" location="'Chart 17c DATA'!A1" display="view Chart 17c data"/>
  </hyperlinks>
  <pageMargins left="0.70866141732283472" right="0.70866141732283472" top="0.74803149606299213" bottom="0.74803149606299213" header="0.31496062992125984" footer="0.31496062992125984"/>
  <pageSetup paperSize="9" scale="92"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69.xml><?xml version="1.0" encoding="utf-8"?>
<worksheet xmlns="http://schemas.openxmlformats.org/spreadsheetml/2006/main" xmlns:r="http://schemas.openxmlformats.org/officeDocument/2006/relationships">
  <sheetPr codeName="Sheet63">
    <pageSetUpPr fitToPage="1"/>
  </sheetPr>
  <dimension ref="A1:S19"/>
  <sheetViews>
    <sheetView workbookViewId="0">
      <selection sqref="A1:A2"/>
    </sheetView>
  </sheetViews>
  <sheetFormatPr defaultRowHeight="11.25"/>
  <cols>
    <col min="1" max="1" width="22.42578125" style="387" bestFit="1" customWidth="1"/>
    <col min="2" max="19" width="7.7109375" style="387" customWidth="1"/>
    <col min="20" max="16384" width="9.140625" style="387"/>
  </cols>
  <sheetData>
    <row r="1" spans="1:19" ht="15" customHeight="1">
      <c r="A1" s="1175" t="s">
        <v>19</v>
      </c>
      <c r="B1" s="1177" t="s">
        <v>366</v>
      </c>
      <c r="C1" s="1177"/>
      <c r="D1" s="1177"/>
      <c r="E1" s="1177"/>
      <c r="F1" s="1177"/>
      <c r="G1" s="1177"/>
      <c r="H1" s="1177" t="s">
        <v>369</v>
      </c>
      <c r="I1" s="1177"/>
      <c r="J1" s="1177"/>
      <c r="K1" s="1177"/>
      <c r="L1" s="1177"/>
      <c r="M1" s="1177"/>
      <c r="N1" s="1177" t="s">
        <v>370</v>
      </c>
      <c r="O1" s="1177"/>
      <c r="P1" s="1177"/>
      <c r="Q1" s="1177"/>
      <c r="R1" s="1178"/>
      <c r="S1" s="1179"/>
    </row>
    <row r="2" spans="1:19">
      <c r="A2" s="1176"/>
      <c r="B2" s="389">
        <v>2011</v>
      </c>
      <c r="C2" s="389">
        <v>2012</v>
      </c>
      <c r="D2" s="389">
        <v>2013</v>
      </c>
      <c r="E2" s="389">
        <v>2014</v>
      </c>
      <c r="F2" s="389">
        <v>2015</v>
      </c>
      <c r="G2" s="389">
        <v>2016</v>
      </c>
      <c r="H2" s="389">
        <v>2011</v>
      </c>
      <c r="I2" s="389">
        <v>2012</v>
      </c>
      <c r="J2" s="389">
        <v>2013</v>
      </c>
      <c r="K2" s="389">
        <v>2014</v>
      </c>
      <c r="L2" s="389">
        <v>2015</v>
      </c>
      <c r="M2" s="389">
        <v>2016</v>
      </c>
      <c r="N2" s="389">
        <v>2011</v>
      </c>
      <c r="O2" s="389">
        <v>2012</v>
      </c>
      <c r="P2" s="389">
        <v>2013</v>
      </c>
      <c r="Q2" s="389">
        <v>2014</v>
      </c>
      <c r="R2" s="755">
        <v>2015</v>
      </c>
      <c r="S2" s="390">
        <v>2016</v>
      </c>
    </row>
    <row r="3" spans="1:19">
      <c r="A3" s="465" t="s">
        <v>344</v>
      </c>
      <c r="B3" s="402">
        <f>SUM(B4:B17)</f>
        <v>8199</v>
      </c>
      <c r="C3" s="402">
        <f t="shared" ref="C3:M3" si="0">SUM(C4:C17)</f>
        <v>7954</v>
      </c>
      <c r="D3" s="402">
        <f t="shared" si="0"/>
        <v>8719</v>
      </c>
      <c r="E3" s="402">
        <f t="shared" si="0"/>
        <v>8712</v>
      </c>
      <c r="F3" s="402">
        <f t="shared" si="0"/>
        <v>9036</v>
      </c>
      <c r="G3" s="402">
        <f t="shared" si="0"/>
        <v>9366</v>
      </c>
      <c r="H3" s="402">
        <f t="shared" si="0"/>
        <v>6505</v>
      </c>
      <c r="I3" s="402">
        <f t="shared" si="0"/>
        <v>6588</v>
      </c>
      <c r="J3" s="402">
        <f t="shared" si="0"/>
        <v>7621</v>
      </c>
      <c r="K3" s="402">
        <f t="shared" si="0"/>
        <v>7816</v>
      </c>
      <c r="L3" s="402">
        <f t="shared" si="0"/>
        <v>8257</v>
      </c>
      <c r="M3" s="402">
        <f t="shared" si="0"/>
        <v>8688</v>
      </c>
      <c r="N3" s="388">
        <f>H3/B3*100</f>
        <v>79.33894377363093</v>
      </c>
      <c r="O3" s="388">
        <f>I3/C3*100</f>
        <v>82.826250942921803</v>
      </c>
      <c r="P3" s="388">
        <f>J3/D3*100</f>
        <v>87.40681270787934</v>
      </c>
      <c r="Q3" s="388">
        <f>K3/E3*100</f>
        <v>89.715335169880632</v>
      </c>
      <c r="R3" s="388">
        <f>L3/F3*100</f>
        <v>91.378928729526336</v>
      </c>
      <c r="S3" s="388">
        <f t="shared" ref="S3:S17" si="1">M3/G3*100</f>
        <v>92.761050608584242</v>
      </c>
    </row>
    <row r="4" spans="1:19">
      <c r="A4" s="465" t="s">
        <v>345</v>
      </c>
      <c r="B4" s="402">
        <v>640</v>
      </c>
      <c r="C4" s="402">
        <v>647</v>
      </c>
      <c r="D4" s="402">
        <v>689</v>
      </c>
      <c r="E4" s="402">
        <v>634</v>
      </c>
      <c r="F4" s="402">
        <v>655</v>
      </c>
      <c r="G4" s="402">
        <v>845</v>
      </c>
      <c r="H4" s="402">
        <v>400</v>
      </c>
      <c r="I4" s="402">
        <v>440</v>
      </c>
      <c r="J4" s="402">
        <v>537</v>
      </c>
      <c r="K4" s="402">
        <v>528</v>
      </c>
      <c r="L4" s="402">
        <v>551</v>
      </c>
      <c r="M4" s="402">
        <v>775</v>
      </c>
      <c r="N4" s="388">
        <f t="shared" ref="N4:N17" si="2">H4/B4*100</f>
        <v>62.5</v>
      </c>
      <c r="O4" s="388">
        <f t="shared" ref="O4:O17" si="3">I4/C4*100</f>
        <v>68.006182380216387</v>
      </c>
      <c r="P4" s="388">
        <f t="shared" ref="P4:P17" si="4">J4/D4*100</f>
        <v>77.939042089985492</v>
      </c>
      <c r="Q4" s="388">
        <f t="shared" ref="Q4:Q17" si="5">K4/E4*100</f>
        <v>83.280757097791806</v>
      </c>
      <c r="R4" s="388">
        <f t="shared" ref="R4:R17" si="6">L4/F4*100</f>
        <v>84.122137404580158</v>
      </c>
      <c r="S4" s="388">
        <f t="shared" si="1"/>
        <v>91.715976331360949</v>
      </c>
    </row>
    <row r="5" spans="1:19">
      <c r="A5" s="465" t="s">
        <v>346</v>
      </c>
      <c r="B5" s="402">
        <v>231</v>
      </c>
      <c r="C5" s="402">
        <v>214</v>
      </c>
      <c r="D5" s="402">
        <v>220</v>
      </c>
      <c r="E5" s="402">
        <v>206</v>
      </c>
      <c r="F5" s="402">
        <v>225</v>
      </c>
      <c r="G5" s="402">
        <v>216</v>
      </c>
      <c r="H5" s="402">
        <v>202</v>
      </c>
      <c r="I5" s="402">
        <v>205</v>
      </c>
      <c r="J5" s="402">
        <v>207</v>
      </c>
      <c r="K5" s="402">
        <v>203</v>
      </c>
      <c r="L5" s="402">
        <v>223</v>
      </c>
      <c r="M5" s="402">
        <v>213</v>
      </c>
      <c r="N5" s="388">
        <f t="shared" si="2"/>
        <v>87.44588744588745</v>
      </c>
      <c r="O5" s="388">
        <f t="shared" si="3"/>
        <v>95.794392523364493</v>
      </c>
      <c r="P5" s="388">
        <f t="shared" si="4"/>
        <v>94.090909090909093</v>
      </c>
      <c r="Q5" s="388">
        <f t="shared" si="5"/>
        <v>98.543689320388353</v>
      </c>
      <c r="R5" s="388">
        <f t="shared" si="6"/>
        <v>99.111111111111114</v>
      </c>
      <c r="S5" s="388">
        <f t="shared" si="1"/>
        <v>98.611111111111114</v>
      </c>
    </row>
    <row r="6" spans="1:19">
      <c r="A6" s="465" t="s">
        <v>347</v>
      </c>
      <c r="B6" s="402">
        <v>258</v>
      </c>
      <c r="C6" s="402">
        <v>297</v>
      </c>
      <c r="D6" s="402">
        <v>291</v>
      </c>
      <c r="E6" s="402">
        <v>287</v>
      </c>
      <c r="F6" s="402">
        <v>284</v>
      </c>
      <c r="G6" s="402">
        <v>240</v>
      </c>
      <c r="H6" s="402">
        <v>215</v>
      </c>
      <c r="I6" s="402">
        <v>245</v>
      </c>
      <c r="J6" s="402">
        <v>253</v>
      </c>
      <c r="K6" s="402">
        <v>264</v>
      </c>
      <c r="L6" s="402">
        <v>260</v>
      </c>
      <c r="M6" s="402">
        <v>218</v>
      </c>
      <c r="N6" s="388">
        <f t="shared" si="2"/>
        <v>83.333333333333343</v>
      </c>
      <c r="O6" s="388">
        <f t="shared" si="3"/>
        <v>82.491582491582491</v>
      </c>
      <c r="P6" s="388">
        <f t="shared" si="4"/>
        <v>86.941580756013749</v>
      </c>
      <c r="Q6" s="388">
        <f t="shared" si="5"/>
        <v>91.986062717770039</v>
      </c>
      <c r="R6" s="388">
        <f t="shared" si="6"/>
        <v>91.549295774647888</v>
      </c>
      <c r="S6" s="388">
        <f t="shared" si="1"/>
        <v>90.833333333333329</v>
      </c>
    </row>
    <row r="7" spans="1:19">
      <c r="A7" s="465" t="s">
        <v>348</v>
      </c>
      <c r="B7" s="402">
        <v>565</v>
      </c>
      <c r="C7" s="402">
        <v>553</v>
      </c>
      <c r="D7" s="402">
        <v>607</v>
      </c>
      <c r="E7" s="402">
        <v>619</v>
      </c>
      <c r="F7" s="402">
        <v>631</v>
      </c>
      <c r="G7" s="402">
        <v>665</v>
      </c>
      <c r="H7" s="402">
        <v>448</v>
      </c>
      <c r="I7" s="402">
        <v>505</v>
      </c>
      <c r="J7" s="402">
        <v>573</v>
      </c>
      <c r="K7" s="402">
        <v>580</v>
      </c>
      <c r="L7" s="402">
        <v>604</v>
      </c>
      <c r="M7" s="402">
        <v>633</v>
      </c>
      <c r="N7" s="388">
        <f t="shared" si="2"/>
        <v>79.292035398230084</v>
      </c>
      <c r="O7" s="388">
        <f t="shared" si="3"/>
        <v>91.320072332730561</v>
      </c>
      <c r="P7" s="388">
        <f t="shared" si="4"/>
        <v>94.398682042833599</v>
      </c>
      <c r="Q7" s="388">
        <f t="shared" si="5"/>
        <v>93.699515347334412</v>
      </c>
      <c r="R7" s="388">
        <f t="shared" si="6"/>
        <v>95.721077654516634</v>
      </c>
      <c r="S7" s="388">
        <f t="shared" si="1"/>
        <v>95.187969924812037</v>
      </c>
    </row>
    <row r="8" spans="1:19">
      <c r="A8" s="465" t="s">
        <v>349</v>
      </c>
      <c r="B8" s="402">
        <v>544</v>
      </c>
      <c r="C8" s="402">
        <v>476</v>
      </c>
      <c r="D8" s="402">
        <v>476</v>
      </c>
      <c r="E8" s="402">
        <v>504</v>
      </c>
      <c r="F8" s="402">
        <v>543</v>
      </c>
      <c r="G8" s="402">
        <v>521</v>
      </c>
      <c r="H8" s="402">
        <v>473</v>
      </c>
      <c r="I8" s="402">
        <v>424</v>
      </c>
      <c r="J8" s="402">
        <v>438</v>
      </c>
      <c r="K8" s="402">
        <v>477</v>
      </c>
      <c r="L8" s="402">
        <v>523</v>
      </c>
      <c r="M8" s="402">
        <v>495</v>
      </c>
      <c r="N8" s="388">
        <f t="shared" si="2"/>
        <v>86.94852941176471</v>
      </c>
      <c r="O8" s="388">
        <f t="shared" si="3"/>
        <v>89.075630252100851</v>
      </c>
      <c r="P8" s="388">
        <f t="shared" si="4"/>
        <v>92.016806722689068</v>
      </c>
      <c r="Q8" s="388">
        <f t="shared" si="5"/>
        <v>94.642857142857139</v>
      </c>
      <c r="R8" s="388">
        <f t="shared" si="6"/>
        <v>96.316758747697975</v>
      </c>
      <c r="S8" s="388">
        <f t="shared" si="1"/>
        <v>95.009596928982717</v>
      </c>
    </row>
    <row r="9" spans="1:19">
      <c r="A9" s="465" t="s">
        <v>350</v>
      </c>
      <c r="B9" s="402">
        <v>640</v>
      </c>
      <c r="C9" s="402">
        <v>631</v>
      </c>
      <c r="D9" s="402">
        <v>686</v>
      </c>
      <c r="E9" s="402">
        <v>720</v>
      </c>
      <c r="F9" s="402">
        <v>833</v>
      </c>
      <c r="G9" s="402">
        <v>797</v>
      </c>
      <c r="H9" s="402">
        <v>506</v>
      </c>
      <c r="I9" s="402">
        <v>513</v>
      </c>
      <c r="J9" s="402">
        <v>609</v>
      </c>
      <c r="K9" s="402">
        <v>649</v>
      </c>
      <c r="L9" s="402">
        <v>777</v>
      </c>
      <c r="M9" s="402">
        <v>737</v>
      </c>
      <c r="N9" s="388">
        <f t="shared" si="2"/>
        <v>79.0625</v>
      </c>
      <c r="O9" s="388">
        <f t="shared" si="3"/>
        <v>81.299524564183827</v>
      </c>
      <c r="P9" s="388">
        <f t="shared" si="4"/>
        <v>88.775510204081627</v>
      </c>
      <c r="Q9" s="388">
        <f t="shared" si="5"/>
        <v>90.138888888888886</v>
      </c>
      <c r="R9" s="388">
        <f t="shared" si="6"/>
        <v>93.277310924369743</v>
      </c>
      <c r="S9" s="388">
        <f t="shared" si="1"/>
        <v>92.471769134253449</v>
      </c>
    </row>
    <row r="10" spans="1:19">
      <c r="A10" s="465" t="s">
        <v>351</v>
      </c>
      <c r="B10" s="402">
        <v>2108</v>
      </c>
      <c r="C10" s="402">
        <v>2251</v>
      </c>
      <c r="D10" s="402">
        <v>2245</v>
      </c>
      <c r="E10" s="402">
        <v>2250</v>
      </c>
      <c r="F10" s="402">
        <v>2228</v>
      </c>
      <c r="G10" s="402">
        <v>2379</v>
      </c>
      <c r="H10" s="402">
        <v>1719</v>
      </c>
      <c r="I10" s="402">
        <v>1803</v>
      </c>
      <c r="J10" s="402">
        <v>1921</v>
      </c>
      <c r="K10" s="402">
        <v>1992</v>
      </c>
      <c r="L10" s="402">
        <v>2044</v>
      </c>
      <c r="M10" s="402">
        <v>2234</v>
      </c>
      <c r="N10" s="388">
        <f t="shared" si="2"/>
        <v>81.546489563567363</v>
      </c>
      <c r="O10" s="388">
        <f t="shared" si="3"/>
        <v>80.097734340293201</v>
      </c>
      <c r="P10" s="388">
        <f t="shared" si="4"/>
        <v>85.56792873051225</v>
      </c>
      <c r="Q10" s="388">
        <f t="shared" si="5"/>
        <v>88.533333333333331</v>
      </c>
      <c r="R10" s="388">
        <f t="shared" si="6"/>
        <v>91.741472172351891</v>
      </c>
      <c r="S10" s="388">
        <f t="shared" si="1"/>
        <v>93.905002101723412</v>
      </c>
    </row>
    <row r="11" spans="1:19">
      <c r="A11" s="465" t="s">
        <v>352</v>
      </c>
      <c r="B11" s="402">
        <v>505</v>
      </c>
      <c r="C11" s="402">
        <v>458</v>
      </c>
      <c r="D11" s="402">
        <v>474</v>
      </c>
      <c r="E11" s="402">
        <v>474</v>
      </c>
      <c r="F11" s="402">
        <v>500</v>
      </c>
      <c r="G11" s="402">
        <v>468</v>
      </c>
      <c r="H11" s="402">
        <v>314</v>
      </c>
      <c r="I11" s="402">
        <v>347</v>
      </c>
      <c r="J11" s="402">
        <v>416</v>
      </c>
      <c r="K11" s="402">
        <v>427</v>
      </c>
      <c r="L11" s="402">
        <v>440</v>
      </c>
      <c r="M11" s="402">
        <v>425</v>
      </c>
      <c r="N11" s="388">
        <f t="shared" si="2"/>
        <v>62.178217821782177</v>
      </c>
      <c r="O11" s="388">
        <f t="shared" si="3"/>
        <v>75.764192139738</v>
      </c>
      <c r="P11" s="388">
        <f t="shared" si="4"/>
        <v>87.763713080168785</v>
      </c>
      <c r="Q11" s="388">
        <f t="shared" si="5"/>
        <v>90.084388185654007</v>
      </c>
      <c r="R11" s="388">
        <f t="shared" si="6"/>
        <v>88</v>
      </c>
      <c r="S11" s="388">
        <f t="shared" si="1"/>
        <v>90.811965811965806</v>
      </c>
    </row>
    <row r="12" spans="1:19">
      <c r="A12" s="465" t="s">
        <v>353</v>
      </c>
      <c r="B12" s="402">
        <v>947</v>
      </c>
      <c r="C12" s="402">
        <v>759</v>
      </c>
      <c r="D12" s="402">
        <v>899</v>
      </c>
      <c r="E12" s="402">
        <v>921</v>
      </c>
      <c r="F12" s="402">
        <v>953</v>
      </c>
      <c r="G12" s="402">
        <v>965</v>
      </c>
      <c r="H12" s="402">
        <v>733</v>
      </c>
      <c r="I12" s="402">
        <v>655</v>
      </c>
      <c r="J12" s="402">
        <v>808</v>
      </c>
      <c r="K12" s="402">
        <v>851</v>
      </c>
      <c r="L12" s="402">
        <v>881</v>
      </c>
      <c r="M12" s="402">
        <v>893</v>
      </c>
      <c r="N12" s="388">
        <f t="shared" si="2"/>
        <v>77.402323125659976</v>
      </c>
      <c r="O12" s="388">
        <f t="shared" si="3"/>
        <v>86.297760210803688</v>
      </c>
      <c r="P12" s="388">
        <f t="shared" si="4"/>
        <v>89.877641824249167</v>
      </c>
      <c r="Q12" s="388">
        <f t="shared" si="5"/>
        <v>92.399565689467963</v>
      </c>
      <c r="R12" s="388">
        <f t="shared" si="6"/>
        <v>92.444910807974807</v>
      </c>
      <c r="S12" s="388">
        <f t="shared" si="1"/>
        <v>92.538860103626945</v>
      </c>
    </row>
    <row r="13" spans="1:19">
      <c r="A13" s="465" t="s">
        <v>498</v>
      </c>
      <c r="B13" s="402">
        <v>1031</v>
      </c>
      <c r="C13" s="402">
        <v>952</v>
      </c>
      <c r="D13" s="402">
        <v>1360</v>
      </c>
      <c r="E13" s="402">
        <v>1421</v>
      </c>
      <c r="F13" s="402">
        <v>1436</v>
      </c>
      <c r="G13" s="402">
        <v>1454</v>
      </c>
      <c r="H13" s="402">
        <v>956</v>
      </c>
      <c r="I13" s="402">
        <v>881</v>
      </c>
      <c r="J13" s="402">
        <v>1235</v>
      </c>
      <c r="K13" s="402">
        <v>1289</v>
      </c>
      <c r="L13" s="402">
        <v>1315</v>
      </c>
      <c r="M13" s="402">
        <v>1343</v>
      </c>
      <c r="N13" s="388">
        <f t="shared" si="2"/>
        <v>92.725509214355</v>
      </c>
      <c r="O13" s="388">
        <f t="shared" si="3"/>
        <v>92.5420168067227</v>
      </c>
      <c r="P13" s="388">
        <f t="shared" si="4"/>
        <v>90.808823529411768</v>
      </c>
      <c r="Q13" s="388">
        <f t="shared" si="5"/>
        <v>90.710767065446873</v>
      </c>
      <c r="R13" s="388">
        <f t="shared" si="6"/>
        <v>91.573816155988865</v>
      </c>
      <c r="S13" s="388">
        <f t="shared" si="1"/>
        <v>92.365887207702883</v>
      </c>
    </row>
    <row r="14" spans="1:19">
      <c r="A14" s="465" t="s">
        <v>499</v>
      </c>
      <c r="B14" s="402">
        <v>27</v>
      </c>
      <c r="C14" s="402">
        <v>22</v>
      </c>
      <c r="D14" s="402">
        <v>42</v>
      </c>
      <c r="E14" s="402">
        <v>40</v>
      </c>
      <c r="F14" s="402">
        <v>41</v>
      </c>
      <c r="G14" s="402">
        <v>36</v>
      </c>
      <c r="H14" s="402">
        <v>10</v>
      </c>
      <c r="I14" s="402">
        <v>4</v>
      </c>
      <c r="J14" s="402">
        <v>13</v>
      </c>
      <c r="K14" s="402">
        <v>11</v>
      </c>
      <c r="L14" s="402">
        <v>30</v>
      </c>
      <c r="M14" s="402">
        <v>32</v>
      </c>
      <c r="N14" s="388">
        <f t="shared" si="2"/>
        <v>37.037037037037038</v>
      </c>
      <c r="O14" s="388">
        <f t="shared" si="3"/>
        <v>18.181818181818183</v>
      </c>
      <c r="P14" s="388">
        <f t="shared" si="4"/>
        <v>30.952380952380953</v>
      </c>
      <c r="Q14" s="388">
        <f t="shared" si="5"/>
        <v>27.500000000000004</v>
      </c>
      <c r="R14" s="388">
        <f t="shared" si="6"/>
        <v>73.170731707317074</v>
      </c>
      <c r="S14" s="388">
        <f t="shared" si="1"/>
        <v>88.888888888888886</v>
      </c>
    </row>
    <row r="15" spans="1:19">
      <c r="A15" s="465" t="s">
        <v>355</v>
      </c>
      <c r="B15" s="402">
        <v>40</v>
      </c>
      <c r="C15" s="402">
        <v>26</v>
      </c>
      <c r="D15" s="402">
        <v>35</v>
      </c>
      <c r="E15" s="402">
        <v>35</v>
      </c>
      <c r="F15" s="402">
        <v>35</v>
      </c>
      <c r="G15" s="402">
        <v>41</v>
      </c>
      <c r="H15" s="402">
        <v>20</v>
      </c>
      <c r="I15" s="402">
        <v>19</v>
      </c>
      <c r="J15" s="402">
        <v>22</v>
      </c>
      <c r="K15" s="402">
        <v>28</v>
      </c>
      <c r="L15" s="402">
        <v>30</v>
      </c>
      <c r="M15" s="402">
        <v>38</v>
      </c>
      <c r="N15" s="388">
        <f t="shared" si="2"/>
        <v>50</v>
      </c>
      <c r="O15" s="388">
        <f t="shared" si="3"/>
        <v>73.076923076923066</v>
      </c>
      <c r="P15" s="388">
        <f t="shared" si="4"/>
        <v>62.857142857142854</v>
      </c>
      <c r="Q15" s="388">
        <f t="shared" si="5"/>
        <v>80</v>
      </c>
      <c r="R15" s="388">
        <f t="shared" si="6"/>
        <v>85.714285714285708</v>
      </c>
      <c r="S15" s="388">
        <f t="shared" si="1"/>
        <v>92.682926829268297</v>
      </c>
    </row>
    <row r="16" spans="1:19">
      <c r="A16" s="465" t="s">
        <v>356</v>
      </c>
      <c r="B16" s="402">
        <v>633</v>
      </c>
      <c r="C16" s="402">
        <v>637</v>
      </c>
      <c r="D16" s="402">
        <v>665</v>
      </c>
      <c r="E16" s="402">
        <v>579</v>
      </c>
      <c r="F16" s="402">
        <v>637</v>
      </c>
      <c r="G16" s="402">
        <v>710</v>
      </c>
      <c r="H16" s="402">
        <v>480</v>
      </c>
      <c r="I16" s="402">
        <v>523</v>
      </c>
      <c r="J16" s="402">
        <v>564</v>
      </c>
      <c r="K16" s="402">
        <v>496</v>
      </c>
      <c r="L16" s="402">
        <v>546</v>
      </c>
      <c r="M16" s="402">
        <v>623</v>
      </c>
      <c r="N16" s="388">
        <f t="shared" si="2"/>
        <v>75.829383886255926</v>
      </c>
      <c r="O16" s="388">
        <f t="shared" si="3"/>
        <v>82.103610675039249</v>
      </c>
      <c r="P16" s="388">
        <f t="shared" si="4"/>
        <v>84.812030075187977</v>
      </c>
      <c r="Q16" s="388">
        <f t="shared" si="5"/>
        <v>85.66493955094991</v>
      </c>
      <c r="R16" s="388">
        <f t="shared" si="6"/>
        <v>85.714285714285708</v>
      </c>
      <c r="S16" s="388">
        <f t="shared" si="1"/>
        <v>87.74647887323944</v>
      </c>
    </row>
    <row r="17" spans="1:19">
      <c r="A17" s="465" t="s">
        <v>343</v>
      </c>
      <c r="B17" s="402">
        <v>30</v>
      </c>
      <c r="C17" s="402">
        <v>31</v>
      </c>
      <c r="D17" s="402">
        <v>30</v>
      </c>
      <c r="E17" s="402">
        <v>22</v>
      </c>
      <c r="F17" s="402">
        <v>35</v>
      </c>
      <c r="G17" s="402">
        <v>29</v>
      </c>
      <c r="H17" s="402">
        <v>29</v>
      </c>
      <c r="I17" s="402">
        <v>24</v>
      </c>
      <c r="J17" s="402">
        <v>25</v>
      </c>
      <c r="K17" s="402">
        <v>21</v>
      </c>
      <c r="L17" s="402">
        <v>33</v>
      </c>
      <c r="M17" s="402">
        <v>29</v>
      </c>
      <c r="N17" s="388">
        <f t="shared" si="2"/>
        <v>96.666666666666671</v>
      </c>
      <c r="O17" s="388">
        <f t="shared" si="3"/>
        <v>77.41935483870968</v>
      </c>
      <c r="P17" s="388">
        <f t="shared" si="4"/>
        <v>83.333333333333343</v>
      </c>
      <c r="Q17" s="388">
        <f t="shared" si="5"/>
        <v>95.454545454545453</v>
      </c>
      <c r="R17" s="388">
        <f t="shared" si="6"/>
        <v>94.285714285714278</v>
      </c>
      <c r="S17" s="388">
        <f t="shared" si="1"/>
        <v>100</v>
      </c>
    </row>
    <row r="18" spans="1:19">
      <c r="A18" s="387" t="s">
        <v>357</v>
      </c>
    </row>
    <row r="19" spans="1:19">
      <c r="A19" s="387" t="s">
        <v>368</v>
      </c>
    </row>
  </sheetData>
  <sheetProtection password="B8D9" sheet="1" objects="1" scenarios="1"/>
  <mergeCells count="4">
    <mergeCell ref="A1:A2"/>
    <mergeCell ref="B1:G1"/>
    <mergeCell ref="H1:M1"/>
    <mergeCell ref="N1:S1"/>
  </mergeCells>
  <pageMargins left="0.70866141732283472" right="0.70866141732283472" top="0.74803149606299213" bottom="0.74803149606299213" header="0.31496062992125984" footer="0.31496062992125984"/>
  <pageSetup paperSize="9" scale="81"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7.xml><?xml version="1.0" encoding="utf-8"?>
<worksheet xmlns="http://schemas.openxmlformats.org/spreadsheetml/2006/main" xmlns:r="http://schemas.openxmlformats.org/officeDocument/2006/relationships">
  <sheetPr codeName="Sheet38">
    <pageSetUpPr fitToPage="1"/>
  </sheetPr>
  <dimension ref="A1:O34"/>
  <sheetViews>
    <sheetView workbookViewId="0"/>
  </sheetViews>
  <sheetFormatPr defaultRowHeight="12.75"/>
  <cols>
    <col min="1" max="1" width="1.7109375" style="2" customWidth="1"/>
    <col min="2" max="2" width="32.7109375" style="2" customWidth="1"/>
    <col min="3" max="4" width="24.7109375" style="2" customWidth="1"/>
    <col min="5" max="5" width="26.85546875" style="2" customWidth="1"/>
    <col min="6" max="6" width="12.7109375" style="2" customWidth="1"/>
    <col min="7" max="7" width="1.7109375" style="2" customWidth="1"/>
    <col min="8" max="8" width="12.7109375" style="2" customWidth="1"/>
    <col min="9" max="9" width="9.140625" style="2"/>
    <col min="10" max="11" width="6.7109375" style="2" customWidth="1"/>
    <col min="12" max="13" width="9.5703125" style="2" bestFit="1" customWidth="1"/>
    <col min="14" max="16384" width="9.140625" style="2"/>
  </cols>
  <sheetData>
    <row r="1" spans="1:15" ht="15.75" customHeight="1">
      <c r="B1" s="26" t="s">
        <v>500</v>
      </c>
      <c r="C1" s="26"/>
      <c r="D1" s="26"/>
      <c r="E1" s="26"/>
      <c r="F1" s="104"/>
    </row>
    <row r="2" spans="1:15">
      <c r="B2" s="104"/>
      <c r="C2" s="104"/>
      <c r="D2" s="105"/>
      <c r="E2" s="105"/>
      <c r="F2" s="105"/>
      <c r="G2" s="105"/>
      <c r="H2" s="105"/>
    </row>
    <row r="3" spans="1:15" ht="15">
      <c r="B3" s="958" t="s">
        <v>45</v>
      </c>
      <c r="C3" s="958"/>
      <c r="F3" s="277"/>
    </row>
    <row r="4" spans="1:15">
      <c r="B4" s="959" t="s">
        <v>277</v>
      </c>
      <c r="C4" s="960" t="s">
        <v>469</v>
      </c>
      <c r="D4" s="960" t="s">
        <v>651</v>
      </c>
      <c r="E4" s="960" t="s">
        <v>261</v>
      </c>
      <c r="F4" s="961" t="s">
        <v>162</v>
      </c>
      <c r="G4" s="962"/>
      <c r="H4" s="963"/>
    </row>
    <row r="5" spans="1:15" ht="31.5" customHeight="1">
      <c r="B5" s="959"/>
      <c r="C5" s="960"/>
      <c r="D5" s="960"/>
      <c r="E5" s="960"/>
      <c r="F5" s="964"/>
      <c r="G5" s="965"/>
      <c r="H5" s="966"/>
    </row>
    <row r="6" spans="1:15">
      <c r="B6" s="162" t="s">
        <v>134</v>
      </c>
      <c r="C6" s="163">
        <f>SUM(C7:C20)</f>
        <v>913</v>
      </c>
      <c r="D6" s="393">
        <f>SUM(D7:D20)</f>
        <v>5373000</v>
      </c>
      <c r="E6" s="164">
        <f>IF(ISERR(C6/D6*100000),"-",C6/D6*100000)</f>
        <v>16.992369253675786</v>
      </c>
      <c r="F6" s="165">
        <f>IF(AND(C6&gt;=0,C6&lt;100),SUM(VLOOKUP(C6,'Poisson sub 100'!$A$4:$C$103,2,FALSE)/D6*100000),IF(C6&gt;=100,SUM((((1.96/2)-SQRT(C6))^2)/D6*100000),""))</f>
        <v>15.908007740097274</v>
      </c>
      <c r="G6" s="166" t="s">
        <v>262</v>
      </c>
      <c r="H6" s="167">
        <f>IF(AND(C6&gt;=0,C6&lt;100),SUM(VLOOKUP(C6,'Poisson sub 100'!$A$4:$C$103,3,FALSE)/D6*100000),IF(C6&gt;=100,SUM((((1.96/2)+SQRT(C6+1))^2)/D6*100000),""))</f>
        <v>18.131694928618973</v>
      </c>
      <c r="J6" s="168"/>
      <c r="K6" s="168"/>
      <c r="L6" s="168"/>
      <c r="M6" s="168"/>
      <c r="N6" s="168"/>
      <c r="O6" s="168"/>
    </row>
    <row r="7" spans="1:15">
      <c r="A7" s="169" t="str">
        <f>B7</f>
        <v>Ayrshire &amp; Arran</v>
      </c>
      <c r="B7" s="170" t="s">
        <v>33</v>
      </c>
      <c r="C7" s="128">
        <v>48</v>
      </c>
      <c r="D7" s="394">
        <v>370590</v>
      </c>
      <c r="E7" s="171">
        <f t="shared" ref="E7:E20" si="0">IF(ISERR(C7/D7*100000),"-",C7/D7*100000)</f>
        <v>12.952319274670121</v>
      </c>
      <c r="F7" s="172">
        <f>IF(AND(C7&gt;=0,C7&lt;100),SUM(VLOOKUP(C7,'Poisson sub 100'!$A$4:$C$103,2,FALSE)/D7*100000),IF(C7&gt;=100,SUM((((1.96/2)-SQRT(C7))^2)/D7*100000),""))</f>
        <v>9.5500148411991681</v>
      </c>
      <c r="G7" s="173" t="s">
        <v>262</v>
      </c>
      <c r="H7" s="174">
        <f>IF(AND(C7&gt;=0,C7&lt;100),SUM(VLOOKUP(C7,'Poisson sub 100'!$A$4:$C$103,3,FALSE)/D7*100000),IF(C7&gt;=100,SUM((((1.96/2)+SQRT(C7+1))^2)/D7*100000),""))</f>
        <v>17.172886478318357</v>
      </c>
      <c r="J7" s="168"/>
      <c r="K7" s="168"/>
      <c r="L7" s="168"/>
      <c r="M7" s="168"/>
      <c r="N7" s="168"/>
      <c r="O7" s="168"/>
    </row>
    <row r="8" spans="1:15">
      <c r="A8" s="169" t="str">
        <f t="shared" ref="A8:A21" si="1">B8</f>
        <v>Borders</v>
      </c>
      <c r="B8" s="170" t="s">
        <v>28</v>
      </c>
      <c r="C8" s="128">
        <v>9</v>
      </c>
      <c r="D8" s="394">
        <v>114030</v>
      </c>
      <c r="E8" s="171">
        <f t="shared" si="0"/>
        <v>7.8926598263614833</v>
      </c>
      <c r="F8" s="172">
        <f>IF(AND(C8&gt;=0,C8&lt;100),SUM(VLOOKUP(C8,'Poisson sub 100'!$A$4:$C$103,2,FALSE)/D8*100000),IF(C8&gt;=100,SUM((((1.96/2)-SQRT(C8))^2)/D8*100000),""))</f>
        <v>3.6090502499342283</v>
      </c>
      <c r="G8" s="173" t="s">
        <v>262</v>
      </c>
      <c r="H8" s="174">
        <f>IF(AND(C8&gt;=0,C8&lt;100),SUM(VLOOKUP(C8,'Poisson sub 100'!$A$4:$C$103,3,FALSE)/D8*100000),IF(C8&gt;=100,SUM((((1.96/2)+SQRT(C8+1))^2)/D8*100000),""))</f>
        <v>14.982723844602299</v>
      </c>
      <c r="J8" s="168"/>
      <c r="K8" s="168"/>
      <c r="L8" s="168"/>
      <c r="M8" s="168"/>
      <c r="N8" s="168"/>
      <c r="O8" s="168"/>
    </row>
    <row r="9" spans="1:15">
      <c r="A9" s="169" t="str">
        <f t="shared" si="1"/>
        <v>Dumfries &amp; Galloway</v>
      </c>
      <c r="B9" s="170" t="s">
        <v>31</v>
      </c>
      <c r="C9" s="128">
        <v>38</v>
      </c>
      <c r="D9" s="394">
        <v>149670</v>
      </c>
      <c r="E9" s="171">
        <f t="shared" si="0"/>
        <v>25.389189550344089</v>
      </c>
      <c r="F9" s="172">
        <f>IF(AND(C9&gt;=0,C9&lt;100),SUM(VLOOKUP(C9,'Poisson sub 100'!$A$4:$C$103,2,FALSE)/D9*100000),IF(C9&gt;=100,SUM((((1.96/2)-SQRT(C9))^2)/D9*100000),""))</f>
        <v>17.966927239927845</v>
      </c>
      <c r="G9" s="173" t="s">
        <v>262</v>
      </c>
      <c r="H9" s="174">
        <f>IF(AND(C9&gt;=0,C9&lt;100),SUM(VLOOKUP(C9,'Poisson sub 100'!$A$4:$C$103,3,FALSE)/D9*100000),IF(C9&gt;=100,SUM((((1.96/2)+SQRT(C9+1))^2)/D9*100000),""))</f>
        <v>34.848667067548611</v>
      </c>
      <c r="J9" s="168"/>
      <c r="K9" s="168"/>
      <c r="L9" s="168"/>
      <c r="M9" s="168"/>
      <c r="N9" s="168"/>
      <c r="O9" s="168"/>
    </row>
    <row r="10" spans="1:15">
      <c r="A10" s="169" t="str">
        <f t="shared" si="1"/>
        <v>Fife</v>
      </c>
      <c r="B10" s="170" t="s">
        <v>30</v>
      </c>
      <c r="C10" s="128">
        <v>68</v>
      </c>
      <c r="D10" s="394">
        <v>368080</v>
      </c>
      <c r="E10" s="171">
        <f t="shared" si="0"/>
        <v>18.474244729406649</v>
      </c>
      <c r="F10" s="172">
        <f>IF(AND(C10&gt;=0,C10&lt;100),SUM(VLOOKUP(C10,'Poisson sub 100'!$A$4:$C$103,2,FALSE)/D10*100000),IF(C10&gt;=100,SUM((((1.96/2)-SQRT(C10))^2)/D10*100000),""))</f>
        <v>14.345984568572048</v>
      </c>
      <c r="G10" s="173" t="s">
        <v>262</v>
      </c>
      <c r="H10" s="174">
        <f>IF(AND(C10&gt;=0,C10&lt;100),SUM(VLOOKUP(C10,'Poisson sub 100'!$A$4:$C$103,3,FALSE)/D10*100000),IF(C10&gt;=100,SUM((((1.96/2)+SQRT(C10+1))^2)/D10*100000),""))</f>
        <v>23.420452075635733</v>
      </c>
      <c r="J10" s="168"/>
      <c r="K10" s="168"/>
      <c r="L10" s="168"/>
      <c r="M10" s="168"/>
      <c r="N10" s="168"/>
      <c r="O10" s="168"/>
    </row>
    <row r="11" spans="1:15">
      <c r="A11" s="169" t="str">
        <f t="shared" si="1"/>
        <v>Forth Valley</v>
      </c>
      <c r="B11" s="170" t="s">
        <v>35</v>
      </c>
      <c r="C11" s="128">
        <v>40</v>
      </c>
      <c r="D11" s="394">
        <v>302650</v>
      </c>
      <c r="E11" s="171">
        <f t="shared" si="0"/>
        <v>13.216586816454649</v>
      </c>
      <c r="F11" s="172">
        <f>IF(AND(C11&gt;=0,C11&lt;100),SUM(VLOOKUP(C11,'Poisson sub 100'!$A$4:$C$103,2,FALSE)/D11*100000),IF(C11&gt;=100,SUM((((1.96/2)-SQRT(C11))^2)/D11*100000),""))</f>
        <v>9.4421278704774494</v>
      </c>
      <c r="G11" s="173" t="s">
        <v>262</v>
      </c>
      <c r="H11" s="174">
        <f>IF(AND(C11&gt;=0,C11&lt;100),SUM(VLOOKUP(C11,'Poisson sub 100'!$A$4:$C$103,3,FALSE)/D11*100000),IF(C11&gt;=100,SUM((((1.96/2)+SQRT(C11+1))^2)/D11*100000),""))</f>
        <v>17.997224516768544</v>
      </c>
      <c r="J11" s="168"/>
      <c r="K11" s="168"/>
      <c r="L11" s="168"/>
      <c r="M11" s="168"/>
      <c r="N11" s="168"/>
      <c r="O11" s="168"/>
    </row>
    <row r="12" spans="1:15">
      <c r="A12" s="169" t="str">
        <f t="shared" si="1"/>
        <v>Grampian</v>
      </c>
      <c r="B12" s="170" t="s">
        <v>34</v>
      </c>
      <c r="C12" s="128">
        <v>154</v>
      </c>
      <c r="D12" s="394">
        <v>587820</v>
      </c>
      <c r="E12" s="171">
        <f t="shared" si="0"/>
        <v>26.198496138273622</v>
      </c>
      <c r="F12" s="172">
        <f>IF(AND(C12&gt;=0,C12&lt;100),SUM(VLOOKUP(C12,'Poisson sub 100'!$A$4:$C$103,2,FALSE)/D12*100000),IF(C12&gt;=100,SUM((((1.96/2)-SQRT(C12))^2)/D12*100000),""))</f>
        <v>22.22405492393214</v>
      </c>
      <c r="G12" s="173" t="s">
        <v>262</v>
      </c>
      <c r="H12" s="174">
        <f>IF(AND(C12&gt;=0,C12&lt;100),SUM(VLOOKUP(C12,'Poisson sub 100'!$A$4:$C$103,3,FALSE)/D12*100000),IF(C12&gt;=100,SUM((((1.96/2)+SQRT(C12+1))^2)/D12*100000),""))</f>
        <v>30.68323691130923</v>
      </c>
      <c r="J12" s="168"/>
      <c r="K12" s="168"/>
      <c r="L12" s="168"/>
      <c r="M12" s="168"/>
      <c r="N12" s="168"/>
      <c r="O12" s="168"/>
    </row>
    <row r="13" spans="1:15">
      <c r="A13" s="169" t="str">
        <f t="shared" si="1"/>
        <v>Greater Glasgow &amp; Clyde</v>
      </c>
      <c r="B13" s="170" t="s">
        <v>40</v>
      </c>
      <c r="C13" s="128">
        <v>195</v>
      </c>
      <c r="D13" s="394">
        <v>1149890</v>
      </c>
      <c r="E13" s="171">
        <f t="shared" si="0"/>
        <v>16.95814382245258</v>
      </c>
      <c r="F13" s="172">
        <f>IF(AND(C13&gt;=0,C13&lt;100),SUM(VLOOKUP(C13,'Poisson sub 100'!$A$4:$C$103,2,FALSE)/D13*100000),IF(C13&gt;=100,SUM((((1.96/2)-SQRT(C13))^2)/D13*100000),""))</f>
        <v>14.661444965536951</v>
      </c>
      <c r="G13" s="173" t="s">
        <v>262</v>
      </c>
      <c r="H13" s="174">
        <f>IF(AND(C13&gt;=0,C13&lt;100),SUM(VLOOKUP(C13,'Poisson sub 100'!$A$4:$C$103,3,FALSE)/D13*100000),IF(C13&gt;=100,SUM((((1.96/2)+SQRT(C13+1))^2)/D13*100000),""))</f>
        <v>19.514944907773788</v>
      </c>
      <c r="J13" s="168"/>
      <c r="K13" s="168"/>
      <c r="L13" s="168"/>
      <c r="M13" s="168"/>
      <c r="N13" s="168"/>
      <c r="O13" s="168"/>
    </row>
    <row r="14" spans="1:15">
      <c r="A14" s="169" t="str">
        <f t="shared" si="1"/>
        <v>Highland</v>
      </c>
      <c r="B14" s="170" t="s">
        <v>36</v>
      </c>
      <c r="C14" s="128">
        <v>38</v>
      </c>
      <c r="D14" s="394">
        <v>321000</v>
      </c>
      <c r="E14" s="171">
        <f t="shared" si="0"/>
        <v>11.838006230529595</v>
      </c>
      <c r="F14" s="172">
        <f>IF(AND(C14&gt;=0,C14&lt;100),SUM(VLOOKUP(C14,'Poisson sub 100'!$A$4:$C$103,2,FALSE)/D14*100000),IF(C14&gt;=100,SUM((((1.96/2)-SQRT(C14))^2)/D14*100000),""))</f>
        <v>8.3772897196261678</v>
      </c>
      <c r="G14" s="173" t="s">
        <v>262</v>
      </c>
      <c r="H14" s="174">
        <f>IF(AND(C14&gt;=0,C14&lt;100),SUM(VLOOKUP(C14,'Poisson sub 100'!$A$4:$C$103,3,FALSE)/D14*100000),IF(C14&gt;=100,SUM((((1.96/2)+SQRT(C14+1))^2)/D14*100000),""))</f>
        <v>16.24859813084112</v>
      </c>
      <c r="J14" s="168"/>
      <c r="K14" s="168"/>
      <c r="L14" s="168"/>
      <c r="M14" s="168"/>
      <c r="N14" s="168"/>
      <c r="O14" s="168"/>
    </row>
    <row r="15" spans="1:15">
      <c r="A15" s="169" t="str">
        <f t="shared" si="1"/>
        <v>Lanarkshire</v>
      </c>
      <c r="B15" s="170" t="s">
        <v>29</v>
      </c>
      <c r="C15" s="128">
        <v>129</v>
      </c>
      <c r="D15" s="394">
        <v>654490</v>
      </c>
      <c r="E15" s="171">
        <f t="shared" si="0"/>
        <v>19.710003208605176</v>
      </c>
      <c r="F15" s="172">
        <f>IF(AND(C15&gt;=0,C15&lt;100),SUM(VLOOKUP(C15,'Poisson sub 100'!$A$4:$C$103,2,FALSE)/D15*100000),IF(C15&gt;=100,SUM((((1.96/2)-SQRT(C15))^2)/D15*100000),""))</f>
        <v>16.455420141554939</v>
      </c>
      <c r="G15" s="173" t="s">
        <v>262</v>
      </c>
      <c r="H15" s="174">
        <f>IF(AND(C15&gt;=0,C15&lt;100),SUM(VLOOKUP(C15,'Poisson sub 100'!$A$4:$C$103,3,FALSE)/D15*100000),IF(C15&gt;=100,SUM((((1.96/2)+SQRT(C15+1))^2)/D15*100000),""))</f>
        <v>23.424015390906366</v>
      </c>
      <c r="J15" s="168"/>
      <c r="K15" s="168"/>
      <c r="L15" s="168"/>
      <c r="M15" s="168"/>
      <c r="N15" s="168"/>
      <c r="O15" s="168"/>
    </row>
    <row r="16" spans="1:15">
      <c r="A16" s="169" t="str">
        <f t="shared" si="1"/>
        <v>Lothian</v>
      </c>
      <c r="B16" s="170" t="s">
        <v>38</v>
      </c>
      <c r="C16" s="128">
        <v>114</v>
      </c>
      <c r="D16" s="394">
        <v>867800</v>
      </c>
      <c r="E16" s="171">
        <f t="shared" si="0"/>
        <v>13.136667434892832</v>
      </c>
      <c r="F16" s="172">
        <f>IF(AND(C16&gt;=0,C16&lt;100),SUM(VLOOKUP(C16,'Poisson sub 100'!$A$4:$C$103,2,FALSE)/D16*100000),IF(C16&gt;=100,SUM((((1.96/2)-SQRT(C16))^2)/D16*100000),""))</f>
        <v>10.835829295461929</v>
      </c>
      <c r="G16" s="173" t="s">
        <v>262</v>
      </c>
      <c r="H16" s="174">
        <f>IF(AND(C16&gt;=0,C16&lt;100),SUM(VLOOKUP(C16,'Poisson sub 100'!$A$4:$C$103,3,FALSE)/D16*100000),IF(C16&gt;=100,SUM((((1.96/2)+SQRT(C16+1))^2)/D16*100000),""))</f>
        <v>15.784634521518397</v>
      </c>
      <c r="J16" s="168"/>
      <c r="K16" s="168"/>
      <c r="L16" s="168"/>
      <c r="M16" s="168"/>
      <c r="N16" s="168"/>
      <c r="O16" s="168"/>
    </row>
    <row r="17" spans="1:15">
      <c r="A17" s="169" t="str">
        <f t="shared" si="1"/>
        <v>Orkney</v>
      </c>
      <c r="B17" s="170" t="s">
        <v>41</v>
      </c>
      <c r="C17" s="128">
        <v>3</v>
      </c>
      <c r="D17" s="394">
        <v>21670</v>
      </c>
      <c r="E17" s="171">
        <f t="shared" si="0"/>
        <v>13.844023996308259</v>
      </c>
      <c r="F17" s="172">
        <f>IF(AND(C17&gt;=0,C17&lt;100),SUM(VLOOKUP(C17,'Poisson sub 100'!$A$4:$C$103,2,FALSE)/D17*100000),IF(C17&gt;=100,SUM((((1.96/2)-SQRT(C17))^2)/D17*100000),""))</f>
        <v>2.855099215505307</v>
      </c>
      <c r="G17" s="173" t="s">
        <v>262</v>
      </c>
      <c r="H17" s="174">
        <f>IF(AND(C17&gt;=0,C17&lt;100),SUM(VLOOKUP(C17,'Poisson sub 100'!$A$4:$C$103,3,FALSE)/D17*100000),IF(C17&gt;=100,SUM((((1.96/2)+SQRT(C17+1))^2)/D17*100000),""))</f>
        <v>40.458237194277807</v>
      </c>
      <c r="J17" s="168"/>
      <c r="K17" s="168"/>
      <c r="L17" s="168"/>
      <c r="M17" s="168"/>
      <c r="N17" s="168"/>
      <c r="O17" s="168"/>
    </row>
    <row r="18" spans="1:15">
      <c r="A18" s="169" t="str">
        <f t="shared" si="1"/>
        <v>Shetland</v>
      </c>
      <c r="B18" s="170" t="s">
        <v>39</v>
      </c>
      <c r="C18" s="128">
        <v>2</v>
      </c>
      <c r="D18" s="394">
        <v>23200</v>
      </c>
      <c r="E18" s="171">
        <f t="shared" si="0"/>
        <v>8.6206896551724128</v>
      </c>
      <c r="F18" s="172">
        <f>IF(AND(C18&gt;=0,C18&lt;100),SUM(VLOOKUP(C18,'Poisson sub 100'!$A$4:$C$103,2,FALSE)/D18*100000),IF(C18&gt;=100,SUM((((1.96/2)-SQRT(C18))^2)/D18*100000),""))</f>
        <v>1.0439655172413793</v>
      </c>
      <c r="G18" s="173" t="s">
        <v>262</v>
      </c>
      <c r="H18" s="174">
        <f>IF(AND(C18&gt;=0,C18&lt;100),SUM(VLOOKUP(C18,'Poisson sub 100'!$A$4:$C$103,3,FALSE)/D18*100000),IF(C18&gt;=100,SUM((((1.96/2)+SQRT(C18+1))^2)/D18*100000),""))</f>
        <v>31.140948275862069</v>
      </c>
      <c r="J18" s="168"/>
      <c r="K18" s="168"/>
      <c r="L18" s="168"/>
      <c r="M18" s="168"/>
      <c r="N18" s="168"/>
      <c r="O18" s="168"/>
    </row>
    <row r="19" spans="1:15">
      <c r="A19" s="169" t="str">
        <f t="shared" si="1"/>
        <v>Tayside</v>
      </c>
      <c r="B19" s="170" t="s">
        <v>32</v>
      </c>
      <c r="C19" s="128">
        <v>70</v>
      </c>
      <c r="D19" s="394">
        <v>415040</v>
      </c>
      <c r="E19" s="171">
        <f t="shared" si="0"/>
        <v>16.865844255975329</v>
      </c>
      <c r="F19" s="172">
        <f>IF(AND(C19&gt;=0,C19&lt;100),SUM(VLOOKUP(C19,'Poisson sub 100'!$A$4:$C$103,2,FALSE)/D19*100000),IF(C19&gt;=100,SUM((((1.96/2)-SQRT(C19))^2)/D19*100000),""))</f>
        <v>13.147744795682343</v>
      </c>
      <c r="G19" s="173" t="s">
        <v>262</v>
      </c>
      <c r="H19" s="174">
        <f>IF(AND(C19&gt;=0,C19&lt;100),SUM(VLOOKUP(C19,'Poisson sub 100'!$A$4:$C$103,3,FALSE)/D19*100000),IF(C19&gt;=100,SUM((((1.96/2)+SQRT(C19+1))^2)/D19*100000),""))</f>
        <v>21.309030454895915</v>
      </c>
      <c r="J19" s="168"/>
      <c r="K19" s="168"/>
      <c r="L19" s="168"/>
      <c r="M19" s="168"/>
      <c r="N19" s="168"/>
      <c r="O19" s="168"/>
    </row>
    <row r="20" spans="1:15">
      <c r="A20" s="169" t="str">
        <f t="shared" si="1"/>
        <v>Western Isles</v>
      </c>
      <c r="B20" s="170" t="s">
        <v>37</v>
      </c>
      <c r="C20" s="128">
        <v>5</v>
      </c>
      <c r="D20" s="394">
        <v>27070</v>
      </c>
      <c r="E20" s="171">
        <f t="shared" si="0"/>
        <v>18.470631695603988</v>
      </c>
      <c r="F20" s="172">
        <f>IF(AND(C20&gt;=0,C20&lt;100),SUM(VLOOKUP(C20,'Poisson sub 100'!$A$4:$C$103,2,FALSE)/D20*100000),IF(C20&gt;=100,SUM((((1.96/2)-SQRT(C20))^2)/D20*100000),""))</f>
        <v>5.9974141115626152</v>
      </c>
      <c r="G20" s="173" t="s">
        <v>262</v>
      </c>
      <c r="H20" s="174">
        <f>IF(AND(C20&gt;=0,C20&lt;100),SUM(VLOOKUP(C20,'Poisson sub 100'!$A$4:$C$103,3,FALSE)/D20*100000),IF(C20&gt;=100,SUM((((1.96/2)+SQRT(C20+1))^2)/D20*100000),""))</f>
        <v>43.10417436276321</v>
      </c>
      <c r="J20" s="168"/>
      <c r="K20" s="168"/>
      <c r="L20" s="168"/>
      <c r="M20" s="168"/>
      <c r="N20" s="168"/>
      <c r="O20" s="168"/>
    </row>
    <row r="21" spans="1:15">
      <c r="A21" s="169" t="str">
        <f t="shared" si="1"/>
        <v>Outside Scotland/ Not Known/ Other</v>
      </c>
      <c r="B21" s="170" t="s">
        <v>263</v>
      </c>
      <c r="C21" s="128">
        <v>38</v>
      </c>
      <c r="D21" s="175" t="s">
        <v>262</v>
      </c>
      <c r="E21" s="176" t="s">
        <v>262</v>
      </c>
      <c r="F21" s="951" t="s">
        <v>262</v>
      </c>
      <c r="G21" s="952"/>
      <c r="H21" s="953"/>
    </row>
    <row r="22" spans="1:15">
      <c r="A22" s="169"/>
      <c r="B22" s="177"/>
      <c r="C22" s="178"/>
      <c r="D22" s="179"/>
      <c r="E22" s="180"/>
      <c r="F22" s="181"/>
      <c r="G22" s="181"/>
      <c r="H22" s="181"/>
    </row>
    <row r="23" spans="1:15">
      <c r="A23" s="169"/>
      <c r="B23" s="182" t="s">
        <v>652</v>
      </c>
      <c r="C23" s="183"/>
      <c r="D23" s="184"/>
      <c r="E23" s="185"/>
      <c r="F23" s="186"/>
      <c r="G23" s="186"/>
      <c r="H23" s="186"/>
    </row>
    <row r="24" spans="1:15" ht="26.1" customHeight="1">
      <c r="A24" s="169"/>
      <c r="B24" s="954" t="s">
        <v>508</v>
      </c>
      <c r="C24" s="954"/>
      <c r="D24" s="954"/>
      <c r="E24" s="954"/>
      <c r="F24" s="954"/>
      <c r="G24" s="954"/>
      <c r="H24" s="954"/>
    </row>
    <row r="25" spans="1:15" ht="25.5" customHeight="1">
      <c r="B25" s="955" t="s">
        <v>5</v>
      </c>
      <c r="C25" s="955"/>
      <c r="D25" s="955"/>
      <c r="E25" s="955"/>
      <c r="F25" s="955"/>
      <c r="G25" s="955"/>
      <c r="H25" s="955"/>
    </row>
    <row r="26" spans="1:15" ht="12.75" customHeight="1">
      <c r="B26" s="943" t="s">
        <v>509</v>
      </c>
      <c r="C26" s="943"/>
      <c r="D26" s="943"/>
      <c r="E26" s="943"/>
      <c r="F26" s="943"/>
      <c r="G26" s="943"/>
      <c r="H26" s="943"/>
    </row>
    <row r="27" spans="1:15" ht="24" customHeight="1">
      <c r="B27" s="943"/>
      <c r="C27" s="943"/>
      <c r="D27" s="943"/>
      <c r="E27" s="943"/>
      <c r="F27" s="943"/>
      <c r="G27" s="943"/>
      <c r="H27" s="943"/>
    </row>
    <row r="28" spans="1:15" s="784" customFormat="1" ht="24" customHeight="1">
      <c r="B28" s="957" t="s">
        <v>737</v>
      </c>
      <c r="C28" s="956"/>
      <c r="D28" s="956"/>
      <c r="E28" s="956"/>
      <c r="F28" s="956"/>
      <c r="G28" s="956"/>
      <c r="H28" s="956"/>
    </row>
    <row r="29" spans="1:15" s="784" customFormat="1" ht="24" customHeight="1">
      <c r="B29" s="779"/>
      <c r="C29" s="779"/>
      <c r="D29" s="779"/>
      <c r="E29" s="779"/>
      <c r="F29" s="779"/>
      <c r="G29" s="779"/>
      <c r="H29" s="779"/>
    </row>
    <row r="30" spans="1:15">
      <c r="B30" s="188" t="s">
        <v>264</v>
      </c>
      <c r="C30" s="31"/>
      <c r="D30" s="31"/>
      <c r="E30" s="31"/>
      <c r="F30" s="31"/>
      <c r="G30" s="31"/>
      <c r="H30" s="31"/>
    </row>
    <row r="31" spans="1:15">
      <c r="B31" s="188" t="s">
        <v>265</v>
      </c>
      <c r="C31" s="188"/>
      <c r="D31" s="188"/>
      <c r="E31" s="188"/>
      <c r="F31" s="66"/>
      <c r="G31" s="66"/>
      <c r="H31" s="66"/>
    </row>
    <row r="32" spans="1:15">
      <c r="B32" s="189" t="s">
        <v>266</v>
      </c>
    </row>
    <row r="33" spans="2:2">
      <c r="B33" s="189" t="s">
        <v>267</v>
      </c>
    </row>
    <row r="34" spans="2:2">
      <c r="B34" s="189" t="s">
        <v>268</v>
      </c>
    </row>
  </sheetData>
  <sheetProtection password="B8D9" sheet="1" objects="1" scenarios="1"/>
  <mergeCells count="11">
    <mergeCell ref="B28:H28"/>
    <mergeCell ref="B26:H27"/>
    <mergeCell ref="F21:H21"/>
    <mergeCell ref="B25:H25"/>
    <mergeCell ref="B3:C3"/>
    <mergeCell ref="B4:B5"/>
    <mergeCell ref="C4:C5"/>
    <mergeCell ref="D4:D5"/>
    <mergeCell ref="E4:E5"/>
    <mergeCell ref="F4:H5"/>
    <mergeCell ref="B24:H24"/>
  </mergeCells>
  <phoneticPr fontId="0" type="noConversion"/>
  <hyperlinks>
    <hyperlink ref="D3" location="'List of Tables &amp; Charts'!A1" display="return to List of Tables &amp; Charts"/>
    <hyperlink ref="E3" location="'List of Tables &amp; Charts'!A1" display="return to List of Tables &amp; Charts"/>
    <hyperlink ref="H3" location="'List of Tables &amp; Charts'!A1" display="return to List of Tables &amp; Charts"/>
    <hyperlink ref="B3:C3" location="'List of Tables &amp; Charts'!A1" display="return to List of Tables &amp; Charts"/>
  </hyperlinks>
  <pageMargins left="0.74803149606299213" right="0.74803149606299213" top="0.39370078740157483" bottom="0.74803149606299213" header="0.15748031496062992" footer="0.19685039370078741"/>
  <pageSetup paperSize="9" scale="94" orientation="landscape" r:id="rId1"/>
  <headerFooter alignWithMargins="0">
    <oddFooter>&amp;L&amp;8Scottish Stroke Care Audit 2017 National Report
Stroke Services in Scottish Hospitals, Data relating to 2016&amp;R&amp;8© NHS National Services Scotland/Crown Copyright</oddFooter>
  </headerFooter>
</worksheet>
</file>

<file path=xl/worksheets/sheet70.xml><?xml version="1.0" encoding="utf-8"?>
<worksheet xmlns="http://schemas.openxmlformats.org/spreadsheetml/2006/main" xmlns:r="http://schemas.openxmlformats.org/officeDocument/2006/relationships">
  <sheetPr codeName="Sheet64">
    <pageSetUpPr fitToPage="1"/>
  </sheetPr>
  <dimension ref="A1:O33"/>
  <sheetViews>
    <sheetView workbookViewId="0"/>
  </sheetViews>
  <sheetFormatPr defaultRowHeight="15"/>
  <cols>
    <col min="1" max="1" width="1.7109375" customWidth="1"/>
  </cols>
  <sheetData>
    <row r="1" spans="1:15" s="397" customFormat="1" ht="12.75" customHeight="1">
      <c r="A1" s="1"/>
      <c r="B1" s="969" t="s">
        <v>706</v>
      </c>
      <c r="C1" s="969"/>
      <c r="D1" s="969"/>
      <c r="E1" s="969"/>
      <c r="F1" s="969"/>
      <c r="G1" s="969"/>
      <c r="H1" s="969"/>
      <c r="I1" s="969"/>
      <c r="J1" s="969"/>
      <c r="K1" s="969"/>
      <c r="L1" s="969"/>
      <c r="M1" s="969"/>
      <c r="N1" s="969"/>
      <c r="O1" s="985" t="s">
        <v>45</v>
      </c>
    </row>
    <row r="2" spans="1:15" s="397" customFormat="1" ht="12.75">
      <c r="B2" s="969"/>
      <c r="C2" s="969"/>
      <c r="D2" s="969"/>
      <c r="E2" s="969"/>
      <c r="F2" s="969"/>
      <c r="G2" s="969"/>
      <c r="H2" s="969"/>
      <c r="I2" s="969"/>
      <c r="J2" s="969"/>
      <c r="K2" s="969"/>
      <c r="L2" s="969"/>
      <c r="M2" s="969"/>
      <c r="N2" s="969"/>
      <c r="O2" s="985"/>
    </row>
    <row r="3" spans="1:15" s="397" customFormat="1" ht="12.75">
      <c r="B3" s="969"/>
      <c r="C3" s="969"/>
      <c r="D3" s="969"/>
      <c r="E3" s="969"/>
      <c r="F3" s="969"/>
      <c r="G3" s="969"/>
      <c r="H3" s="969"/>
      <c r="I3" s="969"/>
      <c r="J3" s="969"/>
      <c r="K3" s="969"/>
      <c r="L3" s="969"/>
      <c r="M3" s="969"/>
      <c r="N3" s="969"/>
      <c r="O3" s="985"/>
    </row>
    <row r="4" spans="1:15" s="113" customFormat="1" ht="12.75" customHeight="1">
      <c r="B4" s="280" t="s">
        <v>358</v>
      </c>
      <c r="C4" s="280"/>
      <c r="D4" s="280"/>
      <c r="E4" s="280"/>
      <c r="F4" s="280"/>
      <c r="G4" s="280"/>
      <c r="H4" s="280"/>
      <c r="I4" s="280"/>
      <c r="J4" s="280"/>
      <c r="K4" s="280"/>
      <c r="L4" s="280"/>
      <c r="M4" s="280"/>
      <c r="N4" s="280"/>
      <c r="O4" s="985"/>
    </row>
    <row r="5" spans="1:15" s="397" customFormat="1" ht="12.75" customHeight="1">
      <c r="B5" s="391" t="s">
        <v>360</v>
      </c>
      <c r="C5" s="279"/>
      <c r="D5" s="279"/>
      <c r="E5" s="279"/>
      <c r="F5" s="279"/>
      <c r="G5" s="279"/>
      <c r="H5" s="279"/>
      <c r="I5" s="279"/>
      <c r="J5" s="279"/>
      <c r="K5" s="279"/>
      <c r="L5" s="279"/>
      <c r="M5" s="279"/>
      <c r="N5" s="289"/>
      <c r="O5" s="396"/>
    </row>
    <row r="6" spans="1:15" s="397" customFormat="1" ht="12.75">
      <c r="B6" s="391" t="s">
        <v>359</v>
      </c>
      <c r="C6" s="279"/>
      <c r="D6" s="279"/>
      <c r="E6" s="279"/>
      <c r="F6" s="279"/>
      <c r="G6" s="279"/>
      <c r="H6" s="279"/>
      <c r="I6" s="279"/>
      <c r="J6" s="279"/>
      <c r="K6" s="279"/>
      <c r="L6" s="279"/>
      <c r="M6" s="279"/>
      <c r="N6" s="1102" t="s">
        <v>551</v>
      </c>
      <c r="O6" s="1102"/>
    </row>
    <row r="32" spans="2:2">
      <c r="B32" s="32" t="s">
        <v>549</v>
      </c>
    </row>
    <row r="33" spans="2:4">
      <c r="B33" s="422" t="s">
        <v>382</v>
      </c>
      <c r="D33" s="423" t="s">
        <v>209</v>
      </c>
    </row>
  </sheetData>
  <sheetProtection password="B8D9" sheet="1" objects="1" scenarios="1"/>
  <mergeCells count="3">
    <mergeCell ref="B1:N3"/>
    <mergeCell ref="O1:O4"/>
    <mergeCell ref="N6:O6"/>
  </mergeCells>
  <hyperlinks>
    <hyperlink ref="O1" location="'List of Tables &amp; Charts'!A1" display="return to List of Tables &amp; Charts"/>
    <hyperlink ref="D33" location="'Chart 2d'!A1" display="Chart 2d"/>
    <hyperlink ref="N6:O6" location="'Chart 17d DATA'!A1" display="view Chart 17d data"/>
  </hyperlinks>
  <pageMargins left="0.70866141732283472" right="0.70866141732283472" top="0.74803149606299213" bottom="0.74803149606299213" header="0.31496062992125984" footer="0.31496062992125984"/>
  <pageSetup paperSize="9" scale="9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71.xml><?xml version="1.0" encoding="utf-8"?>
<worksheet xmlns="http://schemas.openxmlformats.org/spreadsheetml/2006/main" xmlns:r="http://schemas.openxmlformats.org/officeDocument/2006/relationships">
  <sheetPr codeName="Sheet65">
    <pageSetUpPr fitToPage="1"/>
  </sheetPr>
  <dimension ref="A1:S19"/>
  <sheetViews>
    <sheetView workbookViewId="0">
      <selection sqref="A1:A2"/>
    </sheetView>
  </sheetViews>
  <sheetFormatPr defaultRowHeight="11.25"/>
  <cols>
    <col min="1" max="1" width="22.42578125" style="387" bestFit="1" customWidth="1"/>
    <col min="2" max="19" width="7.7109375" style="387" customWidth="1"/>
    <col min="20" max="16384" width="9.140625" style="387"/>
  </cols>
  <sheetData>
    <row r="1" spans="1:19" ht="15" customHeight="1">
      <c r="A1" s="1175" t="s">
        <v>19</v>
      </c>
      <c r="B1" s="1177" t="s">
        <v>372</v>
      </c>
      <c r="C1" s="1177"/>
      <c r="D1" s="1177"/>
      <c r="E1" s="1177"/>
      <c r="F1" s="1177"/>
      <c r="G1" s="1177"/>
      <c r="H1" s="1177" t="s">
        <v>373</v>
      </c>
      <c r="I1" s="1177"/>
      <c r="J1" s="1177"/>
      <c r="K1" s="1177"/>
      <c r="L1" s="1177"/>
      <c r="M1" s="1177"/>
      <c r="N1" s="1177" t="s">
        <v>374</v>
      </c>
      <c r="O1" s="1177"/>
      <c r="P1" s="1177"/>
      <c r="Q1" s="1177"/>
      <c r="R1" s="1178"/>
      <c r="S1" s="1179"/>
    </row>
    <row r="2" spans="1:19">
      <c r="A2" s="1176"/>
      <c r="B2" s="389">
        <v>2011</v>
      </c>
      <c r="C2" s="389">
        <v>2012</v>
      </c>
      <c r="D2" s="389">
        <v>2013</v>
      </c>
      <c r="E2" s="389">
        <v>2014</v>
      </c>
      <c r="F2" s="389">
        <v>2015</v>
      </c>
      <c r="G2" s="389">
        <v>2016</v>
      </c>
      <c r="H2" s="389">
        <v>2011</v>
      </c>
      <c r="I2" s="389">
        <v>2012</v>
      </c>
      <c r="J2" s="389">
        <v>2013</v>
      </c>
      <c r="K2" s="389">
        <v>2014</v>
      </c>
      <c r="L2" s="389">
        <v>2015</v>
      </c>
      <c r="M2" s="389">
        <v>2016</v>
      </c>
      <c r="N2" s="389">
        <v>2011</v>
      </c>
      <c r="O2" s="389">
        <v>2012</v>
      </c>
      <c r="P2" s="389">
        <v>2013</v>
      </c>
      <c r="Q2" s="389">
        <v>2014</v>
      </c>
      <c r="R2" s="755">
        <v>2015</v>
      </c>
      <c r="S2" s="390">
        <v>2016</v>
      </c>
    </row>
    <row r="3" spans="1:19">
      <c r="A3" s="465" t="s">
        <v>344</v>
      </c>
      <c r="B3" s="402">
        <f>SUM(B4:B17)</f>
        <v>6104</v>
      </c>
      <c r="C3" s="402">
        <f t="shared" ref="C3:M3" si="0">SUM(C4:C17)</f>
        <v>5792</v>
      </c>
      <c r="D3" s="402">
        <f t="shared" si="0"/>
        <v>5996</v>
      </c>
      <c r="E3" s="402">
        <f t="shared" si="0"/>
        <v>5929</v>
      </c>
      <c r="F3" s="402">
        <f t="shared" si="0"/>
        <v>6020</v>
      </c>
      <c r="G3" s="402">
        <f t="shared" si="0"/>
        <v>6295</v>
      </c>
      <c r="H3" s="402">
        <f t="shared" si="0"/>
        <v>4476</v>
      </c>
      <c r="I3" s="402">
        <f t="shared" si="0"/>
        <v>4485</v>
      </c>
      <c r="J3" s="402">
        <f t="shared" si="0"/>
        <v>5133</v>
      </c>
      <c r="K3" s="402">
        <f t="shared" si="0"/>
        <v>5214</v>
      </c>
      <c r="L3" s="402">
        <f t="shared" si="0"/>
        <v>5418</v>
      </c>
      <c r="M3" s="402">
        <f t="shared" si="0"/>
        <v>5693</v>
      </c>
      <c r="N3" s="388">
        <f>H3/B3*100</f>
        <v>73.328964613368285</v>
      </c>
      <c r="O3" s="388">
        <f>I3/C3*100</f>
        <v>77.434392265193381</v>
      </c>
      <c r="P3" s="388">
        <f>J3/D3*100</f>
        <v>85.607071380920615</v>
      </c>
      <c r="Q3" s="388">
        <f>K3/E3*100</f>
        <v>87.94063079777365</v>
      </c>
      <c r="R3" s="388">
        <f>L3/F3*100</f>
        <v>90</v>
      </c>
      <c r="S3" s="388">
        <f t="shared" ref="S3:S17" si="1">M3/G3*100</f>
        <v>90.436854646544873</v>
      </c>
    </row>
    <row r="4" spans="1:19">
      <c r="A4" s="465" t="s">
        <v>345</v>
      </c>
      <c r="B4" s="402">
        <v>494</v>
      </c>
      <c r="C4" s="402">
        <v>485</v>
      </c>
      <c r="D4" s="402">
        <v>466</v>
      </c>
      <c r="E4" s="402">
        <v>455</v>
      </c>
      <c r="F4" s="402">
        <v>456</v>
      </c>
      <c r="G4" s="402">
        <v>620</v>
      </c>
      <c r="H4" s="402">
        <v>346</v>
      </c>
      <c r="I4" s="402">
        <v>344</v>
      </c>
      <c r="J4" s="402">
        <v>351</v>
      </c>
      <c r="K4" s="402">
        <v>371</v>
      </c>
      <c r="L4" s="402">
        <v>384</v>
      </c>
      <c r="M4" s="402">
        <v>546</v>
      </c>
      <c r="N4" s="388">
        <f t="shared" ref="N4:N17" si="2">H4/B4*100</f>
        <v>70.040485829959508</v>
      </c>
      <c r="O4" s="388">
        <f t="shared" ref="O4:O17" si="3">I4/C4*100</f>
        <v>70.927835051546396</v>
      </c>
      <c r="P4" s="388">
        <f t="shared" ref="P4:P17" si="4">J4/D4*100</f>
        <v>75.321888412017174</v>
      </c>
      <c r="Q4" s="388">
        <f t="shared" ref="Q4:Q17" si="5">K4/E4*100</f>
        <v>81.538461538461533</v>
      </c>
      <c r="R4" s="388">
        <f t="shared" ref="R4:R17" si="6">L4/F4*100</f>
        <v>84.210526315789465</v>
      </c>
      <c r="S4" s="388">
        <f t="shared" si="1"/>
        <v>88.064516129032256</v>
      </c>
    </row>
    <row r="5" spans="1:19">
      <c r="A5" s="465" t="s">
        <v>346</v>
      </c>
      <c r="B5" s="402">
        <v>186</v>
      </c>
      <c r="C5" s="402">
        <v>162</v>
      </c>
      <c r="D5" s="402">
        <v>160</v>
      </c>
      <c r="E5" s="402">
        <v>145</v>
      </c>
      <c r="F5" s="402">
        <v>146</v>
      </c>
      <c r="G5" s="402">
        <v>150</v>
      </c>
      <c r="H5" s="402">
        <v>148</v>
      </c>
      <c r="I5" s="402">
        <v>135</v>
      </c>
      <c r="J5" s="402">
        <v>146</v>
      </c>
      <c r="K5" s="402">
        <v>139</v>
      </c>
      <c r="L5" s="402">
        <v>143</v>
      </c>
      <c r="M5" s="402">
        <v>150</v>
      </c>
      <c r="N5" s="388">
        <f t="shared" si="2"/>
        <v>79.569892473118273</v>
      </c>
      <c r="O5" s="388">
        <f t="shared" si="3"/>
        <v>83.333333333333343</v>
      </c>
      <c r="P5" s="388">
        <f t="shared" si="4"/>
        <v>91.25</v>
      </c>
      <c r="Q5" s="388">
        <f t="shared" si="5"/>
        <v>95.862068965517238</v>
      </c>
      <c r="R5" s="388">
        <f t="shared" si="6"/>
        <v>97.945205479452056</v>
      </c>
      <c r="S5" s="388">
        <f t="shared" si="1"/>
        <v>100</v>
      </c>
    </row>
    <row r="6" spans="1:19">
      <c r="A6" s="465" t="s">
        <v>347</v>
      </c>
      <c r="B6" s="402">
        <v>185</v>
      </c>
      <c r="C6" s="402">
        <v>205</v>
      </c>
      <c r="D6" s="402">
        <v>178</v>
      </c>
      <c r="E6" s="402">
        <v>159</v>
      </c>
      <c r="F6" s="402">
        <v>172</v>
      </c>
      <c r="G6" s="402">
        <v>137</v>
      </c>
      <c r="H6" s="402">
        <v>138</v>
      </c>
      <c r="I6" s="402">
        <v>150</v>
      </c>
      <c r="J6" s="402">
        <v>161</v>
      </c>
      <c r="K6" s="402">
        <v>148</v>
      </c>
      <c r="L6" s="402">
        <v>160</v>
      </c>
      <c r="M6" s="402">
        <v>123</v>
      </c>
      <c r="N6" s="388">
        <f t="shared" si="2"/>
        <v>74.594594594594597</v>
      </c>
      <c r="O6" s="388">
        <f t="shared" si="3"/>
        <v>73.170731707317074</v>
      </c>
      <c r="P6" s="388">
        <f t="shared" si="4"/>
        <v>90.449438202247194</v>
      </c>
      <c r="Q6" s="388">
        <f t="shared" si="5"/>
        <v>93.081761006289312</v>
      </c>
      <c r="R6" s="388">
        <f t="shared" si="6"/>
        <v>93.023255813953483</v>
      </c>
      <c r="S6" s="388">
        <f t="shared" si="1"/>
        <v>89.78102189781022</v>
      </c>
    </row>
    <row r="7" spans="1:19">
      <c r="A7" s="465" t="s">
        <v>348</v>
      </c>
      <c r="B7" s="402">
        <v>444</v>
      </c>
      <c r="C7" s="402">
        <v>424</v>
      </c>
      <c r="D7" s="402">
        <v>459</v>
      </c>
      <c r="E7" s="402">
        <v>464</v>
      </c>
      <c r="F7" s="402">
        <v>447</v>
      </c>
      <c r="G7" s="402">
        <v>466</v>
      </c>
      <c r="H7" s="402">
        <v>337</v>
      </c>
      <c r="I7" s="402">
        <v>336</v>
      </c>
      <c r="J7" s="402">
        <v>407</v>
      </c>
      <c r="K7" s="402">
        <v>418</v>
      </c>
      <c r="L7" s="402">
        <v>422</v>
      </c>
      <c r="M7" s="402">
        <v>426</v>
      </c>
      <c r="N7" s="388">
        <f t="shared" si="2"/>
        <v>75.900900900900908</v>
      </c>
      <c r="O7" s="388">
        <f t="shared" si="3"/>
        <v>79.245283018867923</v>
      </c>
      <c r="P7" s="388">
        <f t="shared" si="4"/>
        <v>88.671023965141615</v>
      </c>
      <c r="Q7" s="388">
        <f t="shared" si="5"/>
        <v>90.08620689655173</v>
      </c>
      <c r="R7" s="388">
        <f t="shared" si="6"/>
        <v>94.407158836689035</v>
      </c>
      <c r="S7" s="388">
        <f t="shared" si="1"/>
        <v>91.416309012875544</v>
      </c>
    </row>
    <row r="8" spans="1:19">
      <c r="A8" s="465" t="s">
        <v>349</v>
      </c>
      <c r="B8" s="402">
        <v>419</v>
      </c>
      <c r="C8" s="402">
        <v>374</v>
      </c>
      <c r="D8" s="402">
        <v>355</v>
      </c>
      <c r="E8" s="402">
        <v>375</v>
      </c>
      <c r="F8" s="402">
        <v>408</v>
      </c>
      <c r="G8" s="402">
        <v>394</v>
      </c>
      <c r="H8" s="402">
        <v>355</v>
      </c>
      <c r="I8" s="402">
        <v>326</v>
      </c>
      <c r="J8" s="402">
        <v>325</v>
      </c>
      <c r="K8" s="402">
        <v>351</v>
      </c>
      <c r="L8" s="402">
        <v>380</v>
      </c>
      <c r="M8" s="402">
        <v>358</v>
      </c>
      <c r="N8" s="388">
        <f t="shared" si="2"/>
        <v>84.725536992840105</v>
      </c>
      <c r="O8" s="388">
        <f t="shared" si="3"/>
        <v>87.165775401069524</v>
      </c>
      <c r="P8" s="388">
        <f t="shared" si="4"/>
        <v>91.549295774647888</v>
      </c>
      <c r="Q8" s="388">
        <f t="shared" si="5"/>
        <v>93.600000000000009</v>
      </c>
      <c r="R8" s="388">
        <f t="shared" si="6"/>
        <v>93.137254901960787</v>
      </c>
      <c r="S8" s="388">
        <f t="shared" si="1"/>
        <v>90.862944162436548</v>
      </c>
    </row>
    <row r="9" spans="1:19">
      <c r="A9" s="465" t="s">
        <v>350</v>
      </c>
      <c r="B9" s="402">
        <v>417</v>
      </c>
      <c r="C9" s="402">
        <v>408</v>
      </c>
      <c r="D9" s="402">
        <v>447</v>
      </c>
      <c r="E9" s="402">
        <v>428</v>
      </c>
      <c r="F9" s="402">
        <v>468</v>
      </c>
      <c r="G9" s="402">
        <v>474</v>
      </c>
      <c r="H9" s="402">
        <v>324</v>
      </c>
      <c r="I9" s="402">
        <v>349</v>
      </c>
      <c r="J9" s="402">
        <v>403</v>
      </c>
      <c r="K9" s="402">
        <v>382</v>
      </c>
      <c r="L9" s="402">
        <v>418</v>
      </c>
      <c r="M9" s="402">
        <v>433</v>
      </c>
      <c r="N9" s="388">
        <f t="shared" si="2"/>
        <v>77.697841726618705</v>
      </c>
      <c r="O9" s="388">
        <f t="shared" si="3"/>
        <v>85.539215686274503</v>
      </c>
      <c r="P9" s="388">
        <f t="shared" si="4"/>
        <v>90.1565995525727</v>
      </c>
      <c r="Q9" s="388">
        <f t="shared" si="5"/>
        <v>89.252336448598129</v>
      </c>
      <c r="R9" s="388">
        <f t="shared" si="6"/>
        <v>89.316239316239319</v>
      </c>
      <c r="S9" s="388">
        <f t="shared" si="1"/>
        <v>91.350210970464133</v>
      </c>
    </row>
    <row r="10" spans="1:19">
      <c r="A10" s="465" t="s">
        <v>351</v>
      </c>
      <c r="B10" s="402">
        <v>1522</v>
      </c>
      <c r="C10" s="402">
        <v>1643</v>
      </c>
      <c r="D10" s="402">
        <v>1586</v>
      </c>
      <c r="E10" s="402">
        <v>1589</v>
      </c>
      <c r="F10" s="402">
        <v>1507</v>
      </c>
      <c r="G10" s="402">
        <v>1655</v>
      </c>
      <c r="H10" s="402">
        <v>921</v>
      </c>
      <c r="I10" s="402">
        <v>1079</v>
      </c>
      <c r="J10" s="402">
        <v>1247</v>
      </c>
      <c r="K10" s="402">
        <v>1332</v>
      </c>
      <c r="L10" s="402">
        <v>1340</v>
      </c>
      <c r="M10" s="402">
        <v>1512</v>
      </c>
      <c r="N10" s="388">
        <f t="shared" si="2"/>
        <v>60.512483574244413</v>
      </c>
      <c r="O10" s="388">
        <f t="shared" si="3"/>
        <v>65.672550213024948</v>
      </c>
      <c r="P10" s="388">
        <f t="shared" si="4"/>
        <v>78.62547288776797</v>
      </c>
      <c r="Q10" s="388">
        <f t="shared" si="5"/>
        <v>83.826305852737576</v>
      </c>
      <c r="R10" s="388">
        <f t="shared" si="6"/>
        <v>88.918380889183808</v>
      </c>
      <c r="S10" s="388">
        <f t="shared" si="1"/>
        <v>91.359516616314195</v>
      </c>
    </row>
    <row r="11" spans="1:19">
      <c r="A11" s="465" t="s">
        <v>352</v>
      </c>
      <c r="B11" s="402">
        <v>350</v>
      </c>
      <c r="C11" s="402">
        <v>309</v>
      </c>
      <c r="D11" s="402">
        <v>312</v>
      </c>
      <c r="E11" s="402">
        <v>296</v>
      </c>
      <c r="F11" s="402">
        <v>306</v>
      </c>
      <c r="G11" s="402">
        <v>281</v>
      </c>
      <c r="H11" s="402">
        <v>236</v>
      </c>
      <c r="I11" s="402">
        <v>235</v>
      </c>
      <c r="J11" s="402">
        <v>296</v>
      </c>
      <c r="K11" s="402">
        <v>256</v>
      </c>
      <c r="L11" s="402">
        <v>284</v>
      </c>
      <c r="M11" s="402">
        <v>261</v>
      </c>
      <c r="N11" s="388">
        <f t="shared" si="2"/>
        <v>67.428571428571431</v>
      </c>
      <c r="O11" s="388">
        <f t="shared" si="3"/>
        <v>76.051779935275079</v>
      </c>
      <c r="P11" s="388">
        <f t="shared" si="4"/>
        <v>94.871794871794862</v>
      </c>
      <c r="Q11" s="388">
        <f t="shared" si="5"/>
        <v>86.486486486486484</v>
      </c>
      <c r="R11" s="388">
        <f t="shared" si="6"/>
        <v>92.810457516339866</v>
      </c>
      <c r="S11" s="388">
        <f t="shared" si="1"/>
        <v>92.882562277580078</v>
      </c>
    </row>
    <row r="12" spans="1:19">
      <c r="A12" s="465" t="s">
        <v>353</v>
      </c>
      <c r="B12" s="402">
        <v>810</v>
      </c>
      <c r="C12" s="402">
        <v>636</v>
      </c>
      <c r="D12" s="402">
        <v>668</v>
      </c>
      <c r="E12" s="402">
        <v>716</v>
      </c>
      <c r="F12" s="402">
        <v>692</v>
      </c>
      <c r="G12" s="402">
        <v>712</v>
      </c>
      <c r="H12" s="402">
        <v>661</v>
      </c>
      <c r="I12" s="402">
        <v>556</v>
      </c>
      <c r="J12" s="402">
        <v>617</v>
      </c>
      <c r="K12" s="402">
        <v>672</v>
      </c>
      <c r="L12" s="402">
        <v>628</v>
      </c>
      <c r="M12" s="402">
        <v>657</v>
      </c>
      <c r="N12" s="388">
        <f t="shared" si="2"/>
        <v>81.604938271604937</v>
      </c>
      <c r="O12" s="388">
        <f t="shared" si="3"/>
        <v>87.421383647798748</v>
      </c>
      <c r="P12" s="388">
        <f t="shared" si="4"/>
        <v>92.365269461077844</v>
      </c>
      <c r="Q12" s="388">
        <f t="shared" si="5"/>
        <v>93.85474860335195</v>
      </c>
      <c r="R12" s="388">
        <f t="shared" si="6"/>
        <v>90.751445086705203</v>
      </c>
      <c r="S12" s="388">
        <f t="shared" si="1"/>
        <v>92.275280898876403</v>
      </c>
    </row>
    <row r="13" spans="1:19">
      <c r="A13" s="465" t="s">
        <v>354</v>
      </c>
      <c r="B13" s="402">
        <v>783</v>
      </c>
      <c r="C13" s="402">
        <v>688</v>
      </c>
      <c r="D13" s="402">
        <v>877</v>
      </c>
      <c r="E13" s="402">
        <v>888</v>
      </c>
      <c r="F13" s="402">
        <v>950</v>
      </c>
      <c r="G13" s="402">
        <v>856</v>
      </c>
      <c r="H13" s="402">
        <v>577</v>
      </c>
      <c r="I13" s="402">
        <v>555</v>
      </c>
      <c r="J13" s="402">
        <v>732</v>
      </c>
      <c r="K13" s="402">
        <v>768</v>
      </c>
      <c r="L13" s="402">
        <v>836</v>
      </c>
      <c r="M13" s="402">
        <v>737</v>
      </c>
      <c r="N13" s="388">
        <f t="shared" si="2"/>
        <v>73.690932311621964</v>
      </c>
      <c r="O13" s="388">
        <f t="shared" si="3"/>
        <v>80.668604651162795</v>
      </c>
      <c r="P13" s="388">
        <f t="shared" si="4"/>
        <v>83.466362599771955</v>
      </c>
      <c r="Q13" s="388">
        <f t="shared" si="5"/>
        <v>86.486486486486484</v>
      </c>
      <c r="R13" s="388">
        <f t="shared" si="6"/>
        <v>88</v>
      </c>
      <c r="S13" s="388">
        <f t="shared" si="1"/>
        <v>86.098130841121502</v>
      </c>
    </row>
    <row r="14" spans="1:19">
      <c r="A14" s="465" t="s">
        <v>371</v>
      </c>
      <c r="B14" s="402">
        <v>16</v>
      </c>
      <c r="C14" s="402">
        <v>14</v>
      </c>
      <c r="D14" s="402">
        <v>24</v>
      </c>
      <c r="E14" s="402">
        <v>22</v>
      </c>
      <c r="F14" s="402">
        <v>26</v>
      </c>
      <c r="G14" s="402">
        <v>18</v>
      </c>
      <c r="H14" s="402">
        <v>15</v>
      </c>
      <c r="I14" s="402">
        <v>12</v>
      </c>
      <c r="J14" s="402">
        <v>20</v>
      </c>
      <c r="K14" s="402">
        <v>18</v>
      </c>
      <c r="L14" s="402">
        <v>21</v>
      </c>
      <c r="M14" s="402">
        <v>14</v>
      </c>
      <c r="N14" s="388">
        <f t="shared" si="2"/>
        <v>93.75</v>
      </c>
      <c r="O14" s="388">
        <f t="shared" si="3"/>
        <v>85.714285714285708</v>
      </c>
      <c r="P14" s="388">
        <f t="shared" si="4"/>
        <v>83.333333333333343</v>
      </c>
      <c r="Q14" s="388">
        <f t="shared" si="5"/>
        <v>81.818181818181827</v>
      </c>
      <c r="R14" s="388">
        <f t="shared" si="6"/>
        <v>80.769230769230774</v>
      </c>
      <c r="S14" s="388">
        <f t="shared" si="1"/>
        <v>77.777777777777786</v>
      </c>
    </row>
    <row r="15" spans="1:19">
      <c r="A15" s="465" t="s">
        <v>355</v>
      </c>
      <c r="B15" s="402">
        <v>30</v>
      </c>
      <c r="C15" s="402">
        <v>19</v>
      </c>
      <c r="D15" s="402">
        <v>22</v>
      </c>
      <c r="E15" s="402">
        <v>24</v>
      </c>
      <c r="F15" s="402">
        <v>27</v>
      </c>
      <c r="G15" s="402">
        <v>32</v>
      </c>
      <c r="H15" s="402">
        <v>22</v>
      </c>
      <c r="I15" s="402">
        <v>18</v>
      </c>
      <c r="J15" s="402">
        <v>20</v>
      </c>
      <c r="K15" s="402">
        <v>21</v>
      </c>
      <c r="L15" s="402">
        <v>25</v>
      </c>
      <c r="M15" s="402">
        <v>30</v>
      </c>
      <c r="N15" s="388">
        <f t="shared" si="2"/>
        <v>73.333333333333329</v>
      </c>
      <c r="O15" s="388">
        <f t="shared" si="3"/>
        <v>94.73684210526315</v>
      </c>
      <c r="P15" s="388">
        <f t="shared" si="4"/>
        <v>90.909090909090907</v>
      </c>
      <c r="Q15" s="388">
        <f t="shared" si="5"/>
        <v>87.5</v>
      </c>
      <c r="R15" s="388">
        <f t="shared" si="6"/>
        <v>92.592592592592595</v>
      </c>
      <c r="S15" s="388">
        <f t="shared" si="1"/>
        <v>93.75</v>
      </c>
    </row>
    <row r="16" spans="1:19">
      <c r="A16" s="465" t="s">
        <v>363</v>
      </c>
      <c r="B16" s="402">
        <v>425</v>
      </c>
      <c r="C16" s="402">
        <v>413</v>
      </c>
      <c r="D16" s="402">
        <v>425</v>
      </c>
      <c r="E16" s="402">
        <v>359</v>
      </c>
      <c r="F16" s="402">
        <v>395</v>
      </c>
      <c r="G16" s="402">
        <v>479</v>
      </c>
      <c r="H16" s="402">
        <v>379</v>
      </c>
      <c r="I16" s="402">
        <v>382</v>
      </c>
      <c r="J16" s="402">
        <v>395</v>
      </c>
      <c r="K16" s="402">
        <v>330</v>
      </c>
      <c r="L16" s="402">
        <v>358</v>
      </c>
      <c r="M16" s="402">
        <v>429</v>
      </c>
      <c r="N16" s="388">
        <f t="shared" si="2"/>
        <v>89.17647058823529</v>
      </c>
      <c r="O16" s="388">
        <f t="shared" si="3"/>
        <v>92.493946731234871</v>
      </c>
      <c r="P16" s="388">
        <f t="shared" si="4"/>
        <v>92.941176470588232</v>
      </c>
      <c r="Q16" s="388">
        <f t="shared" si="5"/>
        <v>91.922005571030638</v>
      </c>
      <c r="R16" s="388">
        <f t="shared" si="6"/>
        <v>90.632911392405063</v>
      </c>
      <c r="S16" s="388">
        <f t="shared" si="1"/>
        <v>89.561586638830889</v>
      </c>
    </row>
    <row r="17" spans="1:19">
      <c r="A17" s="465" t="s">
        <v>343</v>
      </c>
      <c r="B17" s="402">
        <v>23</v>
      </c>
      <c r="C17" s="402">
        <v>12</v>
      </c>
      <c r="D17" s="402">
        <v>17</v>
      </c>
      <c r="E17" s="402">
        <v>9</v>
      </c>
      <c r="F17" s="402">
        <v>20</v>
      </c>
      <c r="G17" s="402">
        <v>21</v>
      </c>
      <c r="H17" s="402">
        <v>17</v>
      </c>
      <c r="I17" s="402">
        <v>8</v>
      </c>
      <c r="J17" s="402">
        <v>13</v>
      </c>
      <c r="K17" s="402">
        <v>8</v>
      </c>
      <c r="L17" s="402">
        <v>19</v>
      </c>
      <c r="M17" s="402">
        <v>17</v>
      </c>
      <c r="N17" s="388">
        <f t="shared" si="2"/>
        <v>73.91304347826086</v>
      </c>
      <c r="O17" s="388">
        <f t="shared" si="3"/>
        <v>66.666666666666657</v>
      </c>
      <c r="P17" s="388">
        <f t="shared" si="4"/>
        <v>76.470588235294116</v>
      </c>
      <c r="Q17" s="388">
        <f t="shared" si="5"/>
        <v>88.888888888888886</v>
      </c>
      <c r="R17" s="388">
        <f t="shared" si="6"/>
        <v>95</v>
      </c>
      <c r="S17" s="388">
        <f t="shared" si="1"/>
        <v>80.952380952380949</v>
      </c>
    </row>
    <row r="18" spans="1:19">
      <c r="A18" s="387" t="s">
        <v>357</v>
      </c>
    </row>
    <row r="19" spans="1:19">
      <c r="A19" s="387" t="s">
        <v>375</v>
      </c>
    </row>
  </sheetData>
  <sheetProtection password="B8D9" sheet="1" objects="1" scenarios="1"/>
  <mergeCells count="4">
    <mergeCell ref="A1:A2"/>
    <mergeCell ref="B1:G1"/>
    <mergeCell ref="H1:M1"/>
    <mergeCell ref="N1:S1"/>
  </mergeCells>
  <pageMargins left="0.70866141732283472" right="0.70866141732283472" top="0.74803149606299213" bottom="0.74803149606299213" header="0.31496062992125984" footer="0.31496062992125984"/>
  <pageSetup paperSize="9" scale="81"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72.xml><?xml version="1.0" encoding="utf-8"?>
<worksheet xmlns="http://schemas.openxmlformats.org/spreadsheetml/2006/main" xmlns:r="http://schemas.openxmlformats.org/officeDocument/2006/relationships">
  <sheetPr codeName="Sheet73">
    <pageSetUpPr fitToPage="1"/>
  </sheetPr>
  <dimension ref="B1:M39"/>
  <sheetViews>
    <sheetView workbookViewId="0"/>
  </sheetViews>
  <sheetFormatPr defaultRowHeight="12.75"/>
  <cols>
    <col min="1" max="1" width="1.7109375" style="326" customWidth="1"/>
    <col min="2" max="2" width="16.7109375" style="326" customWidth="1"/>
    <col min="3" max="3" width="40.7109375" style="326" customWidth="1"/>
    <col min="4" max="13" width="10.7109375" style="326" customWidth="1"/>
    <col min="14" max="16384" width="9.140625" style="326"/>
  </cols>
  <sheetData>
    <row r="1" spans="2:13" ht="12.75" customHeight="1">
      <c r="B1" s="935" t="s">
        <v>803</v>
      </c>
      <c r="C1" s="935"/>
      <c r="D1" s="935"/>
      <c r="E1" s="935"/>
      <c r="F1" s="935"/>
      <c r="G1" s="935"/>
      <c r="H1" s="935"/>
      <c r="I1" s="935"/>
      <c r="J1" s="597"/>
      <c r="K1" s="597"/>
      <c r="L1" s="985" t="s">
        <v>45</v>
      </c>
    </row>
    <row r="2" spans="2:13">
      <c r="B2" s="935"/>
      <c r="C2" s="935"/>
      <c r="D2" s="935"/>
      <c r="E2" s="935"/>
      <c r="F2" s="935"/>
      <c r="G2" s="935"/>
      <c r="H2" s="935"/>
      <c r="I2" s="935"/>
      <c r="J2" s="597"/>
      <c r="K2" s="597"/>
      <c r="L2" s="985"/>
    </row>
    <row r="3" spans="2:13" ht="12.75" customHeight="1">
      <c r="B3" s="1044" t="s">
        <v>623</v>
      </c>
      <c r="C3" s="1044"/>
      <c r="D3" s="1044"/>
      <c r="E3" s="1044"/>
      <c r="F3" s="1044"/>
      <c r="G3" s="1044"/>
      <c r="H3" s="1044"/>
      <c r="I3" s="1044"/>
      <c r="J3" s="598"/>
      <c r="K3" s="747"/>
      <c r="L3" s="985"/>
    </row>
    <row r="4" spans="2:13">
      <c r="B4" s="1044"/>
      <c r="C4" s="1044"/>
      <c r="D4" s="1044"/>
      <c r="E4" s="1044"/>
      <c r="F4" s="1044"/>
      <c r="G4" s="1044"/>
      <c r="H4" s="1044"/>
      <c r="I4" s="1044"/>
      <c r="J4" s="598"/>
      <c r="L4" s="985"/>
    </row>
    <row r="5" spans="2:13">
      <c r="B5" s="1044"/>
      <c r="C5" s="1044"/>
      <c r="D5" s="1044"/>
      <c r="E5" s="1044"/>
      <c r="F5" s="1044"/>
      <c r="G5" s="1044"/>
      <c r="H5" s="1044"/>
      <c r="I5" s="1044"/>
      <c r="J5" s="598"/>
      <c r="K5" s="435"/>
      <c r="L5" s="435"/>
    </row>
    <row r="6" spans="2:13">
      <c r="B6" s="751"/>
      <c r="C6" s="751"/>
      <c r="D6" s="751"/>
      <c r="E6" s="751"/>
      <c r="F6" s="751"/>
      <c r="G6" s="751"/>
      <c r="H6" s="751"/>
      <c r="I6" s="751"/>
      <c r="J6" s="751"/>
    </row>
    <row r="7" spans="2:13" ht="15">
      <c r="L7" s="835" t="s">
        <v>848</v>
      </c>
      <c r="M7"/>
    </row>
    <row r="35" spans="2:3">
      <c r="B35" s="32" t="s">
        <v>849</v>
      </c>
      <c r="C35" s="32"/>
    </row>
    <row r="36" spans="2:3">
      <c r="B36" s="67" t="s">
        <v>714</v>
      </c>
      <c r="C36" s="67"/>
    </row>
    <row r="37" spans="2:3">
      <c r="B37" s="67" t="s">
        <v>715</v>
      </c>
      <c r="C37" s="67"/>
    </row>
    <row r="38" spans="2:3">
      <c r="B38" s="62"/>
      <c r="C38" s="62"/>
    </row>
    <row r="39" spans="2:3">
      <c r="B39" s="62"/>
      <c r="C39" s="62"/>
    </row>
  </sheetData>
  <sheetProtection password="B8D9" sheet="1" objects="1" scenarios="1"/>
  <sortState ref="B48:J76">
    <sortCondition ref="J48:J76"/>
  </sortState>
  <mergeCells count="3">
    <mergeCell ref="B1:I2"/>
    <mergeCell ref="L1:L4"/>
    <mergeCell ref="B3:I5"/>
  </mergeCells>
  <hyperlinks>
    <hyperlink ref="L1" location="'List of Tables &amp; Charts'!A1" display="return to List of Tables &amp; Charts"/>
    <hyperlink ref="L7" location="'Chart N1data'!A1" display="view Chart 17d data"/>
  </hyperlinks>
  <pageMargins left="0.70866141732283472" right="0.70866141732283472" top="0.74803149606299213" bottom="0.74803149606299213" header="0.31496062992125984" footer="0.31496062992125984"/>
  <pageSetup paperSize="9" scale="78"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73.xml><?xml version="1.0" encoding="utf-8"?>
<worksheet xmlns="http://schemas.openxmlformats.org/spreadsheetml/2006/main" xmlns:r="http://schemas.openxmlformats.org/officeDocument/2006/relationships">
  <sheetPr codeName="Sheet74">
    <pageSetUpPr fitToPage="1"/>
  </sheetPr>
  <dimension ref="A1:O32"/>
  <sheetViews>
    <sheetView workbookViewId="0"/>
  </sheetViews>
  <sheetFormatPr defaultRowHeight="15"/>
  <cols>
    <col min="1" max="1" width="12.42578125" bestFit="1" customWidth="1"/>
    <col min="2" max="2" width="43" bestFit="1" customWidth="1"/>
    <col min="3" max="8" width="12.7109375" customWidth="1"/>
  </cols>
  <sheetData>
    <row r="1" spans="1:15" s="326" customFormat="1" ht="50.1" customHeight="1">
      <c r="A1" s="595" t="s">
        <v>25</v>
      </c>
      <c r="B1" s="593"/>
      <c r="C1" s="1170" t="s">
        <v>711</v>
      </c>
      <c r="D1" s="1170"/>
      <c r="E1" s="1170" t="s">
        <v>712</v>
      </c>
      <c r="F1" s="1170"/>
      <c r="G1" s="1170" t="s">
        <v>713</v>
      </c>
      <c r="H1" s="1170"/>
      <c r="I1" s="764"/>
      <c r="J1" s="765"/>
      <c r="K1" s="765"/>
      <c r="L1" s="765"/>
    </row>
    <row r="2" spans="1:15" s="326" customFormat="1" ht="30" customHeight="1">
      <c r="A2" s="596" t="s">
        <v>24</v>
      </c>
      <c r="B2" s="594" t="s">
        <v>25</v>
      </c>
      <c r="C2" s="328">
        <v>2015</v>
      </c>
      <c r="D2" s="328">
        <v>2016</v>
      </c>
      <c r="E2" s="328">
        <v>2015</v>
      </c>
      <c r="F2" s="328">
        <v>2016</v>
      </c>
      <c r="G2" s="328">
        <v>2015</v>
      </c>
      <c r="H2" s="328">
        <v>2016</v>
      </c>
      <c r="I2" s="824"/>
      <c r="J2" s="766"/>
      <c r="K2" s="766"/>
      <c r="L2" s="766"/>
    </row>
    <row r="3" spans="1:15" s="326" customFormat="1" ht="12.75">
      <c r="A3" s="327" t="s">
        <v>134</v>
      </c>
      <c r="B3" s="327" t="s">
        <v>134</v>
      </c>
      <c r="C3" s="327">
        <f>SUM(C4:C32)</f>
        <v>9068</v>
      </c>
      <c r="D3" s="327">
        <f>SUM(D4:D32)</f>
        <v>9401</v>
      </c>
      <c r="E3" s="327">
        <f>SUM(E4:E32)</f>
        <v>493</v>
      </c>
      <c r="F3" s="327">
        <f>SUM(F4:F32)</f>
        <v>498</v>
      </c>
      <c r="G3" s="330">
        <f t="shared" ref="G3:G32" si="0">IF(ISERR(E3/C3*100),"",E3/C3*100)</f>
        <v>5.4367004852227607</v>
      </c>
      <c r="H3" s="330">
        <f t="shared" ref="H3:H32" si="1">IF(ISERR(F3/D3*100),"",F3/D3*100)</f>
        <v>5.2973087969364956</v>
      </c>
      <c r="I3" s="825"/>
      <c r="J3" s="767"/>
      <c r="K3" s="768"/>
      <c r="L3" s="768"/>
      <c r="M3" s="420" t="str">
        <f t="shared" ref="M3:M32" si="2">A3</f>
        <v>Scotland</v>
      </c>
      <c r="N3" s="421"/>
      <c r="O3" s="421"/>
    </row>
    <row r="4" spans="1:15" s="326" customFormat="1" ht="12.75">
      <c r="A4" s="327" t="s">
        <v>58</v>
      </c>
      <c r="B4" s="327" t="s">
        <v>57</v>
      </c>
      <c r="C4" s="327">
        <v>267</v>
      </c>
      <c r="D4" s="327">
        <v>51</v>
      </c>
      <c r="E4" s="327">
        <v>19</v>
      </c>
      <c r="F4" s="327">
        <v>12</v>
      </c>
      <c r="G4" s="330">
        <f t="shared" si="0"/>
        <v>7.1161048689138573</v>
      </c>
      <c r="H4" s="330">
        <f t="shared" si="1"/>
        <v>23.52941176470588</v>
      </c>
      <c r="I4" s="825"/>
      <c r="J4" s="767"/>
      <c r="K4" s="768"/>
      <c r="L4" s="768"/>
      <c r="M4" s="420" t="str">
        <f t="shared" si="2"/>
        <v>Ayr</v>
      </c>
      <c r="N4" s="421"/>
      <c r="O4" s="421"/>
    </row>
    <row r="5" spans="1:15" s="326" customFormat="1" ht="12.75">
      <c r="A5" s="327" t="s">
        <v>115</v>
      </c>
      <c r="B5" s="327" t="s">
        <v>116</v>
      </c>
      <c r="C5" s="327">
        <v>252</v>
      </c>
      <c r="D5" s="327">
        <v>233</v>
      </c>
      <c r="E5" s="327">
        <v>39</v>
      </c>
      <c r="F5" s="327">
        <v>28</v>
      </c>
      <c r="G5" s="330">
        <f t="shared" si="0"/>
        <v>15.476190476190476</v>
      </c>
      <c r="H5" s="330">
        <f t="shared" si="1"/>
        <v>12.017167381974248</v>
      </c>
      <c r="I5" s="825"/>
      <c r="J5" s="767"/>
      <c r="K5" s="768"/>
      <c r="L5" s="768"/>
      <c r="M5" s="420" t="str">
        <f t="shared" si="2"/>
        <v>WGH</v>
      </c>
      <c r="N5" s="421"/>
      <c r="O5" s="421"/>
    </row>
    <row r="6" spans="1:15" s="326" customFormat="1" ht="12.75">
      <c r="A6" s="327" t="s">
        <v>77</v>
      </c>
      <c r="B6" s="327" t="s">
        <v>78</v>
      </c>
      <c r="C6" s="327">
        <v>131</v>
      </c>
      <c r="D6" s="327">
        <v>139</v>
      </c>
      <c r="E6" s="327">
        <v>7</v>
      </c>
      <c r="F6" s="327">
        <v>11</v>
      </c>
      <c r="G6" s="330">
        <f t="shared" si="0"/>
        <v>5.343511450381679</v>
      </c>
      <c r="H6" s="330">
        <f t="shared" si="1"/>
        <v>7.9136690647482011</v>
      </c>
      <c r="I6" s="825"/>
      <c r="J6" s="767"/>
      <c r="K6" s="768"/>
      <c r="L6" s="768"/>
      <c r="M6" s="420" t="str">
        <f t="shared" si="2"/>
        <v>Dr Grays</v>
      </c>
      <c r="N6" s="421"/>
      <c r="O6" s="421"/>
    </row>
    <row r="7" spans="1:15" s="326" customFormat="1" ht="12.75">
      <c r="A7" s="327" t="s">
        <v>175</v>
      </c>
      <c r="B7" s="327" t="s">
        <v>75</v>
      </c>
      <c r="C7" s="327">
        <v>705</v>
      </c>
      <c r="D7" s="327">
        <v>668</v>
      </c>
      <c r="E7" s="327">
        <v>57</v>
      </c>
      <c r="F7" s="327">
        <v>50</v>
      </c>
      <c r="G7" s="330">
        <f t="shared" si="0"/>
        <v>8.085106382978724</v>
      </c>
      <c r="H7" s="330">
        <f t="shared" si="1"/>
        <v>7.4850299401197598</v>
      </c>
      <c r="I7" s="825"/>
      <c r="J7" s="767"/>
      <c r="K7" s="768"/>
      <c r="L7" s="768"/>
      <c r="M7" s="420" t="str">
        <f t="shared" si="2"/>
        <v>ARI</v>
      </c>
      <c r="N7" s="421"/>
      <c r="O7" s="421"/>
    </row>
    <row r="8" spans="1:15" s="326" customFormat="1" ht="12.75">
      <c r="A8" s="327" t="s">
        <v>109</v>
      </c>
      <c r="B8" s="327" t="s">
        <v>110</v>
      </c>
      <c r="C8" s="327">
        <v>947</v>
      </c>
      <c r="D8" s="327">
        <v>958</v>
      </c>
      <c r="E8" s="327">
        <v>68</v>
      </c>
      <c r="F8" s="327">
        <v>71</v>
      </c>
      <c r="G8" s="330">
        <f t="shared" si="0"/>
        <v>7.1805702217529035</v>
      </c>
      <c r="H8" s="330">
        <f t="shared" si="1"/>
        <v>7.4112734864300629</v>
      </c>
      <c r="I8" s="825"/>
      <c r="J8" s="767"/>
      <c r="K8" s="768"/>
      <c r="L8" s="768"/>
      <c r="M8" s="420" t="str">
        <f t="shared" si="2"/>
        <v>RIE</v>
      </c>
      <c r="N8" s="421"/>
      <c r="O8" s="421"/>
    </row>
    <row r="9" spans="1:15" s="326" customFormat="1" ht="12.75">
      <c r="A9" s="327" t="s">
        <v>95</v>
      </c>
      <c r="B9" s="327" t="s">
        <v>96</v>
      </c>
      <c r="C9" s="327">
        <v>46</v>
      </c>
      <c r="D9" s="327">
        <v>58</v>
      </c>
      <c r="E9" s="327">
        <v>4</v>
      </c>
      <c r="F9" s="327">
        <v>4</v>
      </c>
      <c r="G9" s="330">
        <f t="shared" si="0"/>
        <v>8.695652173913043</v>
      </c>
      <c r="H9" s="330">
        <f t="shared" si="1"/>
        <v>6.8965517241379306</v>
      </c>
      <c r="I9" s="825"/>
      <c r="J9" s="767"/>
      <c r="K9" s="768"/>
      <c r="L9" s="768"/>
      <c r="M9" s="420" t="str">
        <f t="shared" si="2"/>
        <v>L&amp;I</v>
      </c>
      <c r="N9" s="421"/>
      <c r="O9" s="421"/>
    </row>
    <row r="10" spans="1:15" s="326" customFormat="1" ht="12.75">
      <c r="A10" s="327" t="s">
        <v>37</v>
      </c>
      <c r="B10" s="327" t="s">
        <v>133</v>
      </c>
      <c r="C10" s="327">
        <v>34</v>
      </c>
      <c r="D10" s="327">
        <v>29</v>
      </c>
      <c r="E10" s="327">
        <v>0</v>
      </c>
      <c r="F10" s="327">
        <v>2</v>
      </c>
      <c r="G10" s="330">
        <f t="shared" si="0"/>
        <v>0</v>
      </c>
      <c r="H10" s="330">
        <f t="shared" si="1"/>
        <v>6.8965517241379306</v>
      </c>
      <c r="I10" s="825"/>
      <c r="J10" s="767"/>
      <c r="K10" s="768"/>
      <c r="L10" s="768"/>
      <c r="M10" s="420" t="str">
        <f t="shared" si="2"/>
        <v>Western Isles</v>
      </c>
      <c r="N10" s="421"/>
      <c r="O10" s="421"/>
    </row>
    <row r="11" spans="1:15" s="326" customFormat="1" ht="12.75">
      <c r="A11" s="327" t="s">
        <v>82</v>
      </c>
      <c r="B11" s="327" t="s">
        <v>83</v>
      </c>
      <c r="C11" s="327">
        <v>211</v>
      </c>
      <c r="D11" s="327">
        <v>198</v>
      </c>
      <c r="E11" s="327">
        <v>9</v>
      </c>
      <c r="F11" s="327">
        <v>12</v>
      </c>
      <c r="G11" s="330">
        <f t="shared" si="0"/>
        <v>4.2654028436018958</v>
      </c>
      <c r="H11" s="330">
        <f t="shared" si="1"/>
        <v>6.0606060606060606</v>
      </c>
      <c r="I11" s="825"/>
      <c r="J11" s="767"/>
      <c r="K11" s="768"/>
      <c r="L11" s="768"/>
      <c r="M11" s="420" t="str">
        <f t="shared" si="2"/>
        <v>IRH</v>
      </c>
      <c r="N11" s="421"/>
      <c r="O11" s="421"/>
    </row>
    <row r="12" spans="1:15" s="326" customFormat="1" ht="12.75">
      <c r="A12" s="327" t="s">
        <v>459</v>
      </c>
      <c r="B12" s="327" t="s">
        <v>460</v>
      </c>
      <c r="C12" s="327">
        <v>1143</v>
      </c>
      <c r="D12" s="327">
        <v>1180</v>
      </c>
      <c r="E12" s="327">
        <v>51</v>
      </c>
      <c r="F12" s="327">
        <v>68</v>
      </c>
      <c r="G12" s="330">
        <f t="shared" si="0"/>
        <v>4.4619422572178475</v>
      </c>
      <c r="H12" s="330">
        <f t="shared" si="1"/>
        <v>5.7627118644067794</v>
      </c>
      <c r="I12" s="825"/>
      <c r="J12" s="767"/>
      <c r="K12" s="768"/>
      <c r="L12" s="768"/>
      <c r="M12" s="420" t="str">
        <f t="shared" si="2"/>
        <v>QEUH</v>
      </c>
      <c r="N12" s="421"/>
      <c r="O12" s="421"/>
    </row>
    <row r="13" spans="1:15" s="326" customFormat="1" ht="12.75">
      <c r="A13" s="327" t="s">
        <v>185</v>
      </c>
      <c r="B13" s="327" t="s">
        <v>85</v>
      </c>
      <c r="C13" s="327">
        <v>350</v>
      </c>
      <c r="D13" s="327">
        <v>381</v>
      </c>
      <c r="E13" s="327">
        <v>11</v>
      </c>
      <c r="F13" s="327">
        <v>21</v>
      </c>
      <c r="G13" s="330">
        <f t="shared" si="0"/>
        <v>3.1428571428571432</v>
      </c>
      <c r="H13" s="330">
        <f t="shared" si="1"/>
        <v>5.5118110236220472</v>
      </c>
      <c r="I13" s="825"/>
      <c r="J13" s="767"/>
      <c r="K13" s="768"/>
      <c r="L13" s="768"/>
      <c r="M13" s="420" t="str">
        <f t="shared" si="2"/>
        <v>RAH</v>
      </c>
      <c r="N13" s="421"/>
      <c r="O13" s="421"/>
    </row>
    <row r="14" spans="1:15" s="326" customFormat="1" ht="12.75">
      <c r="A14" s="327" t="s">
        <v>101</v>
      </c>
      <c r="B14" s="327" t="s">
        <v>102</v>
      </c>
      <c r="C14" s="327">
        <v>301</v>
      </c>
      <c r="D14" s="327">
        <v>315</v>
      </c>
      <c r="E14" s="327">
        <v>29</v>
      </c>
      <c r="F14" s="327">
        <v>17</v>
      </c>
      <c r="G14" s="330">
        <f t="shared" si="0"/>
        <v>9.6345514950166127</v>
      </c>
      <c r="H14" s="330">
        <f t="shared" si="1"/>
        <v>5.3968253968253972</v>
      </c>
      <c r="I14" s="825"/>
      <c r="J14" s="767"/>
      <c r="K14" s="768"/>
      <c r="L14" s="768"/>
      <c r="M14" s="420" t="str">
        <f t="shared" si="2"/>
        <v>Hairmyres</v>
      </c>
      <c r="N14" s="421"/>
      <c r="O14" s="421"/>
    </row>
    <row r="15" spans="1:15" s="326" customFormat="1" ht="12.75">
      <c r="A15" s="327" t="s">
        <v>174</v>
      </c>
      <c r="B15" s="327" t="s">
        <v>71</v>
      </c>
      <c r="C15" s="327">
        <v>634</v>
      </c>
      <c r="D15" s="327">
        <v>671</v>
      </c>
      <c r="E15" s="327">
        <v>26</v>
      </c>
      <c r="F15" s="327">
        <v>36</v>
      </c>
      <c r="G15" s="330">
        <f t="shared" si="0"/>
        <v>4.1009463722397479</v>
      </c>
      <c r="H15" s="330">
        <f t="shared" si="1"/>
        <v>5.3651266766020864</v>
      </c>
      <c r="I15" s="825"/>
      <c r="J15" s="767"/>
      <c r="K15" s="768"/>
      <c r="L15" s="768"/>
      <c r="M15" s="420" t="str">
        <f t="shared" si="2"/>
        <v>VHK</v>
      </c>
      <c r="N15" s="421"/>
      <c r="O15" s="421"/>
    </row>
    <row r="16" spans="1:15" s="326" customFormat="1" ht="12.75">
      <c r="A16" s="327" t="s">
        <v>65</v>
      </c>
      <c r="B16" s="327" t="s">
        <v>66</v>
      </c>
      <c r="C16" s="327">
        <v>244</v>
      </c>
      <c r="D16" s="327">
        <v>208</v>
      </c>
      <c r="E16" s="327">
        <v>14</v>
      </c>
      <c r="F16" s="327">
        <v>10</v>
      </c>
      <c r="G16" s="330">
        <f t="shared" si="0"/>
        <v>5.7377049180327866</v>
      </c>
      <c r="H16" s="330">
        <f t="shared" si="1"/>
        <v>4.8076923076923084</v>
      </c>
      <c r="I16" s="825"/>
      <c r="J16" s="767"/>
      <c r="K16" s="768"/>
      <c r="L16" s="768"/>
      <c r="M16" s="420" t="str">
        <f t="shared" si="2"/>
        <v>DGRI</v>
      </c>
      <c r="N16" s="421"/>
      <c r="O16" s="421"/>
    </row>
    <row r="17" spans="1:15" s="326" customFormat="1" ht="12.75">
      <c r="A17" s="327" t="s">
        <v>184</v>
      </c>
      <c r="B17" s="327" t="s">
        <v>80</v>
      </c>
      <c r="C17" s="327">
        <v>530</v>
      </c>
      <c r="D17" s="327">
        <v>625</v>
      </c>
      <c r="E17" s="327">
        <v>35</v>
      </c>
      <c r="F17" s="327">
        <v>30</v>
      </c>
      <c r="G17" s="330">
        <f t="shared" si="0"/>
        <v>6.6037735849056602</v>
      </c>
      <c r="H17" s="330">
        <f t="shared" si="1"/>
        <v>4.8</v>
      </c>
      <c r="I17" s="825"/>
      <c r="J17" s="767"/>
      <c r="K17" s="768"/>
      <c r="L17" s="768"/>
      <c r="M17" s="420" t="str">
        <f t="shared" si="2"/>
        <v>GRI</v>
      </c>
      <c r="N17" s="421"/>
      <c r="O17" s="421"/>
    </row>
    <row r="18" spans="1:15" s="326" customFormat="1" ht="12.75">
      <c r="A18" s="327" t="s">
        <v>28</v>
      </c>
      <c r="B18" s="327" t="s">
        <v>63</v>
      </c>
      <c r="C18" s="327">
        <v>225</v>
      </c>
      <c r="D18" s="327">
        <v>216</v>
      </c>
      <c r="E18" s="327">
        <v>4</v>
      </c>
      <c r="F18" s="327">
        <v>10</v>
      </c>
      <c r="G18" s="330">
        <f t="shared" si="0"/>
        <v>1.7777777777777777</v>
      </c>
      <c r="H18" s="330">
        <f t="shared" si="1"/>
        <v>4.6296296296296298</v>
      </c>
      <c r="I18" s="825"/>
      <c r="J18" s="767"/>
      <c r="K18" s="768"/>
      <c r="L18" s="768"/>
      <c r="M18" s="420" t="str">
        <f t="shared" si="2"/>
        <v>Borders</v>
      </c>
      <c r="N18" s="421"/>
      <c r="O18" s="421"/>
    </row>
    <row r="19" spans="1:15" s="326" customFormat="1" ht="12.75">
      <c r="A19" s="327" t="s">
        <v>112</v>
      </c>
      <c r="B19" s="327" t="s">
        <v>113</v>
      </c>
      <c r="C19" s="327">
        <v>250</v>
      </c>
      <c r="D19" s="327">
        <v>272</v>
      </c>
      <c r="E19" s="327">
        <v>16</v>
      </c>
      <c r="F19" s="327">
        <v>12</v>
      </c>
      <c r="G19" s="330">
        <f t="shared" si="0"/>
        <v>6.4</v>
      </c>
      <c r="H19" s="330">
        <f t="shared" si="1"/>
        <v>4.4117647058823533</v>
      </c>
      <c r="I19" s="825"/>
      <c r="J19" s="767"/>
      <c r="K19" s="768"/>
      <c r="L19" s="768"/>
      <c r="M19" s="420" t="str">
        <f t="shared" si="2"/>
        <v>SJH</v>
      </c>
      <c r="N19" s="421"/>
      <c r="O19" s="421"/>
    </row>
    <row r="20" spans="1:15" s="326" customFormat="1" ht="12.75">
      <c r="A20" s="327" t="s">
        <v>107</v>
      </c>
      <c r="B20" s="327" t="s">
        <v>106</v>
      </c>
      <c r="C20" s="327">
        <v>330</v>
      </c>
      <c r="D20" s="327">
        <v>347</v>
      </c>
      <c r="E20" s="327">
        <v>16</v>
      </c>
      <c r="F20" s="327">
        <v>15</v>
      </c>
      <c r="G20" s="330">
        <f t="shared" si="0"/>
        <v>4.8484848484848486</v>
      </c>
      <c r="H20" s="330">
        <f t="shared" si="1"/>
        <v>4.3227665706051877</v>
      </c>
      <c r="I20" s="825"/>
      <c r="J20" s="767"/>
      <c r="K20" s="768"/>
      <c r="L20" s="768"/>
      <c r="M20" s="420" t="str">
        <f t="shared" si="2"/>
        <v>Wishaw</v>
      </c>
      <c r="N20" s="421"/>
      <c r="O20" s="421"/>
    </row>
    <row r="21" spans="1:15" s="326" customFormat="1" ht="12.75">
      <c r="A21" s="327" t="s">
        <v>104</v>
      </c>
      <c r="B21" s="327" t="s">
        <v>105</v>
      </c>
      <c r="C21" s="327">
        <v>324</v>
      </c>
      <c r="D21" s="327">
        <v>303</v>
      </c>
      <c r="E21" s="327">
        <v>22</v>
      </c>
      <c r="F21" s="327">
        <v>12</v>
      </c>
      <c r="G21" s="330">
        <f t="shared" si="0"/>
        <v>6.7901234567901234</v>
      </c>
      <c r="H21" s="330">
        <f t="shared" si="1"/>
        <v>3.9603960396039604</v>
      </c>
      <c r="I21" s="825"/>
      <c r="J21" s="767"/>
      <c r="K21" s="768"/>
      <c r="L21" s="768"/>
      <c r="M21" s="420" t="str">
        <f t="shared" si="2"/>
        <v>Monklands</v>
      </c>
      <c r="N21" s="421"/>
      <c r="O21" s="421"/>
    </row>
    <row r="22" spans="1:15" s="326" customFormat="1" ht="12.75">
      <c r="A22" s="327" t="s">
        <v>98</v>
      </c>
      <c r="B22" s="327" t="s">
        <v>99</v>
      </c>
      <c r="C22" s="327">
        <v>355</v>
      </c>
      <c r="D22" s="327">
        <v>312</v>
      </c>
      <c r="E22" s="327">
        <v>11</v>
      </c>
      <c r="F22" s="327">
        <v>12</v>
      </c>
      <c r="G22" s="330">
        <f t="shared" si="0"/>
        <v>3.0985915492957745</v>
      </c>
      <c r="H22" s="330">
        <f t="shared" si="1"/>
        <v>3.8461538461538463</v>
      </c>
      <c r="I22" s="825"/>
      <c r="J22" s="767"/>
      <c r="K22" s="768"/>
      <c r="L22" s="768"/>
      <c r="M22" s="420" t="str">
        <f t="shared" si="2"/>
        <v>Raigmore</v>
      </c>
      <c r="N22" s="421"/>
      <c r="O22" s="421"/>
    </row>
    <row r="23" spans="1:15" s="326" customFormat="1" ht="12.75">
      <c r="A23" s="327" t="s">
        <v>183</v>
      </c>
      <c r="B23" s="327" t="s">
        <v>73</v>
      </c>
      <c r="C23" s="327">
        <v>544</v>
      </c>
      <c r="D23" s="327">
        <v>522</v>
      </c>
      <c r="E23" s="327">
        <v>24</v>
      </c>
      <c r="F23" s="327">
        <v>18</v>
      </c>
      <c r="G23" s="330">
        <f t="shared" si="0"/>
        <v>4.4117647058823533</v>
      </c>
      <c r="H23" s="330">
        <f t="shared" si="1"/>
        <v>3.4482758620689653</v>
      </c>
      <c r="I23" s="825"/>
      <c r="J23" s="767"/>
      <c r="K23" s="768"/>
      <c r="L23" s="768"/>
      <c r="M23" s="420" t="str">
        <f t="shared" si="2"/>
        <v>FVRH</v>
      </c>
      <c r="N23" s="421"/>
      <c r="O23" s="421"/>
    </row>
    <row r="24" spans="1:15" s="326" customFormat="1" ht="12.75">
      <c r="A24" s="327" t="s">
        <v>124</v>
      </c>
      <c r="B24" s="327" t="s">
        <v>125</v>
      </c>
      <c r="C24" s="327">
        <v>451</v>
      </c>
      <c r="D24" s="327">
        <v>483</v>
      </c>
      <c r="E24" s="327">
        <v>4</v>
      </c>
      <c r="F24" s="327">
        <v>16</v>
      </c>
      <c r="G24" s="330">
        <f t="shared" si="0"/>
        <v>0.88691796008869184</v>
      </c>
      <c r="H24" s="330">
        <f t="shared" si="1"/>
        <v>3.3126293995859215</v>
      </c>
      <c r="I24" s="825"/>
      <c r="J24" s="767"/>
      <c r="K24" s="768"/>
      <c r="L24" s="768"/>
      <c r="M24" s="420" t="str">
        <f t="shared" si="2"/>
        <v>Ninewells</v>
      </c>
      <c r="N24" s="421"/>
      <c r="O24" s="421"/>
    </row>
    <row r="25" spans="1:15" s="326" customFormat="1" ht="12.75">
      <c r="A25" s="327" t="s">
        <v>89</v>
      </c>
      <c r="B25" s="327" t="s">
        <v>90</v>
      </c>
      <c r="C25" s="327">
        <v>28</v>
      </c>
      <c r="D25" s="327">
        <v>32</v>
      </c>
      <c r="E25" s="327">
        <v>0</v>
      </c>
      <c r="F25" s="327">
        <v>1</v>
      </c>
      <c r="G25" s="330">
        <f t="shared" si="0"/>
        <v>0</v>
      </c>
      <c r="H25" s="330">
        <f t="shared" si="1"/>
        <v>3.125</v>
      </c>
      <c r="I25" s="825"/>
      <c r="J25" s="767"/>
      <c r="K25" s="768"/>
      <c r="L25" s="768"/>
      <c r="M25" s="420" t="str">
        <f t="shared" si="2"/>
        <v>Belford</v>
      </c>
      <c r="N25" s="421"/>
      <c r="O25" s="421"/>
    </row>
    <row r="26" spans="1:15" s="326" customFormat="1" ht="12.75">
      <c r="A26" s="327" t="s">
        <v>60</v>
      </c>
      <c r="B26" s="327" t="s">
        <v>61</v>
      </c>
      <c r="C26" s="327">
        <v>389</v>
      </c>
      <c r="D26" s="327">
        <v>795</v>
      </c>
      <c r="E26" s="327">
        <v>17</v>
      </c>
      <c r="F26" s="327">
        <v>23</v>
      </c>
      <c r="G26" s="330">
        <f t="shared" si="0"/>
        <v>4.3701799485861184</v>
      </c>
      <c r="H26" s="330">
        <f t="shared" si="1"/>
        <v>2.8930817610062896</v>
      </c>
      <c r="I26" s="825"/>
      <c r="J26" s="767"/>
      <c r="K26" s="768"/>
      <c r="L26" s="768"/>
      <c r="M26" s="420" t="str">
        <f t="shared" si="2"/>
        <v>Crosshouse</v>
      </c>
      <c r="N26" s="421"/>
      <c r="O26" s="421"/>
    </row>
    <row r="27" spans="1:15" s="326" customFormat="1" ht="12.75">
      <c r="A27" s="327" t="s">
        <v>127</v>
      </c>
      <c r="B27" s="327" t="s">
        <v>128</v>
      </c>
      <c r="C27" s="327">
        <v>188</v>
      </c>
      <c r="D27" s="327">
        <v>227</v>
      </c>
      <c r="E27" s="327">
        <v>7</v>
      </c>
      <c r="F27" s="327">
        <v>6</v>
      </c>
      <c r="G27" s="330">
        <f t="shared" si="0"/>
        <v>3.7234042553191489</v>
      </c>
      <c r="H27" s="330">
        <f t="shared" si="1"/>
        <v>2.643171806167401</v>
      </c>
      <c r="I27" s="825"/>
      <c r="J27" s="767"/>
      <c r="K27" s="768"/>
      <c r="L27" s="768"/>
      <c r="M27" s="420" t="str">
        <f t="shared" si="2"/>
        <v>PRI</v>
      </c>
      <c r="N27" s="421"/>
      <c r="O27" s="421"/>
    </row>
    <row r="28" spans="1:15" s="326" customFormat="1" ht="12.75">
      <c r="A28" s="327" t="s">
        <v>121</v>
      </c>
      <c r="B28" s="327" t="s">
        <v>122</v>
      </c>
      <c r="C28" s="327">
        <v>35</v>
      </c>
      <c r="D28" s="327">
        <v>41</v>
      </c>
      <c r="E28" s="327">
        <v>0</v>
      </c>
      <c r="F28" s="327">
        <v>1</v>
      </c>
      <c r="G28" s="330">
        <f t="shared" si="0"/>
        <v>0</v>
      </c>
      <c r="H28" s="330">
        <f t="shared" si="1"/>
        <v>2.4390243902439024</v>
      </c>
      <c r="I28" s="825"/>
      <c r="J28" s="767"/>
      <c r="K28" s="768"/>
      <c r="L28" s="768"/>
      <c r="M28" s="420" t="str">
        <f t="shared" si="2"/>
        <v>Gilbert Bain</v>
      </c>
      <c r="N28" s="421"/>
      <c r="O28" s="421"/>
    </row>
    <row r="29" spans="1:15" s="326" customFormat="1" ht="12.75">
      <c r="A29" s="327" t="s">
        <v>68</v>
      </c>
      <c r="B29" s="327" t="s">
        <v>69</v>
      </c>
      <c r="C29" s="327">
        <v>40</v>
      </c>
      <c r="D29" s="327">
        <v>33</v>
      </c>
      <c r="E29" s="327">
        <v>3</v>
      </c>
      <c r="F29" s="327">
        <v>0</v>
      </c>
      <c r="G29" s="330">
        <f t="shared" si="0"/>
        <v>7.5</v>
      </c>
      <c r="H29" s="330">
        <f t="shared" si="1"/>
        <v>0</v>
      </c>
      <c r="I29" s="825"/>
      <c r="J29" s="767"/>
      <c r="K29" s="768"/>
      <c r="L29" s="768"/>
      <c r="M29" s="420" t="str">
        <f t="shared" si="2"/>
        <v>GCH</v>
      </c>
      <c r="N29" s="421"/>
      <c r="O29" s="421"/>
    </row>
    <row r="30" spans="1:15" s="326" customFormat="1" ht="12.75">
      <c r="A30" s="327" t="s">
        <v>92</v>
      </c>
      <c r="B30" s="327" t="s">
        <v>93</v>
      </c>
      <c r="C30" s="327">
        <v>72</v>
      </c>
      <c r="D30" s="327">
        <v>68</v>
      </c>
      <c r="E30" s="327">
        <v>0</v>
      </c>
      <c r="F30" s="327">
        <v>0</v>
      </c>
      <c r="G30" s="330">
        <f t="shared" si="0"/>
        <v>0</v>
      </c>
      <c r="H30" s="330">
        <f t="shared" si="1"/>
        <v>0</v>
      </c>
      <c r="I30" s="825"/>
      <c r="J30" s="767"/>
      <c r="K30" s="768"/>
      <c r="L30" s="768"/>
      <c r="M30" s="420" t="str">
        <f t="shared" si="2"/>
        <v>Caithness</v>
      </c>
      <c r="N30" s="421"/>
      <c r="O30" s="421"/>
    </row>
    <row r="31" spans="1:15" s="326" customFormat="1" ht="12.75">
      <c r="A31" s="327" t="s">
        <v>118</v>
      </c>
      <c r="B31" s="327" t="s">
        <v>119</v>
      </c>
      <c r="C31" s="327">
        <v>41</v>
      </c>
      <c r="D31" s="327">
        <v>36</v>
      </c>
      <c r="E31" s="327">
        <v>0</v>
      </c>
      <c r="F31" s="327">
        <v>0</v>
      </c>
      <c r="G31" s="330">
        <f t="shared" si="0"/>
        <v>0</v>
      </c>
      <c r="H31" s="330">
        <f t="shared" si="1"/>
        <v>0</v>
      </c>
      <c r="I31" s="825"/>
      <c r="J31" s="767"/>
      <c r="K31" s="768"/>
      <c r="L31" s="768"/>
      <c r="M31" s="420" t="str">
        <f t="shared" si="2"/>
        <v>Balfour</v>
      </c>
      <c r="N31" s="421"/>
      <c r="O31" s="421"/>
    </row>
    <row r="32" spans="1:15" s="326" customFormat="1" ht="12.75">
      <c r="A32" s="327" t="s">
        <v>130</v>
      </c>
      <c r="B32" s="327" t="s">
        <v>131</v>
      </c>
      <c r="C32" s="327">
        <v>1</v>
      </c>
      <c r="D32" s="327">
        <v>0</v>
      </c>
      <c r="E32" s="327">
        <v>0</v>
      </c>
      <c r="F32" s="327">
        <v>0</v>
      </c>
      <c r="G32" s="330">
        <f t="shared" si="0"/>
        <v>0</v>
      </c>
      <c r="H32" s="330" t="str">
        <f t="shared" si="1"/>
        <v/>
      </c>
      <c r="I32" s="825"/>
      <c r="J32" s="767"/>
      <c r="K32" s="768"/>
      <c r="L32" s="768"/>
      <c r="M32" s="420" t="str">
        <f t="shared" si="2"/>
        <v>Uist &amp; Barra</v>
      </c>
      <c r="N32" s="421"/>
      <c r="O32" s="421"/>
    </row>
  </sheetData>
  <sheetProtection password="B8D9" sheet="1" objects="1" scenarios="1"/>
  <mergeCells count="3">
    <mergeCell ref="C1:D1"/>
    <mergeCell ref="E1:F1"/>
    <mergeCell ref="G1:H1"/>
  </mergeCells>
  <conditionalFormatting sqref="G4">
    <cfRule type="expression" dxfId="4" priority="4">
      <formula>$G$44="#DIV/0!"</formula>
    </cfRule>
    <cfRule type="expression" dxfId="3" priority="5">
      <formula>AND($G$44&lt;100,$G$44&gt;0)</formula>
    </cfRule>
  </conditionalFormatting>
  <conditionalFormatting sqref="G5:G20 G3 H3:H20 G21:H32">
    <cfRule type="expression" dxfId="2" priority="3">
      <formula>AND($G$44&lt;100,$G$44&gt;0)</formula>
    </cfRule>
  </conditionalFormatting>
  <conditionalFormatting sqref="K3:L32">
    <cfRule type="expression" dxfId="1" priority="1">
      <formula>AND($G$44&lt;100,$G$44&gt;0)</formula>
    </cfRule>
    <cfRule type="cellIs" dxfId="0" priority="2" operator="equal">
      <formula>100</formula>
    </cfRule>
  </conditionalFormatting>
  <pageMargins left="0.70866141732283472" right="0.70866141732283472" top="0.74803149606299213" bottom="0.74803149606299213" header="0.31496062992125984" footer="0.31496062992125984"/>
  <pageSetup paperSize="9" scale="70"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74.xml><?xml version="1.0" encoding="utf-8"?>
<worksheet xmlns="http://schemas.openxmlformats.org/spreadsheetml/2006/main" xmlns:r="http://schemas.openxmlformats.org/officeDocument/2006/relationships">
  <sheetPr codeName="Sheet75">
    <pageSetUpPr fitToPage="1"/>
  </sheetPr>
  <dimension ref="A1:T48"/>
  <sheetViews>
    <sheetView workbookViewId="0"/>
  </sheetViews>
  <sheetFormatPr defaultRowHeight="12.75"/>
  <cols>
    <col min="1" max="1" width="2.7109375" style="676" customWidth="1"/>
    <col min="2" max="16384" width="9.140625" style="676"/>
  </cols>
  <sheetData>
    <row r="1" spans="1:20" s="711" customFormat="1" ht="24.95" customHeight="1">
      <c r="A1" s="711" t="s">
        <v>639</v>
      </c>
      <c r="B1" s="967" t="s">
        <v>851</v>
      </c>
      <c r="C1" s="967"/>
      <c r="D1" s="967"/>
      <c r="E1" s="967"/>
      <c r="F1" s="967"/>
      <c r="G1" s="967"/>
      <c r="H1" s="967"/>
      <c r="I1" s="967"/>
      <c r="J1" s="967"/>
      <c r="K1" s="967"/>
      <c r="L1" s="967"/>
      <c r="M1" s="967"/>
      <c r="N1" s="967"/>
      <c r="O1" s="26"/>
      <c r="P1" s="985" t="s">
        <v>45</v>
      </c>
      <c r="Q1" s="26"/>
      <c r="R1" s="26"/>
      <c r="S1" s="26"/>
      <c r="T1" s="26"/>
    </row>
    <row r="2" spans="1:20" s="711" customFormat="1" ht="12.75" customHeight="1">
      <c r="B2" s="1043" t="s">
        <v>393</v>
      </c>
      <c r="C2" s="1043"/>
      <c r="D2" s="1043"/>
      <c r="E2" s="1043"/>
      <c r="F2" s="1043"/>
      <c r="G2" s="1043"/>
      <c r="H2" s="1043"/>
      <c r="I2" s="1043"/>
      <c r="J2" s="1043"/>
      <c r="K2" s="1043"/>
      <c r="L2" s="1043"/>
      <c r="M2" s="1043"/>
      <c r="O2" s="27"/>
      <c r="P2" s="985"/>
      <c r="Q2" s="28"/>
      <c r="R2" s="987"/>
      <c r="S2" s="987"/>
      <c r="T2" s="987"/>
    </row>
    <row r="3" spans="1:20" s="711" customFormat="1" ht="12.75" customHeight="1">
      <c r="B3" s="1043"/>
      <c r="C3" s="1043"/>
      <c r="D3" s="1043"/>
      <c r="E3" s="1043"/>
      <c r="F3" s="1043"/>
      <c r="G3" s="1043"/>
      <c r="H3" s="1043"/>
      <c r="I3" s="1043"/>
      <c r="J3" s="1043"/>
      <c r="K3" s="1043"/>
      <c r="L3" s="1043"/>
      <c r="M3" s="1043"/>
      <c r="O3" s="519"/>
      <c r="P3" s="985"/>
      <c r="Q3" s="29"/>
      <c r="R3" s="709"/>
      <c r="S3" s="709"/>
      <c r="T3" s="709"/>
    </row>
    <row r="4" spans="1:20" s="711" customFormat="1" ht="12.75" customHeight="1">
      <c r="B4" s="1044" t="s">
        <v>695</v>
      </c>
      <c r="C4" s="1044"/>
      <c r="D4" s="1044"/>
      <c r="E4" s="1044"/>
      <c r="F4" s="1044"/>
      <c r="G4" s="1044"/>
      <c r="H4" s="1044"/>
      <c r="I4" s="1044"/>
      <c r="J4" s="1044"/>
      <c r="K4" s="1044"/>
      <c r="L4" s="1044"/>
      <c r="M4" s="1044"/>
      <c r="O4" s="30"/>
      <c r="P4" s="985"/>
      <c r="Q4" s="707"/>
      <c r="R4" s="29"/>
      <c r="S4" s="72"/>
    </row>
    <row r="5" spans="1:20" s="711" customFormat="1" ht="12.75" customHeight="1">
      <c r="B5" s="1044"/>
      <c r="C5" s="1044"/>
      <c r="D5" s="1044"/>
      <c r="E5" s="1044"/>
      <c r="F5" s="1044"/>
      <c r="G5" s="1044"/>
      <c r="H5" s="1044"/>
      <c r="I5" s="1044"/>
      <c r="J5" s="1044"/>
      <c r="K5" s="1044"/>
      <c r="L5" s="1044"/>
      <c r="M5" s="1044"/>
      <c r="N5" s="708"/>
      <c r="O5" s="30"/>
      <c r="P5" s="30"/>
      <c r="Q5" s="707"/>
      <c r="R5" s="29"/>
      <c r="S5" s="72"/>
    </row>
    <row r="6" spans="1:20" s="711" customFormat="1" ht="12.75" customHeight="1">
      <c r="B6" s="1044"/>
      <c r="C6" s="1044"/>
      <c r="D6" s="1044"/>
      <c r="E6" s="1044"/>
      <c r="F6" s="1044"/>
      <c r="G6" s="1044"/>
      <c r="H6" s="1044"/>
      <c r="I6" s="1044"/>
      <c r="J6" s="1044"/>
      <c r="K6" s="1044"/>
      <c r="L6" s="1044"/>
      <c r="M6" s="1044"/>
      <c r="N6" s="708"/>
      <c r="O6" s="30"/>
      <c r="P6" s="835" t="s">
        <v>852</v>
      </c>
      <c r="Q6" s="707"/>
      <c r="R6" s="29"/>
      <c r="S6" s="72"/>
    </row>
    <row r="7" spans="1:20" s="711" customFormat="1">
      <c r="B7" s="1044"/>
      <c r="C7" s="1044"/>
      <c r="D7" s="1044"/>
      <c r="E7" s="1044"/>
      <c r="F7" s="1044"/>
      <c r="G7" s="1044"/>
      <c r="H7" s="1044"/>
      <c r="I7" s="1044"/>
      <c r="J7" s="1044"/>
      <c r="K7" s="1044"/>
      <c r="L7" s="1044"/>
      <c r="M7" s="1044"/>
      <c r="N7" s="714"/>
      <c r="O7" s="30"/>
      <c r="P7" s="30"/>
      <c r="Q7" s="707"/>
      <c r="R7" s="29"/>
      <c r="S7" s="72"/>
    </row>
    <row r="41" spans="2:14">
      <c r="B41" s="565"/>
      <c r="C41" s="565"/>
      <c r="D41" s="565"/>
      <c r="E41" s="565"/>
      <c r="F41" s="565"/>
      <c r="G41" s="565"/>
      <c r="H41" s="565"/>
      <c r="I41" s="565"/>
      <c r="J41" s="565"/>
      <c r="K41" s="565"/>
      <c r="L41" s="565"/>
      <c r="M41" s="565"/>
    </row>
    <row r="42" spans="2:14" s="743" customFormat="1" ht="15">
      <c r="B42" s="202" t="s">
        <v>853</v>
      </c>
      <c r="C42" s="203"/>
      <c r="D42" s="204"/>
      <c r="E42" s="204"/>
      <c r="F42" s="204"/>
      <c r="G42" s="204"/>
      <c r="H42" s="204"/>
      <c r="I42" s="204"/>
      <c r="J42" s="203"/>
    </row>
    <row r="43" spans="2:14" s="743" customFormat="1" ht="15">
      <c r="B43" s="205" t="s">
        <v>12</v>
      </c>
      <c r="C43" s="203"/>
      <c r="D43" s="204"/>
      <c r="E43" s="204"/>
      <c r="F43" s="204"/>
      <c r="G43" s="204"/>
      <c r="H43" s="204"/>
      <c r="I43" s="204"/>
      <c r="J43" s="203"/>
    </row>
    <row r="44" spans="2:14" s="743" customFormat="1" ht="33" customHeight="1">
      <c r="B44" s="1002" t="s">
        <v>290</v>
      </c>
      <c r="C44" s="971"/>
      <c r="D44" s="971"/>
      <c r="E44" s="971"/>
      <c r="F44" s="971"/>
      <c r="G44" s="971"/>
      <c r="H44" s="971"/>
      <c r="I44" s="971"/>
      <c r="J44" s="971"/>
      <c r="K44" s="1003"/>
      <c r="L44" s="1003"/>
      <c r="M44" s="1003"/>
      <c r="N44" s="1003"/>
    </row>
    <row r="45" spans="2:14" s="743" customFormat="1" ht="15">
      <c r="B45" s="205" t="s">
        <v>697</v>
      </c>
      <c r="C45" s="203"/>
      <c r="D45" s="204"/>
      <c r="E45" s="204"/>
      <c r="F45" s="204"/>
      <c r="G45" s="204"/>
      <c r="H45" s="204"/>
      <c r="I45" s="204"/>
      <c r="J45" s="203"/>
    </row>
    <row r="46" spans="2:14" s="743" customFormat="1" ht="15">
      <c r="B46" s="205" t="s">
        <v>595</v>
      </c>
      <c r="C46" s="203"/>
      <c r="D46" s="204"/>
      <c r="E46" s="204"/>
      <c r="F46" s="204"/>
      <c r="G46" s="204"/>
      <c r="H46" s="204"/>
      <c r="I46" s="204"/>
      <c r="J46" s="203"/>
    </row>
    <row r="47" spans="2:14" s="743" customFormat="1">
      <c r="B47" s="1004" t="s">
        <v>394</v>
      </c>
      <c r="C47" s="1004"/>
      <c r="D47" s="1004"/>
      <c r="E47" s="1004"/>
      <c r="F47" s="1004"/>
      <c r="G47" s="1004"/>
      <c r="H47" s="1004"/>
      <c r="I47" s="1004"/>
      <c r="J47" s="1004"/>
      <c r="K47" s="1004"/>
      <c r="L47" s="1004"/>
      <c r="M47" s="1004"/>
      <c r="N47" s="1004"/>
    </row>
    <row r="48" spans="2:14" s="743" customFormat="1">
      <c r="B48" s="1004"/>
      <c r="C48" s="1004"/>
      <c r="D48" s="1004"/>
      <c r="E48" s="1004"/>
      <c r="F48" s="1004"/>
      <c r="G48" s="1004"/>
      <c r="H48" s="1004"/>
      <c r="I48" s="1004"/>
      <c r="J48" s="1004"/>
      <c r="K48" s="1004"/>
      <c r="L48" s="1004"/>
      <c r="M48" s="1004"/>
      <c r="N48" s="1004"/>
    </row>
  </sheetData>
  <sheetProtection password="B8D9" sheet="1" objects="1" scenarios="1"/>
  <mergeCells count="7">
    <mergeCell ref="R2:T2"/>
    <mergeCell ref="B4:M7"/>
    <mergeCell ref="B44:N44"/>
    <mergeCell ref="B47:N48"/>
    <mergeCell ref="B1:N1"/>
    <mergeCell ref="P1:P4"/>
    <mergeCell ref="B2:M3"/>
  </mergeCells>
  <hyperlinks>
    <hyperlink ref="N4" location="'List of Tables &amp; Charts'!A1" display="return to List of Tables &amp; Charts"/>
    <hyperlink ref="P1" location="'List of Tables &amp; Charts'!A1" display="return to List of Tables &amp; Charts"/>
    <hyperlink ref="P6" location="'Chart N2 data'!A1" display="view Chart N2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75.xml><?xml version="1.0" encoding="utf-8"?>
<worksheet xmlns="http://schemas.openxmlformats.org/spreadsheetml/2006/main" xmlns:r="http://schemas.openxmlformats.org/officeDocument/2006/relationships">
  <sheetPr codeName="Sheet76">
    <pageSetUpPr fitToPage="1"/>
  </sheetPr>
  <dimension ref="A1:U57"/>
  <sheetViews>
    <sheetView showGridLines="0" workbookViewId="0">
      <selection sqref="A1:B1"/>
    </sheetView>
  </sheetViews>
  <sheetFormatPr defaultRowHeight="12.75"/>
  <cols>
    <col min="1" max="1" width="16.7109375" style="711" customWidth="1"/>
    <col min="2" max="2" width="40.7109375" style="711" customWidth="1"/>
    <col min="3" max="7" width="10.7109375" style="706" customWidth="1"/>
    <col min="8" max="11" width="2.7109375" style="706" customWidth="1"/>
    <col min="12" max="12" width="9.28515625" style="706" customWidth="1"/>
    <col min="13" max="13" width="11.28515625" style="711" customWidth="1"/>
    <col min="14" max="14" width="9.28515625" style="711" customWidth="1"/>
    <col min="15" max="15" width="11.28515625" style="711" customWidth="1"/>
    <col min="16" max="16" width="9.28515625" style="711" customWidth="1"/>
    <col min="17" max="17" width="11.28515625" style="711" customWidth="1"/>
    <col min="18" max="18" width="9.28515625" style="711" customWidth="1"/>
    <col min="19" max="19" width="11.28515625" style="711" customWidth="1"/>
    <col min="20" max="20" width="9.28515625" style="711" customWidth="1"/>
    <col min="21" max="21" width="11.28515625" style="711" customWidth="1"/>
    <col min="22" max="16384" width="9.140625" style="711"/>
  </cols>
  <sheetData>
    <row r="1" spans="1:21" ht="25.5" customHeight="1">
      <c r="A1" s="1091">
        <v>2016</v>
      </c>
      <c r="B1" s="1046"/>
      <c r="C1" s="1062" t="s">
        <v>42</v>
      </c>
      <c r="D1" s="1063"/>
      <c r="E1" s="1063"/>
      <c r="F1" s="1063"/>
      <c r="G1" s="1064"/>
      <c r="H1" s="79"/>
      <c r="I1" s="79"/>
      <c r="J1" s="79"/>
      <c r="K1" s="79"/>
      <c r="L1" s="1015" t="s">
        <v>48</v>
      </c>
      <c r="M1" s="1017"/>
      <c r="N1" s="1015" t="s">
        <v>49</v>
      </c>
      <c r="O1" s="1017"/>
      <c r="P1" s="1015" t="s">
        <v>50</v>
      </c>
      <c r="Q1" s="1017"/>
      <c r="R1" s="1015" t="s">
        <v>690</v>
      </c>
      <c r="S1" s="1017"/>
      <c r="T1" s="1016" t="s">
        <v>691</v>
      </c>
      <c r="U1" s="1082"/>
    </row>
    <row r="2" spans="1:21" ht="45" customHeight="1">
      <c r="A2" s="80" t="s">
        <v>24</v>
      </c>
      <c r="B2" s="53" t="s">
        <v>25</v>
      </c>
      <c r="C2" s="40" t="s">
        <v>51</v>
      </c>
      <c r="D2" s="40" t="s">
        <v>53</v>
      </c>
      <c r="E2" s="40" t="s">
        <v>54</v>
      </c>
      <c r="F2" s="81" t="s">
        <v>692</v>
      </c>
      <c r="G2" s="40" t="s">
        <v>693</v>
      </c>
      <c r="H2" s="737" t="s">
        <v>55</v>
      </c>
      <c r="I2" s="737" t="s">
        <v>56</v>
      </c>
      <c r="J2" s="737" t="s">
        <v>694</v>
      </c>
      <c r="K2" s="737" t="s">
        <v>274</v>
      </c>
      <c r="L2" s="43" t="s">
        <v>26</v>
      </c>
      <c r="M2" s="43" t="s">
        <v>27</v>
      </c>
      <c r="N2" s="43" t="s">
        <v>26</v>
      </c>
      <c r="O2" s="43" t="s">
        <v>27</v>
      </c>
      <c r="P2" s="43" t="s">
        <v>26</v>
      </c>
      <c r="Q2" s="43" t="s">
        <v>27</v>
      </c>
      <c r="R2" s="43" t="s">
        <v>26</v>
      </c>
      <c r="S2" s="43" t="s">
        <v>27</v>
      </c>
      <c r="T2" s="83" t="s">
        <v>26</v>
      </c>
      <c r="U2" s="65" t="s">
        <v>27</v>
      </c>
    </row>
    <row r="3" spans="1:21">
      <c r="A3" s="45" t="s">
        <v>134</v>
      </c>
      <c r="B3" s="45" t="s">
        <v>178</v>
      </c>
      <c r="C3" s="46">
        <f t="shared" ref="C3" si="0">L3/M3*100</f>
        <v>50.382445141065837</v>
      </c>
      <c r="D3" s="46">
        <f t="shared" ref="D3" si="1">(L3+N3)/O3*100</f>
        <v>81.742946708463947</v>
      </c>
      <c r="E3" s="46">
        <f t="shared" ref="E3" si="2">(L3+N3+P3)/Q3*100</f>
        <v>87.498432601880879</v>
      </c>
      <c r="F3" s="46">
        <f t="shared" ref="F3:F31" si="3">(L3+N3+P3+R3)/Q3*100</f>
        <v>90.006269592476485</v>
      </c>
      <c r="G3" s="46" t="str">
        <f t="shared" ref="G3:G31" si="4">IF(AND(AND(U3&gt;0,(L3+N3)&gt;0),ROUND(SUM(100*((2*(L3+N3)+1.96^2)-(1.96*(SQRT(1.96^2+4*(L3+N3)*(1-((L3+N3)/U3))))))/(2*(U3+1.96^2))),0)&lt;0),CONCATENATE(SUM(1*0)," - ",ROUND(SUM(100*((2*(L3+N3)+1.96^2)+(1.96*(SQRT(1.96^2+4*(L3+N3)*(1-((L3+N3)/U3))))))/(2*(U3+1.96^2))),0)),IF(AND(AND(U3&gt;0,(L3+N3)&gt;0),ROUND(SUM(100*((2*(L3+N3)+1.96^2)-(1.96*(SQRT(1.96^2+4*(L3+N3)*(1-((L3+N3)/U3))))))/(2*(U3+1.96^2))),0)&gt;=0),CONCATENATE(ROUND(SUM(100*((2*(L3+N3)+1.96^2)-(1.96*(SQRT(1.96^2+4*(L3+N3)*(1-((L3+N3)/U3))))))/(2*(U3+1.96^2))),0)," - ",ROUND(SUM(100*((2*(L3+N3)+1.96^2)+(1.96*(SQRT(1.96^2+4*(L3+N3)*(1-((L3+N3)/U3))))))/(2*(U3+1.96^2))),0)),""))</f>
        <v>81 - 83</v>
      </c>
      <c r="H3" s="536">
        <f t="shared" ref="H3:J3" si="5">D3-C3</f>
        <v>31.36050156739811</v>
      </c>
      <c r="I3" s="563">
        <f t="shared" si="5"/>
        <v>5.7554858934169317</v>
      </c>
      <c r="J3" s="562">
        <f t="shared" si="5"/>
        <v>2.5078369905956066</v>
      </c>
      <c r="K3" s="561">
        <v>90</v>
      </c>
      <c r="L3" s="405">
        <f t="shared" ref="L3:U3" si="6">SUM(L4:L31)</f>
        <v>4018</v>
      </c>
      <c r="M3" s="405">
        <f t="shared" si="6"/>
        <v>7975</v>
      </c>
      <c r="N3" s="405">
        <f t="shared" si="6"/>
        <v>2501</v>
      </c>
      <c r="O3" s="405">
        <f t="shared" si="6"/>
        <v>7975</v>
      </c>
      <c r="P3" s="405">
        <f t="shared" si="6"/>
        <v>459</v>
      </c>
      <c r="Q3" s="405">
        <f t="shared" si="6"/>
        <v>7975</v>
      </c>
      <c r="R3" s="405">
        <f t="shared" si="6"/>
        <v>200</v>
      </c>
      <c r="S3" s="405">
        <f t="shared" si="6"/>
        <v>7975</v>
      </c>
      <c r="T3" s="405">
        <f t="shared" si="6"/>
        <v>397</v>
      </c>
      <c r="U3" s="405">
        <f t="shared" si="6"/>
        <v>7975</v>
      </c>
    </row>
    <row r="4" spans="1:21">
      <c r="A4" s="45" t="s">
        <v>68</v>
      </c>
      <c r="B4" s="45" t="s">
        <v>69</v>
      </c>
      <c r="C4" s="46">
        <f t="shared" ref="C4:C31" si="7">L4/M4*100</f>
        <v>96.969696969696969</v>
      </c>
      <c r="D4" s="46">
        <f t="shared" ref="D4:D31" si="8">(L4+N4)/O4*100</f>
        <v>100</v>
      </c>
      <c r="E4" s="46">
        <f t="shared" ref="E4:E31" si="9">(L4+N4+P4)/Q4*100</f>
        <v>100</v>
      </c>
      <c r="F4" s="46">
        <f t="shared" si="3"/>
        <v>100</v>
      </c>
      <c r="G4" s="46" t="str">
        <f t="shared" si="4"/>
        <v>90 - 100</v>
      </c>
      <c r="H4" s="523">
        <f t="shared" ref="H4:H31" si="10">D4-C4</f>
        <v>3.0303030303030312</v>
      </c>
      <c r="I4" s="560">
        <f t="shared" ref="I4:I31" si="11">E4-D4</f>
        <v>0</v>
      </c>
      <c r="J4" s="559">
        <f t="shared" ref="J4:J31" si="12">F4-E4</f>
        <v>0</v>
      </c>
      <c r="K4" s="559">
        <v>90</v>
      </c>
      <c r="L4" s="405">
        <v>32</v>
      </c>
      <c r="M4" s="405">
        <v>33</v>
      </c>
      <c r="N4" s="405">
        <v>1</v>
      </c>
      <c r="O4" s="405">
        <v>33</v>
      </c>
      <c r="P4" s="405">
        <v>0</v>
      </c>
      <c r="Q4" s="405">
        <v>33</v>
      </c>
      <c r="R4" s="405">
        <v>0</v>
      </c>
      <c r="S4" s="405">
        <v>33</v>
      </c>
      <c r="T4" s="405">
        <v>0</v>
      </c>
      <c r="U4" s="405">
        <v>33</v>
      </c>
    </row>
    <row r="5" spans="1:21">
      <c r="A5" s="45" t="s">
        <v>89</v>
      </c>
      <c r="B5" s="45" t="s">
        <v>90</v>
      </c>
      <c r="C5" s="46">
        <f t="shared" si="7"/>
        <v>100</v>
      </c>
      <c r="D5" s="46">
        <f t="shared" si="8"/>
        <v>100</v>
      </c>
      <c r="E5" s="46">
        <f t="shared" si="9"/>
        <v>100</v>
      </c>
      <c r="F5" s="46">
        <f t="shared" si="3"/>
        <v>100</v>
      </c>
      <c r="G5" s="46" t="str">
        <f t="shared" si="4"/>
        <v>84 - 100</v>
      </c>
      <c r="H5" s="523">
        <f t="shared" si="10"/>
        <v>0</v>
      </c>
      <c r="I5" s="560">
        <f t="shared" si="11"/>
        <v>0</v>
      </c>
      <c r="J5" s="559">
        <f t="shared" si="12"/>
        <v>0</v>
      </c>
      <c r="K5" s="557">
        <v>90</v>
      </c>
      <c r="L5" s="405">
        <v>20</v>
      </c>
      <c r="M5" s="405">
        <v>20</v>
      </c>
      <c r="N5" s="405">
        <v>0</v>
      </c>
      <c r="O5" s="405">
        <v>20</v>
      </c>
      <c r="P5" s="405">
        <v>0</v>
      </c>
      <c r="Q5" s="405">
        <v>20</v>
      </c>
      <c r="R5" s="405">
        <v>0</v>
      </c>
      <c r="S5" s="405">
        <v>20</v>
      </c>
      <c r="T5" s="405">
        <v>0</v>
      </c>
      <c r="U5" s="405">
        <v>20</v>
      </c>
    </row>
    <row r="6" spans="1:21">
      <c r="A6" s="45" t="s">
        <v>92</v>
      </c>
      <c r="B6" s="45" t="s">
        <v>93</v>
      </c>
      <c r="C6" s="46">
        <f t="shared" si="7"/>
        <v>100</v>
      </c>
      <c r="D6" s="46">
        <f t="shared" si="8"/>
        <v>100</v>
      </c>
      <c r="E6" s="46">
        <f t="shared" si="9"/>
        <v>100</v>
      </c>
      <c r="F6" s="46">
        <f t="shared" si="3"/>
        <v>100</v>
      </c>
      <c r="G6" s="46" t="str">
        <f t="shared" si="4"/>
        <v>92 - 100</v>
      </c>
      <c r="H6" s="529">
        <f t="shared" si="10"/>
        <v>0</v>
      </c>
      <c r="I6" s="558">
        <f t="shared" si="11"/>
        <v>0</v>
      </c>
      <c r="J6" s="557">
        <f t="shared" si="12"/>
        <v>0</v>
      </c>
      <c r="K6" s="557">
        <v>90</v>
      </c>
      <c r="L6" s="405">
        <v>44</v>
      </c>
      <c r="M6" s="405">
        <v>44</v>
      </c>
      <c r="N6" s="405">
        <v>0</v>
      </c>
      <c r="O6" s="405">
        <v>44</v>
      </c>
      <c r="P6" s="405">
        <v>0</v>
      </c>
      <c r="Q6" s="405">
        <v>44</v>
      </c>
      <c r="R6" s="405">
        <v>0</v>
      </c>
      <c r="S6" s="405">
        <v>44</v>
      </c>
      <c r="T6" s="405">
        <v>0</v>
      </c>
      <c r="U6" s="405">
        <v>44</v>
      </c>
    </row>
    <row r="7" spans="1:21">
      <c r="A7" s="45" t="s">
        <v>37</v>
      </c>
      <c r="B7" s="45" t="s">
        <v>133</v>
      </c>
      <c r="C7" s="46">
        <f t="shared" si="7"/>
        <v>73.91304347826086</v>
      </c>
      <c r="D7" s="46">
        <f t="shared" si="8"/>
        <v>100</v>
      </c>
      <c r="E7" s="46">
        <f t="shared" si="9"/>
        <v>100</v>
      </c>
      <c r="F7" s="46">
        <f t="shared" si="3"/>
        <v>100</v>
      </c>
      <c r="G7" s="46" t="str">
        <f t="shared" si="4"/>
        <v>86 - 100</v>
      </c>
      <c r="H7" s="529">
        <f t="shared" si="10"/>
        <v>26.08695652173914</v>
      </c>
      <c r="I7" s="558">
        <f t="shared" si="11"/>
        <v>0</v>
      </c>
      <c r="J7" s="557">
        <f t="shared" si="12"/>
        <v>0</v>
      </c>
      <c r="K7" s="557">
        <v>90</v>
      </c>
      <c r="L7" s="405">
        <v>17</v>
      </c>
      <c r="M7" s="405">
        <v>23</v>
      </c>
      <c r="N7" s="405">
        <v>6</v>
      </c>
      <c r="O7" s="405">
        <v>23</v>
      </c>
      <c r="P7" s="405">
        <v>0</v>
      </c>
      <c r="Q7" s="405">
        <v>23</v>
      </c>
      <c r="R7" s="405">
        <v>0</v>
      </c>
      <c r="S7" s="405">
        <v>23</v>
      </c>
      <c r="T7" s="405">
        <v>0</v>
      </c>
      <c r="U7" s="405">
        <v>23</v>
      </c>
    </row>
    <row r="8" spans="1:21">
      <c r="A8" s="45" t="s">
        <v>60</v>
      </c>
      <c r="B8" s="45" t="s">
        <v>61</v>
      </c>
      <c r="C8" s="46">
        <f t="shared" si="7"/>
        <v>86.357039187227869</v>
      </c>
      <c r="D8" s="46">
        <f t="shared" si="8"/>
        <v>96.806966618287376</v>
      </c>
      <c r="E8" s="46">
        <f t="shared" si="9"/>
        <v>97.677793904208997</v>
      </c>
      <c r="F8" s="46">
        <f t="shared" si="3"/>
        <v>98.548621190130632</v>
      </c>
      <c r="G8" s="46" t="str">
        <f t="shared" si="4"/>
        <v>95 - 98</v>
      </c>
      <c r="H8" s="529">
        <f t="shared" si="10"/>
        <v>10.449927431059507</v>
      </c>
      <c r="I8" s="558">
        <f t="shared" si="11"/>
        <v>0.87082728592162084</v>
      </c>
      <c r="J8" s="557">
        <f t="shared" si="12"/>
        <v>0.87082728592163505</v>
      </c>
      <c r="K8" s="557">
        <v>90</v>
      </c>
      <c r="L8" s="405">
        <v>595</v>
      </c>
      <c r="M8" s="405">
        <v>689</v>
      </c>
      <c r="N8" s="405">
        <v>72</v>
      </c>
      <c r="O8" s="405">
        <v>689</v>
      </c>
      <c r="P8" s="405">
        <v>6</v>
      </c>
      <c r="Q8" s="405">
        <v>689</v>
      </c>
      <c r="R8" s="405">
        <v>6</v>
      </c>
      <c r="S8" s="405">
        <v>689</v>
      </c>
      <c r="T8" s="405">
        <v>7</v>
      </c>
      <c r="U8" s="405">
        <v>689</v>
      </c>
    </row>
    <row r="9" spans="1:21">
      <c r="A9" s="45" t="s">
        <v>107</v>
      </c>
      <c r="B9" s="45" t="s">
        <v>106</v>
      </c>
      <c r="C9" s="46">
        <f t="shared" si="7"/>
        <v>38.688524590163937</v>
      </c>
      <c r="D9" s="46">
        <f t="shared" si="8"/>
        <v>85.245901639344254</v>
      </c>
      <c r="E9" s="46">
        <f t="shared" si="9"/>
        <v>94.426229508196727</v>
      </c>
      <c r="F9" s="46">
        <f t="shared" si="3"/>
        <v>97.377049180327873</v>
      </c>
      <c r="G9" s="46" t="str">
        <f t="shared" si="4"/>
        <v>81 - 89</v>
      </c>
      <c r="H9" s="529">
        <f t="shared" si="10"/>
        <v>46.557377049180317</v>
      </c>
      <c r="I9" s="558">
        <f t="shared" si="11"/>
        <v>9.1803278688524728</v>
      </c>
      <c r="J9" s="557">
        <f t="shared" si="12"/>
        <v>2.9508196721311464</v>
      </c>
      <c r="K9" s="557">
        <v>90</v>
      </c>
      <c r="L9" s="405">
        <v>118</v>
      </c>
      <c r="M9" s="405">
        <v>305</v>
      </c>
      <c r="N9" s="405">
        <v>142</v>
      </c>
      <c r="O9" s="405">
        <v>305</v>
      </c>
      <c r="P9" s="405">
        <v>28</v>
      </c>
      <c r="Q9" s="405">
        <v>305</v>
      </c>
      <c r="R9" s="405">
        <v>9</v>
      </c>
      <c r="S9" s="405">
        <v>305</v>
      </c>
      <c r="T9" s="405">
        <v>6</v>
      </c>
      <c r="U9" s="405">
        <v>305</v>
      </c>
    </row>
    <row r="10" spans="1:21">
      <c r="A10" s="45" t="s">
        <v>121</v>
      </c>
      <c r="B10" s="45" t="s">
        <v>122</v>
      </c>
      <c r="C10" s="46">
        <f t="shared" si="7"/>
        <v>88.888888888888886</v>
      </c>
      <c r="D10" s="46">
        <f t="shared" si="8"/>
        <v>97.222222222222214</v>
      </c>
      <c r="E10" s="46">
        <f t="shared" si="9"/>
        <v>97.222222222222214</v>
      </c>
      <c r="F10" s="46">
        <f t="shared" si="3"/>
        <v>97.222222222222214</v>
      </c>
      <c r="G10" s="46" t="str">
        <f t="shared" si="4"/>
        <v>86 - 100</v>
      </c>
      <c r="H10" s="529">
        <f t="shared" si="10"/>
        <v>8.3333333333333286</v>
      </c>
      <c r="I10" s="558">
        <f t="shared" si="11"/>
        <v>0</v>
      </c>
      <c r="J10" s="557">
        <f t="shared" si="12"/>
        <v>0</v>
      </c>
      <c r="K10" s="557">
        <v>90</v>
      </c>
      <c r="L10" s="405">
        <v>32</v>
      </c>
      <c r="M10" s="405">
        <v>36</v>
      </c>
      <c r="N10" s="405">
        <v>3</v>
      </c>
      <c r="O10" s="405">
        <v>36</v>
      </c>
      <c r="P10" s="405">
        <v>0</v>
      </c>
      <c r="Q10" s="405">
        <v>36</v>
      </c>
      <c r="R10" s="405">
        <v>0</v>
      </c>
      <c r="S10" s="405">
        <v>36</v>
      </c>
      <c r="T10" s="405">
        <v>1</v>
      </c>
      <c r="U10" s="405">
        <v>36</v>
      </c>
    </row>
    <row r="11" spans="1:21">
      <c r="A11" s="45" t="s">
        <v>82</v>
      </c>
      <c r="B11" s="45" t="s">
        <v>83</v>
      </c>
      <c r="C11" s="46">
        <f t="shared" si="7"/>
        <v>69.273743016759781</v>
      </c>
      <c r="D11" s="46">
        <f t="shared" si="8"/>
        <v>91.620111731843579</v>
      </c>
      <c r="E11" s="46">
        <f t="shared" si="9"/>
        <v>93.85474860335195</v>
      </c>
      <c r="F11" s="46">
        <f t="shared" si="3"/>
        <v>96.648044692737429</v>
      </c>
      <c r="G11" s="46" t="str">
        <f t="shared" si="4"/>
        <v>87 - 95</v>
      </c>
      <c r="H11" s="529">
        <f t="shared" si="10"/>
        <v>22.346368715083798</v>
      </c>
      <c r="I11" s="558">
        <f t="shared" si="11"/>
        <v>2.2346368715083713</v>
      </c>
      <c r="J11" s="557">
        <f t="shared" si="12"/>
        <v>2.7932960893854784</v>
      </c>
      <c r="K11" s="557">
        <v>90</v>
      </c>
      <c r="L11" s="405">
        <v>124</v>
      </c>
      <c r="M11" s="405">
        <v>179</v>
      </c>
      <c r="N11" s="405">
        <v>40</v>
      </c>
      <c r="O11" s="405">
        <v>179</v>
      </c>
      <c r="P11" s="405">
        <v>4</v>
      </c>
      <c r="Q11" s="405">
        <v>179</v>
      </c>
      <c r="R11" s="405">
        <v>5</v>
      </c>
      <c r="S11" s="405">
        <v>179</v>
      </c>
      <c r="T11" s="405">
        <v>6</v>
      </c>
      <c r="U11" s="405">
        <v>179</v>
      </c>
    </row>
    <row r="12" spans="1:21">
      <c r="A12" s="45" t="s">
        <v>124</v>
      </c>
      <c r="B12" s="45" t="s">
        <v>125</v>
      </c>
      <c r="C12" s="46">
        <f t="shared" si="7"/>
        <v>30.474040632054177</v>
      </c>
      <c r="D12" s="46">
        <f t="shared" si="8"/>
        <v>84.198645598194133</v>
      </c>
      <c r="E12" s="46">
        <f t="shared" si="9"/>
        <v>92.550790067720087</v>
      </c>
      <c r="F12" s="46">
        <f t="shared" si="3"/>
        <v>96.162528216704288</v>
      </c>
      <c r="G12" s="46" t="str">
        <f t="shared" si="4"/>
        <v>81 - 87</v>
      </c>
      <c r="H12" s="529">
        <f t="shared" si="10"/>
        <v>53.724604966139957</v>
      </c>
      <c r="I12" s="558">
        <f t="shared" si="11"/>
        <v>8.3521444695259532</v>
      </c>
      <c r="J12" s="557">
        <f t="shared" si="12"/>
        <v>3.6117381489842018</v>
      </c>
      <c r="K12" s="557">
        <v>90</v>
      </c>
      <c r="L12" s="405">
        <v>135</v>
      </c>
      <c r="M12" s="405">
        <v>443</v>
      </c>
      <c r="N12" s="405">
        <v>238</v>
      </c>
      <c r="O12" s="405">
        <v>443</v>
      </c>
      <c r="P12" s="405">
        <v>37</v>
      </c>
      <c r="Q12" s="405">
        <v>443</v>
      </c>
      <c r="R12" s="405">
        <v>16</v>
      </c>
      <c r="S12" s="405">
        <v>443</v>
      </c>
      <c r="T12" s="405">
        <v>12</v>
      </c>
      <c r="U12" s="405">
        <v>443</v>
      </c>
    </row>
    <row r="13" spans="1:21">
      <c r="A13" s="45" t="s">
        <v>95</v>
      </c>
      <c r="B13" s="45" t="s">
        <v>96</v>
      </c>
      <c r="C13" s="46">
        <f t="shared" si="7"/>
        <v>93.61702127659575</v>
      </c>
      <c r="D13" s="46">
        <f t="shared" si="8"/>
        <v>95.744680851063833</v>
      </c>
      <c r="E13" s="46">
        <f t="shared" si="9"/>
        <v>95.744680851063833</v>
      </c>
      <c r="F13" s="46">
        <f t="shared" si="3"/>
        <v>95.744680851063833</v>
      </c>
      <c r="G13" s="46" t="str">
        <f t="shared" si="4"/>
        <v>86 - 99</v>
      </c>
      <c r="H13" s="529">
        <f t="shared" si="10"/>
        <v>2.1276595744680833</v>
      </c>
      <c r="I13" s="558">
        <f t="shared" si="11"/>
        <v>0</v>
      </c>
      <c r="J13" s="557">
        <f t="shared" si="12"/>
        <v>0</v>
      </c>
      <c r="K13" s="557">
        <v>90</v>
      </c>
      <c r="L13" s="405">
        <v>44</v>
      </c>
      <c r="M13" s="405">
        <v>47</v>
      </c>
      <c r="N13" s="405">
        <v>1</v>
      </c>
      <c r="O13" s="405">
        <v>47</v>
      </c>
      <c r="P13" s="405">
        <v>0</v>
      </c>
      <c r="Q13" s="405">
        <v>47</v>
      </c>
      <c r="R13" s="405">
        <v>0</v>
      </c>
      <c r="S13" s="405">
        <v>47</v>
      </c>
      <c r="T13" s="405">
        <v>1</v>
      </c>
      <c r="U13" s="405">
        <v>47</v>
      </c>
    </row>
    <row r="14" spans="1:21">
      <c r="A14" s="45" t="s">
        <v>174</v>
      </c>
      <c r="B14" s="45" t="s">
        <v>71</v>
      </c>
      <c r="C14" s="46">
        <f t="shared" si="7"/>
        <v>36.137667304015295</v>
      </c>
      <c r="D14" s="46">
        <f t="shared" si="8"/>
        <v>87.571701720841304</v>
      </c>
      <c r="E14" s="46">
        <f t="shared" si="9"/>
        <v>93.881453154875715</v>
      </c>
      <c r="F14" s="46">
        <f t="shared" si="3"/>
        <v>95.602294455066911</v>
      </c>
      <c r="G14" s="46" t="str">
        <f t="shared" si="4"/>
        <v>84 - 90</v>
      </c>
      <c r="H14" s="529">
        <f t="shared" si="10"/>
        <v>51.434034416826009</v>
      </c>
      <c r="I14" s="558">
        <f t="shared" si="11"/>
        <v>6.3097514340344105</v>
      </c>
      <c r="J14" s="557">
        <f t="shared" si="12"/>
        <v>1.7208413001911964</v>
      </c>
      <c r="K14" s="557">
        <v>90</v>
      </c>
      <c r="L14" s="405">
        <v>189</v>
      </c>
      <c r="M14" s="405">
        <v>523</v>
      </c>
      <c r="N14" s="405">
        <v>269</v>
      </c>
      <c r="O14" s="405">
        <v>523</v>
      </c>
      <c r="P14" s="405">
        <v>33</v>
      </c>
      <c r="Q14" s="405">
        <v>523</v>
      </c>
      <c r="R14" s="405">
        <v>9</v>
      </c>
      <c r="S14" s="405">
        <v>523</v>
      </c>
      <c r="T14" s="405">
        <v>17</v>
      </c>
      <c r="U14" s="405">
        <v>523</v>
      </c>
    </row>
    <row r="15" spans="1:21">
      <c r="A15" s="45" t="s">
        <v>101</v>
      </c>
      <c r="B15" s="45" t="s">
        <v>102</v>
      </c>
      <c r="C15" s="46">
        <f t="shared" si="7"/>
        <v>58.113207547169807</v>
      </c>
      <c r="D15" s="46">
        <f t="shared" si="8"/>
        <v>87.924528301886795</v>
      </c>
      <c r="E15" s="46">
        <f t="shared" si="9"/>
        <v>92.452830188679243</v>
      </c>
      <c r="F15" s="46">
        <f t="shared" si="3"/>
        <v>94.716981132075475</v>
      </c>
      <c r="G15" s="46" t="str">
        <f t="shared" si="4"/>
        <v>83 - 91</v>
      </c>
      <c r="H15" s="529">
        <f t="shared" si="10"/>
        <v>29.811320754716988</v>
      </c>
      <c r="I15" s="558">
        <f t="shared" si="11"/>
        <v>4.5283018867924483</v>
      </c>
      <c r="J15" s="557">
        <f t="shared" si="12"/>
        <v>2.2641509433962312</v>
      </c>
      <c r="K15" s="557">
        <v>90</v>
      </c>
      <c r="L15" s="405">
        <v>154</v>
      </c>
      <c r="M15" s="405">
        <v>265</v>
      </c>
      <c r="N15" s="405">
        <v>79</v>
      </c>
      <c r="O15" s="405">
        <v>265</v>
      </c>
      <c r="P15" s="405">
        <v>12</v>
      </c>
      <c r="Q15" s="405">
        <v>265</v>
      </c>
      <c r="R15" s="405">
        <v>6</v>
      </c>
      <c r="S15" s="405">
        <v>265</v>
      </c>
      <c r="T15" s="405">
        <v>10</v>
      </c>
      <c r="U15" s="405">
        <v>265</v>
      </c>
    </row>
    <row r="16" spans="1:21">
      <c r="A16" s="45" t="s">
        <v>183</v>
      </c>
      <c r="B16" s="45" t="s">
        <v>73</v>
      </c>
      <c r="C16" s="46">
        <f t="shared" si="7"/>
        <v>23.443983402489625</v>
      </c>
      <c r="D16" s="46">
        <f t="shared" si="8"/>
        <v>85.477178423236509</v>
      </c>
      <c r="E16" s="46">
        <f t="shared" si="9"/>
        <v>93.15352697095436</v>
      </c>
      <c r="F16" s="46">
        <f t="shared" si="3"/>
        <v>94.190871369294598</v>
      </c>
      <c r="G16" s="46" t="str">
        <f t="shared" si="4"/>
        <v>82 - 88</v>
      </c>
      <c r="H16" s="529">
        <f t="shared" si="10"/>
        <v>62.033195020746888</v>
      </c>
      <c r="I16" s="558">
        <f t="shared" si="11"/>
        <v>7.6763485477178506</v>
      </c>
      <c r="J16" s="557">
        <f t="shared" si="12"/>
        <v>1.0373443983402382</v>
      </c>
      <c r="K16" s="557">
        <v>90</v>
      </c>
      <c r="L16" s="405">
        <v>113</v>
      </c>
      <c r="M16" s="405">
        <v>482</v>
      </c>
      <c r="N16" s="405">
        <v>299</v>
      </c>
      <c r="O16" s="405">
        <v>482</v>
      </c>
      <c r="P16" s="405">
        <v>37</v>
      </c>
      <c r="Q16" s="405">
        <v>482</v>
      </c>
      <c r="R16" s="405">
        <v>5</v>
      </c>
      <c r="S16" s="405">
        <v>482</v>
      </c>
      <c r="T16" s="405">
        <v>20</v>
      </c>
      <c r="U16" s="405">
        <v>482</v>
      </c>
    </row>
    <row r="17" spans="1:21">
      <c r="A17" s="45" t="s">
        <v>184</v>
      </c>
      <c r="B17" s="45" t="s">
        <v>80</v>
      </c>
      <c r="C17" s="46">
        <f t="shared" si="7"/>
        <v>62.697022767075303</v>
      </c>
      <c r="D17" s="46">
        <f t="shared" si="8"/>
        <v>86.865148861646233</v>
      </c>
      <c r="E17" s="46">
        <f t="shared" si="9"/>
        <v>90.893169877408056</v>
      </c>
      <c r="F17" s="46">
        <f t="shared" si="3"/>
        <v>93.695271453590195</v>
      </c>
      <c r="G17" s="46" t="str">
        <f t="shared" si="4"/>
        <v>84 - 89</v>
      </c>
      <c r="H17" s="529">
        <f t="shared" si="10"/>
        <v>24.16812609457093</v>
      </c>
      <c r="I17" s="558">
        <f t="shared" si="11"/>
        <v>4.0280210157618228</v>
      </c>
      <c r="J17" s="557">
        <f t="shared" si="12"/>
        <v>2.8021015761821388</v>
      </c>
      <c r="K17" s="557">
        <v>90</v>
      </c>
      <c r="L17" s="405">
        <v>358</v>
      </c>
      <c r="M17" s="405">
        <v>571</v>
      </c>
      <c r="N17" s="405">
        <v>138</v>
      </c>
      <c r="O17" s="405">
        <v>571</v>
      </c>
      <c r="P17" s="405">
        <v>23</v>
      </c>
      <c r="Q17" s="405">
        <v>571</v>
      </c>
      <c r="R17" s="405">
        <v>16</v>
      </c>
      <c r="S17" s="405">
        <v>571</v>
      </c>
      <c r="T17" s="405">
        <v>25</v>
      </c>
      <c r="U17" s="405">
        <v>571</v>
      </c>
    </row>
    <row r="18" spans="1:21">
      <c r="A18" s="45" t="s">
        <v>104</v>
      </c>
      <c r="B18" s="45" t="s">
        <v>105</v>
      </c>
      <c r="C18" s="46">
        <f t="shared" si="7"/>
        <v>51.798561151079134</v>
      </c>
      <c r="D18" s="46">
        <f t="shared" si="8"/>
        <v>87.050359712230218</v>
      </c>
      <c r="E18" s="46">
        <f t="shared" si="9"/>
        <v>92.446043165467628</v>
      </c>
      <c r="F18" s="46">
        <f t="shared" si="3"/>
        <v>93.525179856115102</v>
      </c>
      <c r="G18" s="46" t="str">
        <f t="shared" si="4"/>
        <v>83 - 90</v>
      </c>
      <c r="H18" s="529">
        <f t="shared" si="10"/>
        <v>35.251798561151084</v>
      </c>
      <c r="I18" s="558">
        <f t="shared" si="11"/>
        <v>5.3956834532374103</v>
      </c>
      <c r="J18" s="557">
        <f t="shared" si="12"/>
        <v>1.0791366906474735</v>
      </c>
      <c r="K18" s="557">
        <v>90</v>
      </c>
      <c r="L18" s="405">
        <v>144</v>
      </c>
      <c r="M18" s="405">
        <v>278</v>
      </c>
      <c r="N18" s="405">
        <v>98</v>
      </c>
      <c r="O18" s="405">
        <v>278</v>
      </c>
      <c r="P18" s="405">
        <v>15</v>
      </c>
      <c r="Q18" s="405">
        <v>278</v>
      </c>
      <c r="R18" s="405">
        <v>3</v>
      </c>
      <c r="S18" s="405">
        <v>278</v>
      </c>
      <c r="T18" s="405">
        <v>6</v>
      </c>
      <c r="U18" s="405">
        <v>278</v>
      </c>
    </row>
    <row r="19" spans="1:21">
      <c r="A19" s="45" t="s">
        <v>28</v>
      </c>
      <c r="B19" s="45" t="s">
        <v>63</v>
      </c>
      <c r="C19" s="46">
        <f t="shared" si="7"/>
        <v>33.333333333333329</v>
      </c>
      <c r="D19" s="46">
        <f t="shared" si="8"/>
        <v>85.380116959064324</v>
      </c>
      <c r="E19" s="46">
        <f t="shared" si="9"/>
        <v>89.473684210526315</v>
      </c>
      <c r="F19" s="46">
        <f t="shared" si="3"/>
        <v>92.397660818713447</v>
      </c>
      <c r="G19" s="46" t="str">
        <f t="shared" si="4"/>
        <v>79 - 90</v>
      </c>
      <c r="H19" s="529">
        <f t="shared" si="10"/>
        <v>52.046783625730995</v>
      </c>
      <c r="I19" s="558">
        <f t="shared" si="11"/>
        <v>4.093567251461991</v>
      </c>
      <c r="J19" s="557">
        <f t="shared" si="12"/>
        <v>2.9239766081871323</v>
      </c>
      <c r="K19" s="557">
        <v>90</v>
      </c>
      <c r="L19" s="405">
        <v>57</v>
      </c>
      <c r="M19" s="405">
        <v>171</v>
      </c>
      <c r="N19" s="405">
        <v>89</v>
      </c>
      <c r="O19" s="405">
        <v>171</v>
      </c>
      <c r="P19" s="405">
        <v>7</v>
      </c>
      <c r="Q19" s="405">
        <v>171</v>
      </c>
      <c r="R19" s="405">
        <v>5</v>
      </c>
      <c r="S19" s="405">
        <v>171</v>
      </c>
      <c r="T19" s="405">
        <v>9</v>
      </c>
      <c r="U19" s="405">
        <v>171</v>
      </c>
    </row>
    <row r="20" spans="1:21">
      <c r="A20" s="45" t="s">
        <v>185</v>
      </c>
      <c r="B20" s="45" t="s">
        <v>85</v>
      </c>
      <c r="C20" s="46">
        <f t="shared" si="7"/>
        <v>49.857549857549863</v>
      </c>
      <c r="D20" s="46">
        <f t="shared" si="8"/>
        <v>80.626780626780629</v>
      </c>
      <c r="E20" s="46">
        <f t="shared" si="9"/>
        <v>88.603988603988597</v>
      </c>
      <c r="F20" s="46">
        <f t="shared" si="3"/>
        <v>92.307692307692307</v>
      </c>
      <c r="G20" s="46" t="str">
        <f t="shared" si="4"/>
        <v>76 - 84</v>
      </c>
      <c r="H20" s="529">
        <f t="shared" si="10"/>
        <v>30.769230769230766</v>
      </c>
      <c r="I20" s="558">
        <f t="shared" si="11"/>
        <v>7.9772079772079678</v>
      </c>
      <c r="J20" s="557">
        <f t="shared" si="12"/>
        <v>3.7037037037037095</v>
      </c>
      <c r="K20" s="557">
        <v>90</v>
      </c>
      <c r="L20" s="405">
        <v>175</v>
      </c>
      <c r="M20" s="405">
        <v>351</v>
      </c>
      <c r="N20" s="405">
        <v>108</v>
      </c>
      <c r="O20" s="405">
        <v>351</v>
      </c>
      <c r="P20" s="405">
        <v>28</v>
      </c>
      <c r="Q20" s="405">
        <v>351</v>
      </c>
      <c r="R20" s="405">
        <v>13</v>
      </c>
      <c r="S20" s="405">
        <v>351</v>
      </c>
      <c r="T20" s="405">
        <v>24</v>
      </c>
      <c r="U20" s="405">
        <v>351</v>
      </c>
    </row>
    <row r="21" spans="1:21">
      <c r="A21" s="45" t="s">
        <v>65</v>
      </c>
      <c r="B21" s="45" t="s">
        <v>66</v>
      </c>
      <c r="C21" s="46">
        <f t="shared" si="7"/>
        <v>23.602484472049689</v>
      </c>
      <c r="D21" s="46">
        <f t="shared" si="8"/>
        <v>73.91304347826086</v>
      </c>
      <c r="E21" s="46">
        <f t="shared" si="9"/>
        <v>85.714285714285708</v>
      </c>
      <c r="F21" s="46">
        <f t="shared" si="3"/>
        <v>90.683229813664596</v>
      </c>
      <c r="G21" s="46" t="str">
        <f t="shared" si="4"/>
        <v>67 - 80</v>
      </c>
      <c r="H21" s="529">
        <f t="shared" si="10"/>
        <v>50.310559006211172</v>
      </c>
      <c r="I21" s="558">
        <f t="shared" si="11"/>
        <v>11.801242236024848</v>
      </c>
      <c r="J21" s="557">
        <f t="shared" si="12"/>
        <v>4.9689440993788878</v>
      </c>
      <c r="K21" s="557">
        <v>90</v>
      </c>
      <c r="L21" s="405">
        <v>38</v>
      </c>
      <c r="M21" s="405">
        <v>161</v>
      </c>
      <c r="N21" s="405">
        <v>81</v>
      </c>
      <c r="O21" s="405">
        <v>161</v>
      </c>
      <c r="P21" s="405">
        <v>19</v>
      </c>
      <c r="Q21" s="405">
        <v>161</v>
      </c>
      <c r="R21" s="405">
        <v>8</v>
      </c>
      <c r="S21" s="405">
        <v>161</v>
      </c>
      <c r="T21" s="405">
        <v>4</v>
      </c>
      <c r="U21" s="405">
        <v>161</v>
      </c>
    </row>
    <row r="22" spans="1:21">
      <c r="A22" s="45" t="s">
        <v>459</v>
      </c>
      <c r="B22" s="45" t="s">
        <v>460</v>
      </c>
      <c r="C22" s="46">
        <f t="shared" si="7"/>
        <v>67.677725118483409</v>
      </c>
      <c r="D22" s="46">
        <f t="shared" si="8"/>
        <v>85.402843601895739</v>
      </c>
      <c r="E22" s="46">
        <f t="shared" si="9"/>
        <v>89.66824644549763</v>
      </c>
      <c r="F22" s="46">
        <f t="shared" si="3"/>
        <v>90.616113744075832</v>
      </c>
      <c r="G22" s="46" t="str">
        <f t="shared" si="4"/>
        <v>83 - 87</v>
      </c>
      <c r="H22" s="529">
        <f t="shared" si="10"/>
        <v>17.725118483412331</v>
      </c>
      <c r="I22" s="558">
        <f t="shared" si="11"/>
        <v>4.2654028436018905</v>
      </c>
      <c r="J22" s="557">
        <f t="shared" si="12"/>
        <v>0.94786729857820262</v>
      </c>
      <c r="K22" s="557">
        <v>90</v>
      </c>
      <c r="L22" s="405">
        <v>714</v>
      </c>
      <c r="M22" s="405">
        <v>1055</v>
      </c>
      <c r="N22" s="405">
        <v>187</v>
      </c>
      <c r="O22" s="405">
        <v>1055</v>
      </c>
      <c r="P22" s="405">
        <v>45</v>
      </c>
      <c r="Q22" s="405">
        <v>1055</v>
      </c>
      <c r="R22" s="405">
        <v>10</v>
      </c>
      <c r="S22" s="405">
        <v>1055</v>
      </c>
      <c r="T22" s="405">
        <v>63</v>
      </c>
      <c r="U22" s="405">
        <v>1055</v>
      </c>
    </row>
    <row r="23" spans="1:21">
      <c r="A23" s="45" t="s">
        <v>77</v>
      </c>
      <c r="B23" s="45" t="s">
        <v>78</v>
      </c>
      <c r="C23" s="46">
        <f t="shared" si="7"/>
        <v>61.467889908256879</v>
      </c>
      <c r="D23" s="46">
        <f t="shared" si="8"/>
        <v>77.981651376146786</v>
      </c>
      <c r="E23" s="46">
        <f t="shared" si="9"/>
        <v>83.486238532110093</v>
      </c>
      <c r="F23" s="46">
        <f t="shared" si="3"/>
        <v>88.073394495412856</v>
      </c>
      <c r="G23" s="46" t="str">
        <f t="shared" si="4"/>
        <v>69 - 85</v>
      </c>
      <c r="H23" s="529">
        <f t="shared" si="10"/>
        <v>16.513761467889907</v>
      </c>
      <c r="I23" s="558">
        <f t="shared" si="11"/>
        <v>5.5045871559633071</v>
      </c>
      <c r="J23" s="557">
        <f t="shared" si="12"/>
        <v>4.587155963302763</v>
      </c>
      <c r="K23" s="557">
        <v>90</v>
      </c>
      <c r="L23" s="405">
        <v>67</v>
      </c>
      <c r="M23" s="405">
        <v>109</v>
      </c>
      <c r="N23" s="405">
        <v>18</v>
      </c>
      <c r="O23" s="405">
        <v>109</v>
      </c>
      <c r="P23" s="405">
        <v>6</v>
      </c>
      <c r="Q23" s="405">
        <v>109</v>
      </c>
      <c r="R23" s="405">
        <v>5</v>
      </c>
      <c r="S23" s="405">
        <v>109</v>
      </c>
      <c r="T23" s="405">
        <v>5</v>
      </c>
      <c r="U23" s="405">
        <v>109</v>
      </c>
    </row>
    <row r="24" spans="1:21">
      <c r="A24" s="45" t="s">
        <v>127</v>
      </c>
      <c r="B24" s="45" t="s">
        <v>128</v>
      </c>
      <c r="C24" s="46">
        <f t="shared" si="7"/>
        <v>22.535211267605636</v>
      </c>
      <c r="D24" s="46">
        <f t="shared" si="8"/>
        <v>68.544600938967136</v>
      </c>
      <c r="E24" s="46">
        <f t="shared" si="9"/>
        <v>80.281690140845072</v>
      </c>
      <c r="F24" s="46">
        <f t="shared" si="3"/>
        <v>84.976525821596255</v>
      </c>
      <c r="G24" s="46" t="str">
        <f t="shared" si="4"/>
        <v>62 - 74</v>
      </c>
      <c r="H24" s="529">
        <f t="shared" si="10"/>
        <v>46.009389671361504</v>
      </c>
      <c r="I24" s="558">
        <f t="shared" si="11"/>
        <v>11.737089201877936</v>
      </c>
      <c r="J24" s="557">
        <f t="shared" si="12"/>
        <v>4.6948356807511828</v>
      </c>
      <c r="K24" s="557">
        <v>90</v>
      </c>
      <c r="L24" s="405">
        <v>48</v>
      </c>
      <c r="M24" s="405">
        <v>213</v>
      </c>
      <c r="N24" s="405">
        <v>98</v>
      </c>
      <c r="O24" s="405">
        <v>213</v>
      </c>
      <c r="P24" s="405">
        <v>25</v>
      </c>
      <c r="Q24" s="405">
        <v>213</v>
      </c>
      <c r="R24" s="405">
        <v>10</v>
      </c>
      <c r="S24" s="405">
        <v>213</v>
      </c>
      <c r="T24" s="405">
        <v>18</v>
      </c>
      <c r="U24" s="405">
        <v>213</v>
      </c>
    </row>
    <row r="25" spans="1:21">
      <c r="A25" s="45" t="s">
        <v>112</v>
      </c>
      <c r="B25" s="45" t="s">
        <v>113</v>
      </c>
      <c r="C25" s="46">
        <f t="shared" si="7"/>
        <v>24.242424242424242</v>
      </c>
      <c r="D25" s="46">
        <f t="shared" si="8"/>
        <v>70.995670995671006</v>
      </c>
      <c r="E25" s="46">
        <f t="shared" si="9"/>
        <v>78.354978354978357</v>
      </c>
      <c r="F25" s="46">
        <f t="shared" si="3"/>
        <v>82.683982683982677</v>
      </c>
      <c r="G25" s="46" t="str">
        <f t="shared" si="4"/>
        <v>65 - 76</v>
      </c>
      <c r="H25" s="529">
        <f t="shared" si="10"/>
        <v>46.753246753246763</v>
      </c>
      <c r="I25" s="558">
        <f t="shared" si="11"/>
        <v>7.3593073593073512</v>
      </c>
      <c r="J25" s="557">
        <f t="shared" si="12"/>
        <v>4.3290043290043201</v>
      </c>
      <c r="K25" s="557">
        <v>90</v>
      </c>
      <c r="L25" s="405">
        <v>56</v>
      </c>
      <c r="M25" s="405">
        <v>231</v>
      </c>
      <c r="N25" s="405">
        <v>108</v>
      </c>
      <c r="O25" s="405">
        <v>231</v>
      </c>
      <c r="P25" s="405">
        <v>17</v>
      </c>
      <c r="Q25" s="405">
        <v>231</v>
      </c>
      <c r="R25" s="405">
        <v>10</v>
      </c>
      <c r="S25" s="405">
        <v>231</v>
      </c>
      <c r="T25" s="405">
        <v>13</v>
      </c>
      <c r="U25" s="405">
        <v>231</v>
      </c>
    </row>
    <row r="26" spans="1:21">
      <c r="A26" s="45" t="s">
        <v>109</v>
      </c>
      <c r="B26" s="45" t="s">
        <v>110</v>
      </c>
      <c r="C26" s="46">
        <f t="shared" si="7"/>
        <v>37.691237830319892</v>
      </c>
      <c r="D26" s="46">
        <f t="shared" si="8"/>
        <v>71.349095966620297</v>
      </c>
      <c r="E26" s="46">
        <f t="shared" si="9"/>
        <v>78.720445062586933</v>
      </c>
      <c r="F26" s="46">
        <f t="shared" si="3"/>
        <v>81.641168289290675</v>
      </c>
      <c r="G26" s="46" t="str">
        <f t="shared" si="4"/>
        <v>68 - 75</v>
      </c>
      <c r="H26" s="529">
        <f t="shared" si="10"/>
        <v>33.657858136300405</v>
      </c>
      <c r="I26" s="558">
        <f t="shared" si="11"/>
        <v>7.3713490959666359</v>
      </c>
      <c r="J26" s="557">
        <f t="shared" si="12"/>
        <v>2.9207232267037426</v>
      </c>
      <c r="K26" s="557">
        <v>90</v>
      </c>
      <c r="L26" s="405">
        <v>271</v>
      </c>
      <c r="M26" s="405">
        <v>719</v>
      </c>
      <c r="N26" s="405">
        <v>242</v>
      </c>
      <c r="O26" s="405">
        <v>719</v>
      </c>
      <c r="P26" s="405">
        <v>53</v>
      </c>
      <c r="Q26" s="405">
        <v>719</v>
      </c>
      <c r="R26" s="405">
        <v>21</v>
      </c>
      <c r="S26" s="405">
        <v>719</v>
      </c>
      <c r="T26" s="405">
        <v>38</v>
      </c>
      <c r="U26" s="405">
        <v>719</v>
      </c>
    </row>
    <row r="27" spans="1:21">
      <c r="A27" s="45" t="s">
        <v>118</v>
      </c>
      <c r="B27" s="45" t="s">
        <v>119</v>
      </c>
      <c r="C27" s="46">
        <f t="shared" si="7"/>
        <v>53.846153846153847</v>
      </c>
      <c r="D27" s="46">
        <f t="shared" si="8"/>
        <v>61.53846153846154</v>
      </c>
      <c r="E27" s="46">
        <f t="shared" si="9"/>
        <v>73.076923076923066</v>
      </c>
      <c r="F27" s="46">
        <f t="shared" si="3"/>
        <v>80.769230769230774</v>
      </c>
      <c r="G27" s="46" t="str">
        <f t="shared" si="4"/>
        <v>43 - 78</v>
      </c>
      <c r="H27" s="529">
        <f t="shared" si="10"/>
        <v>7.6923076923076934</v>
      </c>
      <c r="I27" s="558">
        <f t="shared" si="11"/>
        <v>11.538461538461526</v>
      </c>
      <c r="J27" s="557">
        <f t="shared" si="12"/>
        <v>7.6923076923077076</v>
      </c>
      <c r="K27" s="557">
        <v>90</v>
      </c>
      <c r="L27" s="405">
        <v>14</v>
      </c>
      <c r="M27" s="405">
        <v>26</v>
      </c>
      <c r="N27" s="405">
        <v>2</v>
      </c>
      <c r="O27" s="405">
        <v>26</v>
      </c>
      <c r="P27" s="405">
        <v>3</v>
      </c>
      <c r="Q27" s="405">
        <v>26</v>
      </c>
      <c r="R27" s="405">
        <v>2</v>
      </c>
      <c r="S27" s="405">
        <v>26</v>
      </c>
      <c r="T27" s="405">
        <v>4</v>
      </c>
      <c r="U27" s="405">
        <v>26</v>
      </c>
    </row>
    <row r="28" spans="1:21">
      <c r="A28" s="45" t="s">
        <v>175</v>
      </c>
      <c r="B28" s="45" t="s">
        <v>75</v>
      </c>
      <c r="C28" s="46">
        <f t="shared" si="7"/>
        <v>65.827338129496411</v>
      </c>
      <c r="D28" s="46">
        <f t="shared" si="8"/>
        <v>74.460431654676256</v>
      </c>
      <c r="E28" s="46">
        <f t="shared" si="9"/>
        <v>77.877697841726629</v>
      </c>
      <c r="F28" s="46">
        <f t="shared" si="3"/>
        <v>79.856115107913666</v>
      </c>
      <c r="G28" s="46" t="str">
        <f t="shared" si="4"/>
        <v>71 - 78</v>
      </c>
      <c r="H28" s="529">
        <f t="shared" si="10"/>
        <v>8.6330935251798451</v>
      </c>
      <c r="I28" s="558">
        <f t="shared" si="11"/>
        <v>3.4172661870503731</v>
      </c>
      <c r="J28" s="557">
        <f t="shared" si="12"/>
        <v>1.9784172661870372</v>
      </c>
      <c r="K28" s="557">
        <v>90</v>
      </c>
      <c r="L28" s="405">
        <v>366</v>
      </c>
      <c r="M28" s="405">
        <v>556</v>
      </c>
      <c r="N28" s="405">
        <v>48</v>
      </c>
      <c r="O28" s="405">
        <v>556</v>
      </c>
      <c r="P28" s="405">
        <v>19</v>
      </c>
      <c r="Q28" s="405">
        <v>556</v>
      </c>
      <c r="R28" s="405">
        <v>11</v>
      </c>
      <c r="S28" s="405">
        <v>556</v>
      </c>
      <c r="T28" s="405">
        <v>46</v>
      </c>
      <c r="U28" s="405">
        <v>556</v>
      </c>
    </row>
    <row r="29" spans="1:21">
      <c r="A29" s="45" t="s">
        <v>115</v>
      </c>
      <c r="B29" s="45" t="s">
        <v>116</v>
      </c>
      <c r="C29" s="46">
        <f t="shared" si="7"/>
        <v>21.25</v>
      </c>
      <c r="D29" s="46">
        <f t="shared" si="8"/>
        <v>53.125</v>
      </c>
      <c r="E29" s="46">
        <f t="shared" si="9"/>
        <v>61.250000000000007</v>
      </c>
      <c r="F29" s="46">
        <f t="shared" si="3"/>
        <v>70</v>
      </c>
      <c r="G29" s="46" t="str">
        <f t="shared" si="4"/>
        <v>45 - 61</v>
      </c>
      <c r="H29" s="529">
        <f t="shared" si="10"/>
        <v>31.875</v>
      </c>
      <c r="I29" s="558">
        <f t="shared" si="11"/>
        <v>8.1250000000000071</v>
      </c>
      <c r="J29" s="557">
        <f t="shared" si="12"/>
        <v>8.7499999999999929</v>
      </c>
      <c r="K29" s="557">
        <v>90</v>
      </c>
      <c r="L29" s="405">
        <v>34</v>
      </c>
      <c r="M29" s="405">
        <v>160</v>
      </c>
      <c r="N29" s="405">
        <v>51</v>
      </c>
      <c r="O29" s="405">
        <v>160</v>
      </c>
      <c r="P29" s="405">
        <v>13</v>
      </c>
      <c r="Q29" s="405">
        <v>160</v>
      </c>
      <c r="R29" s="405">
        <v>14</v>
      </c>
      <c r="S29" s="405">
        <v>160</v>
      </c>
      <c r="T29" s="405">
        <v>20</v>
      </c>
      <c r="U29" s="405">
        <v>160</v>
      </c>
    </row>
    <row r="30" spans="1:21">
      <c r="A30" s="45" t="s">
        <v>98</v>
      </c>
      <c r="B30" s="45" t="s">
        <v>99</v>
      </c>
      <c r="C30" s="46">
        <f t="shared" si="7"/>
        <v>22.672064777327936</v>
      </c>
      <c r="D30" s="46">
        <f t="shared" si="8"/>
        <v>52.226720647773284</v>
      </c>
      <c r="E30" s="46">
        <f t="shared" si="9"/>
        <v>62.348178137651821</v>
      </c>
      <c r="F30" s="46">
        <f t="shared" si="3"/>
        <v>68.016194331983797</v>
      </c>
      <c r="G30" s="46" t="str">
        <f t="shared" si="4"/>
        <v>46 - 58</v>
      </c>
      <c r="H30" s="529">
        <f t="shared" si="10"/>
        <v>29.554655870445348</v>
      </c>
      <c r="I30" s="558">
        <f t="shared" si="11"/>
        <v>10.121457489878537</v>
      </c>
      <c r="J30" s="557">
        <f t="shared" si="12"/>
        <v>5.668016194331976</v>
      </c>
      <c r="K30" s="557">
        <v>90</v>
      </c>
      <c r="L30" s="405">
        <v>56</v>
      </c>
      <c r="M30" s="405">
        <v>247</v>
      </c>
      <c r="N30" s="405">
        <v>73</v>
      </c>
      <c r="O30" s="405">
        <v>247</v>
      </c>
      <c r="P30" s="405">
        <v>25</v>
      </c>
      <c r="Q30" s="405">
        <v>247</v>
      </c>
      <c r="R30" s="405">
        <v>14</v>
      </c>
      <c r="S30" s="405">
        <v>247</v>
      </c>
      <c r="T30" s="405">
        <v>30</v>
      </c>
      <c r="U30" s="405">
        <v>247</v>
      </c>
    </row>
    <row r="31" spans="1:21">
      <c r="A31" s="45" t="s">
        <v>58</v>
      </c>
      <c r="B31" s="45" t="s">
        <v>57</v>
      </c>
      <c r="C31" s="46">
        <f t="shared" si="7"/>
        <v>7.8947368421052628</v>
      </c>
      <c r="D31" s="46">
        <f t="shared" si="8"/>
        <v>34.210526315789473</v>
      </c>
      <c r="E31" s="46">
        <f t="shared" si="9"/>
        <v>44.736842105263158</v>
      </c>
      <c r="F31" s="46">
        <f t="shared" si="3"/>
        <v>50</v>
      </c>
      <c r="G31" s="46" t="str">
        <f t="shared" si="4"/>
        <v>21 - 50</v>
      </c>
      <c r="H31" s="526">
        <f t="shared" si="10"/>
        <v>26.315789473684209</v>
      </c>
      <c r="I31" s="556">
        <f t="shared" si="11"/>
        <v>10.526315789473685</v>
      </c>
      <c r="J31" s="555">
        <f t="shared" si="12"/>
        <v>5.2631578947368425</v>
      </c>
      <c r="K31" s="554">
        <v>90</v>
      </c>
      <c r="L31" s="405">
        <v>3</v>
      </c>
      <c r="M31" s="405">
        <v>38</v>
      </c>
      <c r="N31" s="405">
        <v>10</v>
      </c>
      <c r="O31" s="405">
        <v>38</v>
      </c>
      <c r="P31" s="405">
        <v>4</v>
      </c>
      <c r="Q31" s="405">
        <v>38</v>
      </c>
      <c r="R31" s="405">
        <v>2</v>
      </c>
      <c r="S31" s="405">
        <v>38</v>
      </c>
      <c r="T31" s="405">
        <v>12</v>
      </c>
      <c r="U31" s="405">
        <v>38</v>
      </c>
    </row>
    <row r="32" spans="1:21">
      <c r="A32" s="51"/>
      <c r="C32" s="34"/>
      <c r="D32" s="34"/>
      <c r="E32" s="34"/>
      <c r="F32" s="34"/>
      <c r="G32" s="34"/>
      <c r="H32" s="34"/>
      <c r="L32" s="810"/>
    </row>
    <row r="33" spans="1:17">
      <c r="A33" s="51"/>
      <c r="C33" s="34"/>
      <c r="D33" s="34"/>
      <c r="E33" s="34"/>
      <c r="F33" s="34"/>
      <c r="G33" s="34"/>
      <c r="H33" s="34"/>
      <c r="M33" s="742"/>
    </row>
    <row r="34" spans="1:17" ht="38.25" customHeight="1">
      <c r="A34" s="1083" t="s">
        <v>135</v>
      </c>
      <c r="B34" s="1084"/>
      <c r="C34" s="983" t="str">
        <f>D2</f>
        <v>Within 1 Day</v>
      </c>
      <c r="D34" s="983"/>
      <c r="E34" s="983"/>
      <c r="F34" s="983"/>
      <c r="G34" s="983"/>
      <c r="H34" s="983"/>
      <c r="I34" s="983"/>
      <c r="J34" s="983"/>
      <c r="K34" s="1085"/>
      <c r="L34" s="1086"/>
      <c r="M34" s="1087"/>
    </row>
    <row r="35" spans="1:17" ht="30" customHeight="1">
      <c r="A35" s="89"/>
      <c r="B35" s="53" t="s">
        <v>137</v>
      </c>
      <c r="C35" s="90" t="s">
        <v>42</v>
      </c>
      <c r="D35" s="90" t="s">
        <v>179</v>
      </c>
      <c r="E35" s="1088" t="str">
        <f>T2</f>
        <v>Numerator</v>
      </c>
      <c r="F35" s="1088"/>
      <c r="G35" s="1089" t="str">
        <f>U2</f>
        <v>Denominator</v>
      </c>
      <c r="H35" s="1089"/>
      <c r="I35" s="1089"/>
      <c r="J35" s="1089"/>
      <c r="K35" s="1090"/>
      <c r="L35" s="712"/>
      <c r="M35" s="713"/>
      <c r="Q35" s="1"/>
    </row>
    <row r="36" spans="1:17" ht="15" customHeight="1">
      <c r="A36" s="1048"/>
      <c r="B36" s="60" t="s">
        <v>33</v>
      </c>
      <c r="C36" s="46">
        <f t="shared" ref="C36:C49" si="13">IF(ISERROR(E36/G36*100),"-",E36/G36*100)</f>
        <v>93.535075653370015</v>
      </c>
      <c r="D36" s="91" t="str">
        <f t="shared" ref="D36:D49" si="14">IF(ISERROR(IF(AND(G36&gt;0,ROUND(SUM(100*((2*E36+1.96^2)-(1.96*(SQRT(1.96^2+4*E36*(1-(E36/G36))))))/(2*(G36+1.96^2))),0)&lt;0),CONCATENATE(SUM(1*0)," - ",ROUND(SUM(100*((2*E36+1.96^2)+(1.96*(SQRT(1.96^2+4*E36*(1-(E36/G36))))))/(2*(G36+1.96^2))),0)),IF(AND(G36&gt;0,ROUND(SUM(100*((2*E36+1.96^2)-(1.96*(SQRT(1.96^2+4*E36*(1-(E36/G36))))))/(2*(G36+1.96^2))),0)&gt;=0),CONCATENATE(ROUND(SUM(100*((2*E36+1.96^2)-(1.96*(SQRT(1.96^2+4*E36*(1-(E36/G36))))))/(2*(G36+1.96^2))),0)," - ",ROUND(SUM(100*((2*E36+1.96^2)+(1.96*(SQRT(1.96^2+4*E36*(1-(E36/G36))))))/(2*(G36+1.96^2))),0)),""))),"-",IF(AND(G36&gt;0,ROUND(SUM(100*((2*E36+1.96^2)-(1.96*(SQRT(1.96^2+4*E36*(1-(E36/G36))))))/(2*(G36+1.96^2))),0)&lt;0),CONCATENATE(SUM(1*0)," - ",ROUND(SUM(100*((2*E36+1.96^2)+(1.96*(SQRT(1.96^2+4*E36*(1-(E36/G36))))))/(2*(G36+1.96^2))),0)),IF(AND(G36&gt;0,ROUND(SUM(100*((2*E36+1.96^2)-(1.96*(SQRT(1.96^2+4*E36*(1-(E36/G36))))))/(2*(G36+1.96^2))),0)&gt;=0),CONCATENATE(ROUND(SUM(100*((2*E36+1.96^2)-(1.96*(SQRT(1.96^2+4*E36*(1-(E36/G36))))))/(2*(G36+1.96^2))),0)," - ",ROUND(SUM(100*((2*E36+1.96^2)+(1.96*(SQRT(1.96^2+4*E36*(1-(E36/G36))))))/(2*(G36+1.96^2))),0)),"")))</f>
        <v>92 - 95</v>
      </c>
      <c r="E36" s="409">
        <v>680</v>
      </c>
      <c r="F36" s="729"/>
      <c r="G36" s="730">
        <v>727</v>
      </c>
      <c r="H36" s="731"/>
      <c r="I36" s="731"/>
      <c r="J36" s="731"/>
      <c r="K36" s="732"/>
      <c r="L36" s="366">
        <f t="shared" ref="L36:L45" si="15">SUM(1*MID(D36,1,FIND(" - ",D36)-1))</f>
        <v>92</v>
      </c>
      <c r="M36" s="365">
        <f t="shared" ref="M36:M45" si="16">SUM(1*MID(D36,FIND(" - ",D36)+2,LEN(D36)))</f>
        <v>95</v>
      </c>
      <c r="Q36" s="1"/>
    </row>
    <row r="37" spans="1:17" ht="15" customHeight="1">
      <c r="A37" s="1049"/>
      <c r="B37" s="60" t="s">
        <v>28</v>
      </c>
      <c r="C37" s="46">
        <f t="shared" si="13"/>
        <v>85.380116959064324</v>
      </c>
      <c r="D37" s="91" t="str">
        <f t="shared" si="14"/>
        <v>79 - 90</v>
      </c>
      <c r="E37" s="409">
        <v>146</v>
      </c>
      <c r="F37" s="729"/>
      <c r="G37" s="409">
        <v>171</v>
      </c>
      <c r="H37" s="733"/>
      <c r="I37" s="733"/>
      <c r="J37" s="733"/>
      <c r="K37" s="729"/>
      <c r="L37" s="361">
        <f t="shared" si="15"/>
        <v>79</v>
      </c>
      <c r="M37" s="360">
        <f t="shared" si="16"/>
        <v>90</v>
      </c>
      <c r="O37" s="364"/>
      <c r="P37" s="364"/>
      <c r="Q37" s="364"/>
    </row>
    <row r="38" spans="1:17" ht="15" customHeight="1">
      <c r="A38" s="1049"/>
      <c r="B38" s="60" t="s">
        <v>31</v>
      </c>
      <c r="C38" s="46">
        <f t="shared" si="13"/>
        <v>78.350515463917532</v>
      </c>
      <c r="D38" s="91" t="str">
        <f t="shared" si="14"/>
        <v>72 - 84</v>
      </c>
      <c r="E38" s="409">
        <v>152</v>
      </c>
      <c r="F38" s="729"/>
      <c r="G38" s="409">
        <v>194</v>
      </c>
      <c r="H38" s="733"/>
      <c r="I38" s="733"/>
      <c r="J38" s="733"/>
      <c r="K38" s="729"/>
      <c r="L38" s="361">
        <f t="shared" si="15"/>
        <v>72</v>
      </c>
      <c r="M38" s="360">
        <f t="shared" si="16"/>
        <v>84</v>
      </c>
      <c r="Q38" s="1"/>
    </row>
    <row r="39" spans="1:17" ht="15" customHeight="1">
      <c r="A39" s="1049"/>
      <c r="B39" s="60" t="s">
        <v>30</v>
      </c>
      <c r="C39" s="46">
        <f t="shared" si="13"/>
        <v>87.571701720841304</v>
      </c>
      <c r="D39" s="91" t="str">
        <f t="shared" si="14"/>
        <v>84 - 90</v>
      </c>
      <c r="E39" s="409">
        <v>458</v>
      </c>
      <c r="F39" s="729"/>
      <c r="G39" s="409">
        <v>523</v>
      </c>
      <c r="H39" s="733"/>
      <c r="I39" s="733"/>
      <c r="J39" s="733"/>
      <c r="K39" s="729"/>
      <c r="L39" s="361">
        <f t="shared" si="15"/>
        <v>84</v>
      </c>
      <c r="M39" s="360">
        <f t="shared" si="16"/>
        <v>90</v>
      </c>
    </row>
    <row r="40" spans="1:17" ht="15" customHeight="1">
      <c r="A40" s="1049"/>
      <c r="B40" s="60" t="s">
        <v>35</v>
      </c>
      <c r="C40" s="46">
        <f t="shared" si="13"/>
        <v>85.477178423236509</v>
      </c>
      <c r="D40" s="91" t="str">
        <f t="shared" si="14"/>
        <v>82 - 88</v>
      </c>
      <c r="E40" s="409">
        <v>412</v>
      </c>
      <c r="F40" s="729"/>
      <c r="G40" s="409">
        <v>482</v>
      </c>
      <c r="H40" s="733"/>
      <c r="I40" s="733"/>
      <c r="J40" s="733"/>
      <c r="K40" s="729"/>
      <c r="L40" s="361">
        <f t="shared" si="15"/>
        <v>82</v>
      </c>
      <c r="M40" s="360">
        <f t="shared" si="16"/>
        <v>88</v>
      </c>
    </row>
    <row r="41" spans="1:17" ht="15" customHeight="1">
      <c r="A41" s="1049"/>
      <c r="B41" s="60" t="s">
        <v>34</v>
      </c>
      <c r="C41" s="46">
        <f t="shared" si="13"/>
        <v>75.037593984962399</v>
      </c>
      <c r="D41" s="91" t="str">
        <f t="shared" si="14"/>
        <v>72 - 78</v>
      </c>
      <c r="E41" s="409">
        <v>499</v>
      </c>
      <c r="F41" s="729"/>
      <c r="G41" s="409">
        <v>665</v>
      </c>
      <c r="H41" s="733"/>
      <c r="I41" s="733"/>
      <c r="J41" s="733"/>
      <c r="K41" s="729"/>
      <c r="L41" s="361">
        <f t="shared" si="15"/>
        <v>72</v>
      </c>
      <c r="M41" s="360">
        <f t="shared" si="16"/>
        <v>78</v>
      </c>
    </row>
    <row r="42" spans="1:17" ht="15" customHeight="1">
      <c r="A42" s="1049"/>
      <c r="B42" s="60" t="s">
        <v>40</v>
      </c>
      <c r="C42" s="46">
        <f t="shared" si="13"/>
        <v>85.528756957328383</v>
      </c>
      <c r="D42" s="91" t="str">
        <f t="shared" si="14"/>
        <v>84 - 87</v>
      </c>
      <c r="E42" s="409">
        <v>1844</v>
      </c>
      <c r="F42" s="729"/>
      <c r="G42" s="409">
        <v>2156</v>
      </c>
      <c r="H42" s="733"/>
      <c r="I42" s="733"/>
      <c r="J42" s="733"/>
      <c r="K42" s="729"/>
      <c r="L42" s="361">
        <f t="shared" si="15"/>
        <v>84</v>
      </c>
      <c r="M42" s="360">
        <f t="shared" si="16"/>
        <v>87</v>
      </c>
    </row>
    <row r="43" spans="1:17" ht="15" customHeight="1">
      <c r="A43" s="1049"/>
      <c r="B43" s="60" t="s">
        <v>36</v>
      </c>
      <c r="C43" s="46">
        <f t="shared" si="13"/>
        <v>66.480446927374302</v>
      </c>
      <c r="D43" s="91" t="str">
        <f t="shared" si="14"/>
        <v>61 - 71</v>
      </c>
      <c r="E43" s="409">
        <v>238</v>
      </c>
      <c r="F43" s="729"/>
      <c r="G43" s="409">
        <v>358</v>
      </c>
      <c r="H43" s="733"/>
      <c r="I43" s="733"/>
      <c r="J43" s="733"/>
      <c r="K43" s="729"/>
      <c r="L43" s="361">
        <f t="shared" si="15"/>
        <v>61</v>
      </c>
      <c r="M43" s="360">
        <f t="shared" si="16"/>
        <v>71</v>
      </c>
    </row>
    <row r="44" spans="1:17" ht="15" customHeight="1">
      <c r="A44" s="1049"/>
      <c r="B44" s="60" t="s">
        <v>29</v>
      </c>
      <c r="C44" s="46">
        <f t="shared" si="13"/>
        <v>86.674528301886795</v>
      </c>
      <c r="D44" s="91" t="str">
        <f t="shared" si="14"/>
        <v>84 - 89</v>
      </c>
      <c r="E44" s="409">
        <v>735</v>
      </c>
      <c r="F44" s="729"/>
      <c r="G44" s="409">
        <v>848</v>
      </c>
      <c r="H44" s="733"/>
      <c r="I44" s="733"/>
      <c r="J44" s="733"/>
      <c r="K44" s="729"/>
      <c r="L44" s="361">
        <f t="shared" si="15"/>
        <v>84</v>
      </c>
      <c r="M44" s="360">
        <f t="shared" si="16"/>
        <v>89</v>
      </c>
    </row>
    <row r="45" spans="1:17" ht="15" customHeight="1">
      <c r="A45" s="1049"/>
      <c r="B45" s="60" t="s">
        <v>38</v>
      </c>
      <c r="C45" s="46">
        <f t="shared" si="13"/>
        <v>68.648648648648646</v>
      </c>
      <c r="D45" s="91" t="str">
        <f t="shared" si="14"/>
        <v>66 - 71</v>
      </c>
      <c r="E45" s="409">
        <v>762</v>
      </c>
      <c r="F45" s="729"/>
      <c r="G45" s="409">
        <v>1110</v>
      </c>
      <c r="H45" s="733"/>
      <c r="I45" s="733"/>
      <c r="J45" s="733"/>
      <c r="K45" s="729"/>
      <c r="L45" s="361">
        <f t="shared" si="15"/>
        <v>66</v>
      </c>
      <c r="M45" s="360">
        <f t="shared" si="16"/>
        <v>71</v>
      </c>
    </row>
    <row r="46" spans="1:17" ht="15" customHeight="1">
      <c r="A46" s="1049"/>
      <c r="B46" s="60" t="s">
        <v>41</v>
      </c>
      <c r="C46" s="46">
        <f t="shared" si="13"/>
        <v>61.53846153846154</v>
      </c>
      <c r="D46" s="91" t="str">
        <f t="shared" si="14"/>
        <v>43 - 78</v>
      </c>
      <c r="E46" s="409">
        <v>16</v>
      </c>
      <c r="F46" s="729"/>
      <c r="G46" s="409">
        <v>26</v>
      </c>
      <c r="H46" s="733"/>
      <c r="I46" s="733"/>
      <c r="J46" s="733"/>
      <c r="K46" s="729"/>
      <c r="L46" s="363"/>
      <c r="M46" s="362"/>
    </row>
    <row r="47" spans="1:17" ht="15" customHeight="1">
      <c r="A47" s="1049"/>
      <c r="B47" s="60" t="s">
        <v>39</v>
      </c>
      <c r="C47" s="46">
        <f t="shared" si="13"/>
        <v>97.222222222222214</v>
      </c>
      <c r="D47" s="91" t="str">
        <f t="shared" si="14"/>
        <v>86 - 100</v>
      </c>
      <c r="E47" s="409">
        <v>35</v>
      </c>
      <c r="F47" s="729"/>
      <c r="G47" s="409">
        <v>36</v>
      </c>
      <c r="H47" s="733"/>
      <c r="I47" s="733"/>
      <c r="J47" s="733"/>
      <c r="K47" s="729"/>
      <c r="L47" s="363"/>
      <c r="M47" s="362"/>
    </row>
    <row r="48" spans="1:17" ht="15" customHeight="1">
      <c r="A48" s="1049"/>
      <c r="B48" s="60" t="s">
        <v>32</v>
      </c>
      <c r="C48" s="46">
        <f t="shared" si="13"/>
        <v>79.115853658536579</v>
      </c>
      <c r="D48" s="91" t="str">
        <f t="shared" si="14"/>
        <v>76 - 82</v>
      </c>
      <c r="E48" s="409">
        <v>519</v>
      </c>
      <c r="F48" s="729"/>
      <c r="G48" s="409">
        <v>656</v>
      </c>
      <c r="H48" s="733"/>
      <c r="I48" s="733"/>
      <c r="J48" s="733"/>
      <c r="K48" s="729"/>
      <c r="L48" s="361">
        <f>SUM(1*MID(D48,1,FIND(" - ",D48)-1))</f>
        <v>76</v>
      </c>
      <c r="M48" s="360">
        <f>SUM(1*MID(D48,FIND(" - ",D48)+2,LEN(D48)))</f>
        <v>82</v>
      </c>
    </row>
    <row r="49" spans="1:13" ht="15" customHeight="1">
      <c r="A49" s="1050"/>
      <c r="B49" s="60" t="s">
        <v>37</v>
      </c>
      <c r="C49" s="46">
        <f t="shared" si="13"/>
        <v>100</v>
      </c>
      <c r="D49" s="91" t="str">
        <f t="shared" si="14"/>
        <v>86 - 100</v>
      </c>
      <c r="E49" s="409">
        <v>23</v>
      </c>
      <c r="F49" s="729"/>
      <c r="G49" s="409">
        <v>23</v>
      </c>
      <c r="H49" s="733"/>
      <c r="I49" s="733"/>
      <c r="J49" s="733"/>
      <c r="K49" s="729"/>
      <c r="L49" s="361">
        <f>SUM(1*MID(D49,1,FIND(" - ",D49)-1))</f>
        <v>86</v>
      </c>
      <c r="M49" s="360">
        <f>SUM(1*MID(D49,FIND(" - ",D49)+2,LEN(D49)))</f>
        <v>100</v>
      </c>
    </row>
    <row r="50" spans="1:13">
      <c r="A50" s="51"/>
      <c r="C50" s="34"/>
      <c r="D50" s="34"/>
      <c r="E50" s="34"/>
      <c r="F50" s="34"/>
      <c r="G50" s="34"/>
      <c r="H50" s="34"/>
    </row>
    <row r="51" spans="1:13">
      <c r="A51" s="51"/>
      <c r="C51" s="34"/>
      <c r="D51" s="34"/>
      <c r="E51" s="34"/>
      <c r="F51" s="34"/>
      <c r="G51" s="34"/>
      <c r="H51" s="34"/>
    </row>
    <row r="52" spans="1:13">
      <c r="A52" s="51"/>
      <c r="C52" s="34"/>
      <c r="D52" s="34"/>
      <c r="E52" s="34"/>
      <c r="F52" s="34"/>
      <c r="G52" s="34"/>
      <c r="H52" s="34"/>
    </row>
    <row r="53" spans="1:13">
      <c r="A53" s="51"/>
      <c r="C53" s="34"/>
      <c r="D53" s="34"/>
      <c r="E53" s="34"/>
      <c r="F53" s="34"/>
      <c r="G53" s="34"/>
      <c r="H53" s="34"/>
    </row>
    <row r="54" spans="1:13">
      <c r="A54" s="51"/>
      <c r="C54" s="34"/>
      <c r="D54" s="34"/>
      <c r="E54" s="34"/>
      <c r="F54" s="34"/>
      <c r="G54" s="34"/>
      <c r="H54" s="34"/>
    </row>
    <row r="55" spans="1:13">
      <c r="A55" s="51"/>
      <c r="C55" s="34"/>
      <c r="D55" s="34"/>
      <c r="E55" s="34"/>
      <c r="F55" s="34"/>
      <c r="G55" s="34"/>
      <c r="H55" s="34"/>
    </row>
    <row r="56" spans="1:13">
      <c r="A56" s="51"/>
      <c r="C56" s="34"/>
      <c r="D56" s="34"/>
      <c r="E56" s="34"/>
      <c r="F56" s="34"/>
      <c r="G56" s="34"/>
      <c r="H56" s="34"/>
    </row>
    <row r="57" spans="1:13">
      <c r="A57" s="51"/>
      <c r="C57" s="34"/>
      <c r="D57" s="34"/>
      <c r="E57" s="34"/>
      <c r="F57" s="34"/>
      <c r="G57" s="34"/>
      <c r="H57" s="34"/>
    </row>
  </sheetData>
  <sheetProtection password="B8D9" sheet="1" objects="1" scenarios="1"/>
  <sortState ref="A4:U31">
    <sortCondition descending="1" ref="F4:F31"/>
  </sortState>
  <mergeCells count="13">
    <mergeCell ref="A36:A49"/>
    <mergeCell ref="T1:U1"/>
    <mergeCell ref="A34:B34"/>
    <mergeCell ref="C34:K34"/>
    <mergeCell ref="L34:M34"/>
    <mergeCell ref="E35:F35"/>
    <mergeCell ref="G35:K35"/>
    <mergeCell ref="A1:B1"/>
    <mergeCell ref="C1:G1"/>
    <mergeCell ref="L1:M1"/>
    <mergeCell ref="N1:O1"/>
    <mergeCell ref="P1:Q1"/>
    <mergeCell ref="R1:S1"/>
  </mergeCells>
  <pageMargins left="0.70866141732283472" right="0.70866141732283472" top="0.74803149606299213" bottom="0.74803149606299213" header="0.31496062992125984" footer="0.31496062992125984"/>
  <pageSetup paperSize="9" scale="58"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76.xml><?xml version="1.0" encoding="utf-8"?>
<worksheet xmlns="http://schemas.openxmlformats.org/spreadsheetml/2006/main" xmlns:r="http://schemas.openxmlformats.org/officeDocument/2006/relationships">
  <sheetPr codeName="Sheet77">
    <pageSetUpPr fitToPage="1"/>
  </sheetPr>
  <dimension ref="A1:T48"/>
  <sheetViews>
    <sheetView workbookViewId="0"/>
  </sheetViews>
  <sheetFormatPr defaultRowHeight="12.75"/>
  <cols>
    <col min="1" max="1" width="2.7109375" style="676" customWidth="1"/>
    <col min="2" max="16384" width="9.140625" style="676"/>
  </cols>
  <sheetData>
    <row r="1" spans="1:20" s="743" customFormat="1" ht="24.95" customHeight="1">
      <c r="A1" s="743" t="s">
        <v>639</v>
      </c>
      <c r="B1" s="967" t="s">
        <v>854</v>
      </c>
      <c r="C1" s="967"/>
      <c r="D1" s="967"/>
      <c r="E1" s="967"/>
      <c r="F1" s="967"/>
      <c r="G1" s="967"/>
      <c r="H1" s="967"/>
      <c r="I1" s="967"/>
      <c r="J1" s="967"/>
      <c r="K1" s="967"/>
      <c r="L1" s="967"/>
      <c r="M1" s="967"/>
      <c r="N1" s="967"/>
      <c r="O1" s="26"/>
      <c r="P1" s="985" t="s">
        <v>45</v>
      </c>
      <c r="Q1" s="26"/>
      <c r="R1" s="26"/>
      <c r="S1" s="26"/>
      <c r="T1" s="26"/>
    </row>
    <row r="2" spans="1:20" s="743" customFormat="1" ht="12.75" customHeight="1">
      <c r="B2" s="1043" t="s">
        <v>393</v>
      </c>
      <c r="C2" s="1043"/>
      <c r="D2" s="1043"/>
      <c r="E2" s="1043"/>
      <c r="F2" s="1043"/>
      <c r="G2" s="1043"/>
      <c r="H2" s="1043"/>
      <c r="I2" s="1043"/>
      <c r="J2" s="1043"/>
      <c r="K2" s="1043"/>
      <c r="L2" s="1043"/>
      <c r="M2" s="1043"/>
      <c r="O2" s="27"/>
      <c r="P2" s="985"/>
      <c r="Q2" s="28"/>
      <c r="R2" s="987"/>
      <c r="S2" s="987"/>
      <c r="T2" s="987"/>
    </row>
    <row r="3" spans="1:20" s="743" customFormat="1" ht="12.75" customHeight="1">
      <c r="B3" s="1043"/>
      <c r="C3" s="1043"/>
      <c r="D3" s="1043"/>
      <c r="E3" s="1043"/>
      <c r="F3" s="1043"/>
      <c r="G3" s="1043"/>
      <c r="H3" s="1043"/>
      <c r="I3" s="1043"/>
      <c r="J3" s="1043"/>
      <c r="K3" s="1043"/>
      <c r="L3" s="1043"/>
      <c r="M3" s="1043"/>
      <c r="O3" s="519"/>
      <c r="P3" s="985"/>
      <c r="Q3" s="29"/>
      <c r="R3" s="741"/>
      <c r="S3" s="741"/>
      <c r="T3" s="741"/>
    </row>
    <row r="4" spans="1:20" s="743" customFormat="1" ht="12.75" customHeight="1">
      <c r="B4" s="1044" t="s">
        <v>695</v>
      </c>
      <c r="C4" s="1044"/>
      <c r="D4" s="1044"/>
      <c r="E4" s="1044"/>
      <c r="F4" s="1044"/>
      <c r="G4" s="1044"/>
      <c r="H4" s="1044"/>
      <c r="I4" s="1044"/>
      <c r="J4" s="1044"/>
      <c r="K4" s="1044"/>
      <c r="L4" s="1044"/>
      <c r="M4" s="1044"/>
      <c r="O4" s="30"/>
      <c r="P4" s="985"/>
      <c r="Q4" s="739"/>
      <c r="R4" s="29"/>
      <c r="S4" s="72"/>
    </row>
    <row r="5" spans="1:20" s="743" customFormat="1" ht="12.75" customHeight="1">
      <c r="B5" s="1044"/>
      <c r="C5" s="1044"/>
      <c r="D5" s="1044"/>
      <c r="E5" s="1044"/>
      <c r="F5" s="1044"/>
      <c r="G5" s="1044"/>
      <c r="H5" s="1044"/>
      <c r="I5" s="1044"/>
      <c r="J5" s="1044"/>
      <c r="K5" s="1044"/>
      <c r="L5" s="1044"/>
      <c r="M5" s="1044"/>
      <c r="N5" s="740"/>
      <c r="O5" s="30"/>
      <c r="P5" s="30"/>
      <c r="Q5" s="739"/>
      <c r="R5" s="29"/>
      <c r="S5" s="72"/>
    </row>
    <row r="6" spans="1:20" s="743" customFormat="1" ht="12.75" customHeight="1">
      <c r="B6" s="1044"/>
      <c r="C6" s="1044"/>
      <c r="D6" s="1044"/>
      <c r="E6" s="1044"/>
      <c r="F6" s="1044"/>
      <c r="G6" s="1044"/>
      <c r="H6" s="1044"/>
      <c r="I6" s="1044"/>
      <c r="J6" s="1044"/>
      <c r="K6" s="1044"/>
      <c r="L6" s="1044"/>
      <c r="M6" s="1044"/>
      <c r="N6" s="740"/>
      <c r="O6" s="30"/>
      <c r="P6" s="835" t="s">
        <v>852</v>
      </c>
      <c r="Q6" s="739"/>
      <c r="R6" s="29"/>
      <c r="S6" s="72"/>
    </row>
    <row r="7" spans="1:20" s="743" customFormat="1">
      <c r="B7" s="1044"/>
      <c r="C7" s="1044"/>
      <c r="D7" s="1044"/>
      <c r="E7" s="1044"/>
      <c r="F7" s="1044"/>
      <c r="G7" s="1044"/>
      <c r="H7" s="1044"/>
      <c r="I7" s="1044"/>
      <c r="J7" s="1044"/>
      <c r="K7" s="1044"/>
      <c r="L7" s="1044"/>
      <c r="M7" s="1044"/>
      <c r="N7" s="746"/>
      <c r="O7" s="30"/>
      <c r="P7" s="30"/>
      <c r="Q7" s="739"/>
      <c r="R7" s="29"/>
      <c r="S7" s="72"/>
    </row>
    <row r="41" spans="2:14">
      <c r="B41" s="565"/>
      <c r="C41" s="565"/>
      <c r="D41" s="565"/>
      <c r="E41" s="565"/>
      <c r="F41" s="565"/>
      <c r="G41" s="565"/>
      <c r="H41" s="565"/>
      <c r="I41" s="565"/>
      <c r="J41" s="565"/>
      <c r="K41" s="565"/>
      <c r="L41" s="565"/>
      <c r="M41" s="565"/>
    </row>
    <row r="42" spans="2:14" s="743" customFormat="1" ht="15">
      <c r="B42" s="202" t="s">
        <v>696</v>
      </c>
      <c r="C42" s="203"/>
      <c r="D42" s="204"/>
      <c r="E42" s="204"/>
      <c r="F42" s="204"/>
      <c r="G42" s="204"/>
      <c r="H42" s="204"/>
      <c r="I42" s="204"/>
      <c r="J42" s="203"/>
    </row>
    <row r="43" spans="2:14" s="743" customFormat="1" ht="15">
      <c r="B43" s="205" t="s">
        <v>12</v>
      </c>
      <c r="C43" s="203"/>
      <c r="D43" s="204"/>
      <c r="E43" s="204"/>
      <c r="F43" s="204"/>
      <c r="G43" s="204"/>
      <c r="H43" s="204"/>
      <c r="I43" s="204"/>
      <c r="J43" s="203"/>
    </row>
    <row r="44" spans="2:14" s="743" customFormat="1" ht="33" customHeight="1">
      <c r="B44" s="1002" t="s">
        <v>290</v>
      </c>
      <c r="C44" s="971"/>
      <c r="D44" s="971"/>
      <c r="E44" s="971"/>
      <c r="F44" s="971"/>
      <c r="G44" s="971"/>
      <c r="H44" s="971"/>
      <c r="I44" s="971"/>
      <c r="J44" s="971"/>
      <c r="K44" s="1003"/>
      <c r="L44" s="1003"/>
      <c r="M44" s="1003"/>
      <c r="N44" s="1003"/>
    </row>
    <row r="45" spans="2:14" s="743" customFormat="1" ht="15">
      <c r="B45" s="205" t="s">
        <v>697</v>
      </c>
      <c r="C45" s="203"/>
      <c r="D45" s="204"/>
      <c r="E45" s="204"/>
      <c r="F45" s="204"/>
      <c r="G45" s="204"/>
      <c r="H45" s="204"/>
      <c r="I45" s="204"/>
      <c r="J45" s="203"/>
    </row>
    <row r="46" spans="2:14" s="743" customFormat="1" ht="15">
      <c r="B46" s="205" t="s">
        <v>595</v>
      </c>
      <c r="C46" s="203"/>
      <c r="D46" s="204"/>
      <c r="E46" s="204"/>
      <c r="F46" s="204"/>
      <c r="G46" s="204"/>
      <c r="H46" s="204"/>
      <c r="I46" s="204"/>
      <c r="J46" s="203"/>
    </row>
    <row r="47" spans="2:14" s="743" customFormat="1">
      <c r="B47" s="1004" t="s">
        <v>394</v>
      </c>
      <c r="C47" s="1004"/>
      <c r="D47" s="1004"/>
      <c r="E47" s="1004"/>
      <c r="F47" s="1004"/>
      <c r="G47" s="1004"/>
      <c r="H47" s="1004"/>
      <c r="I47" s="1004"/>
      <c r="J47" s="1004"/>
      <c r="K47" s="1004"/>
      <c r="L47" s="1004"/>
      <c r="M47" s="1004"/>
      <c r="N47" s="1004"/>
    </row>
    <row r="48" spans="2:14" s="743" customFormat="1">
      <c r="B48" s="1004"/>
      <c r="C48" s="1004"/>
      <c r="D48" s="1004"/>
      <c r="E48" s="1004"/>
      <c r="F48" s="1004"/>
      <c r="G48" s="1004"/>
      <c r="H48" s="1004"/>
      <c r="I48" s="1004"/>
      <c r="J48" s="1004"/>
      <c r="K48" s="1004"/>
      <c r="L48" s="1004"/>
      <c r="M48" s="1004"/>
      <c r="N48" s="1004"/>
    </row>
  </sheetData>
  <sheetProtection password="B8D9" sheet="1" objects="1" scenarios="1"/>
  <mergeCells count="7">
    <mergeCell ref="R2:T2"/>
    <mergeCell ref="B4:M7"/>
    <mergeCell ref="B44:N44"/>
    <mergeCell ref="B47:N48"/>
    <mergeCell ref="B1:N1"/>
    <mergeCell ref="P1:P4"/>
    <mergeCell ref="B2:M3"/>
  </mergeCells>
  <hyperlinks>
    <hyperlink ref="N4" location="'List of Tables &amp; Charts'!A1" display="return to List of Tables &amp; Charts"/>
    <hyperlink ref="P1" location="'List of Tables &amp; Charts'!A1" display="return to List of Tables &amp; Charts"/>
    <hyperlink ref="P6" location="'Chart N2 (2015) data'!A1" display="view Chart N2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77.xml><?xml version="1.0" encoding="utf-8"?>
<worksheet xmlns="http://schemas.openxmlformats.org/spreadsheetml/2006/main" xmlns:r="http://schemas.openxmlformats.org/officeDocument/2006/relationships">
  <sheetPr codeName="Sheet78">
    <pageSetUpPr fitToPage="1"/>
  </sheetPr>
  <dimension ref="A1:U58"/>
  <sheetViews>
    <sheetView showGridLines="0" workbookViewId="0">
      <selection sqref="A1:B1"/>
    </sheetView>
  </sheetViews>
  <sheetFormatPr defaultRowHeight="12.75"/>
  <cols>
    <col min="1" max="1" width="16.7109375" style="743" customWidth="1"/>
    <col min="2" max="2" width="40.7109375" style="743" customWidth="1"/>
    <col min="3" max="7" width="10.7109375" style="738" customWidth="1"/>
    <col min="8" max="11" width="2.7109375" style="738" customWidth="1"/>
    <col min="12" max="12" width="9.28515625" style="738" customWidth="1"/>
    <col min="13" max="13" width="11.28515625" style="743" customWidth="1"/>
    <col min="14" max="14" width="9.28515625" style="743" customWidth="1"/>
    <col min="15" max="15" width="11.28515625" style="743" customWidth="1"/>
    <col min="16" max="16" width="9.28515625" style="743" customWidth="1"/>
    <col min="17" max="17" width="11.28515625" style="743" customWidth="1"/>
    <col min="18" max="18" width="9.28515625" style="743" customWidth="1"/>
    <col min="19" max="19" width="11.28515625" style="743" customWidth="1"/>
    <col min="20" max="20" width="9.28515625" style="743" customWidth="1"/>
    <col min="21" max="21" width="11.28515625" style="743" customWidth="1"/>
    <col min="22" max="16384" width="9.140625" style="743"/>
  </cols>
  <sheetData>
    <row r="1" spans="1:21" ht="25.5" customHeight="1">
      <c r="A1" s="1091">
        <v>2015</v>
      </c>
      <c r="B1" s="1046"/>
      <c r="C1" s="1062" t="s">
        <v>42</v>
      </c>
      <c r="D1" s="1063"/>
      <c r="E1" s="1063"/>
      <c r="F1" s="1063"/>
      <c r="G1" s="1064"/>
      <c r="H1" s="79"/>
      <c r="I1" s="79"/>
      <c r="J1" s="79"/>
      <c r="K1" s="79"/>
      <c r="L1" s="1015" t="s">
        <v>48</v>
      </c>
      <c r="M1" s="1017"/>
      <c r="N1" s="1015" t="s">
        <v>49</v>
      </c>
      <c r="O1" s="1017"/>
      <c r="P1" s="1015" t="s">
        <v>50</v>
      </c>
      <c r="Q1" s="1017"/>
      <c r="R1" s="1015" t="s">
        <v>690</v>
      </c>
      <c r="S1" s="1017"/>
      <c r="T1" s="1016" t="s">
        <v>691</v>
      </c>
      <c r="U1" s="1082"/>
    </row>
    <row r="2" spans="1:21" ht="45" customHeight="1">
      <c r="A2" s="80" t="s">
        <v>24</v>
      </c>
      <c r="B2" s="53" t="s">
        <v>25</v>
      </c>
      <c r="C2" s="40" t="s">
        <v>51</v>
      </c>
      <c r="D2" s="40" t="s">
        <v>53</v>
      </c>
      <c r="E2" s="40" t="s">
        <v>54</v>
      </c>
      <c r="F2" s="81" t="s">
        <v>692</v>
      </c>
      <c r="G2" s="40" t="s">
        <v>693</v>
      </c>
      <c r="H2" s="737" t="s">
        <v>55</v>
      </c>
      <c r="I2" s="737" t="s">
        <v>56</v>
      </c>
      <c r="J2" s="737" t="s">
        <v>694</v>
      </c>
      <c r="K2" s="737" t="s">
        <v>274</v>
      </c>
      <c r="L2" s="43" t="s">
        <v>26</v>
      </c>
      <c r="M2" s="43" t="s">
        <v>27</v>
      </c>
      <c r="N2" s="43" t="s">
        <v>26</v>
      </c>
      <c r="O2" s="43" t="s">
        <v>27</v>
      </c>
      <c r="P2" s="43" t="s">
        <v>26</v>
      </c>
      <c r="Q2" s="43" t="s">
        <v>27</v>
      </c>
      <c r="R2" s="43" t="s">
        <v>26</v>
      </c>
      <c r="S2" s="43" t="s">
        <v>27</v>
      </c>
      <c r="T2" s="83" t="s">
        <v>26</v>
      </c>
      <c r="U2" s="65" t="s">
        <v>27</v>
      </c>
    </row>
    <row r="3" spans="1:21">
      <c r="A3" s="45" t="s">
        <v>134</v>
      </c>
      <c r="B3" s="45" t="s">
        <v>178</v>
      </c>
      <c r="C3" s="46">
        <f t="shared" ref="C3" si="0">L3/M3*100</f>
        <v>45.969724414542632</v>
      </c>
      <c r="D3" s="46">
        <f t="shared" ref="D3" si="1">(L3+N3)/O3*100</f>
        <v>78.21192909820158</v>
      </c>
      <c r="E3" s="46">
        <f t="shared" ref="E3" si="2">(L3+N3+P3)/Q3*100</f>
        <v>85.108034674602152</v>
      </c>
      <c r="F3" s="46">
        <f t="shared" ref="F3:F32" si="3">(L3+N3+P3+R3)/Q3*100</f>
        <v>87.863889248285673</v>
      </c>
      <c r="G3" s="46" t="str">
        <f t="shared" ref="G3:G32" si="4">IF(AND(AND(U3&gt;0,(L3+N3)&gt;0),ROUND(SUM(100*((2*(L3+N3)+1.96^2)-(1.96*(SQRT(1.96^2+4*(L3+N3)*(1-((L3+N3)/U3))))))/(2*(U3+1.96^2))),0)&lt;0),CONCATENATE(SUM(1*0)," - ",ROUND(SUM(100*((2*(L3+N3)+1.96^2)+(1.96*(SQRT(1.96^2+4*(L3+N3)*(1-((L3+N3)/U3))))))/(2*(U3+1.96^2))),0)),IF(AND(AND(U3&gt;0,(L3+N3)&gt;0),ROUND(SUM(100*((2*(L3+N3)+1.96^2)-(1.96*(SQRT(1.96^2+4*(L3+N3)*(1-((L3+N3)/U3))))))/(2*(U3+1.96^2))),0)&gt;=0),CONCATENATE(ROUND(SUM(100*((2*(L3+N3)+1.96^2)-(1.96*(SQRT(1.96^2+4*(L3+N3)*(1-((L3+N3)/U3))))))/(2*(U3+1.96^2))),0)," - ",ROUND(SUM(100*((2*(L3+N3)+1.96^2)+(1.96*(SQRT(1.96^2+4*(L3+N3)*(1-((L3+N3)/U3))))))/(2*(U3+1.96^2))),0)),""))</f>
        <v>77 - 79</v>
      </c>
      <c r="H3" s="536">
        <f t="shared" ref="H3:J3" si="5">D3-C3</f>
        <v>32.242204683658947</v>
      </c>
      <c r="I3" s="563">
        <f t="shared" si="5"/>
        <v>6.8961055764005721</v>
      </c>
      <c r="J3" s="562">
        <f t="shared" si="5"/>
        <v>2.7558545736835214</v>
      </c>
      <c r="K3" s="561">
        <v>90</v>
      </c>
      <c r="L3" s="405">
        <f t="shared" ref="L3:U3" si="6">SUM(L4:L32)</f>
        <v>3553</v>
      </c>
      <c r="M3" s="405">
        <f t="shared" si="6"/>
        <v>7729</v>
      </c>
      <c r="N3" s="405">
        <f t="shared" si="6"/>
        <v>2492</v>
      </c>
      <c r="O3" s="405">
        <f t="shared" si="6"/>
        <v>7729</v>
      </c>
      <c r="P3" s="405">
        <f t="shared" si="6"/>
        <v>533</v>
      </c>
      <c r="Q3" s="405">
        <f t="shared" si="6"/>
        <v>7729</v>
      </c>
      <c r="R3" s="405">
        <f t="shared" si="6"/>
        <v>213</v>
      </c>
      <c r="S3" s="405">
        <f t="shared" si="6"/>
        <v>7729</v>
      </c>
      <c r="T3" s="405">
        <f t="shared" si="6"/>
        <v>408</v>
      </c>
      <c r="U3" s="405">
        <f t="shared" si="6"/>
        <v>7729</v>
      </c>
    </row>
    <row r="4" spans="1:21">
      <c r="A4" s="45" t="s">
        <v>68</v>
      </c>
      <c r="B4" s="45" t="s">
        <v>69</v>
      </c>
      <c r="C4" s="46">
        <f t="shared" ref="C4:C32" si="7">L4/M4*100</f>
        <v>97.222222222222214</v>
      </c>
      <c r="D4" s="46">
        <f t="shared" ref="D4:D32" si="8">(L4+N4)/O4*100</f>
        <v>100</v>
      </c>
      <c r="E4" s="46">
        <f t="shared" ref="E4:E32" si="9">(L4+N4+P4)/Q4*100</f>
        <v>100</v>
      </c>
      <c r="F4" s="46">
        <f t="shared" si="3"/>
        <v>100</v>
      </c>
      <c r="G4" s="46" t="str">
        <f t="shared" si="4"/>
        <v>90 - 100</v>
      </c>
      <c r="H4" s="523">
        <f t="shared" ref="H4:H32" si="10">D4-C4</f>
        <v>2.7777777777777857</v>
      </c>
      <c r="I4" s="560">
        <f t="shared" ref="I4:I32" si="11">E4-D4</f>
        <v>0</v>
      </c>
      <c r="J4" s="559">
        <f t="shared" ref="J4:J32" si="12">F4-E4</f>
        <v>0</v>
      </c>
      <c r="K4" s="559">
        <v>90</v>
      </c>
      <c r="L4" s="405">
        <v>35</v>
      </c>
      <c r="M4" s="405">
        <v>36</v>
      </c>
      <c r="N4" s="405">
        <v>1</v>
      </c>
      <c r="O4" s="405">
        <v>36</v>
      </c>
      <c r="P4" s="405">
        <v>0</v>
      </c>
      <c r="Q4" s="405">
        <v>36</v>
      </c>
      <c r="R4" s="405">
        <v>0</v>
      </c>
      <c r="S4" s="405">
        <v>36</v>
      </c>
      <c r="T4" s="405">
        <v>0</v>
      </c>
      <c r="U4" s="405">
        <v>36</v>
      </c>
    </row>
    <row r="5" spans="1:21">
      <c r="A5" s="45" t="s">
        <v>92</v>
      </c>
      <c r="B5" s="45" t="s">
        <v>93</v>
      </c>
      <c r="C5" s="46">
        <f t="shared" si="7"/>
        <v>98.076923076923066</v>
      </c>
      <c r="D5" s="46">
        <f t="shared" si="8"/>
        <v>100</v>
      </c>
      <c r="E5" s="46">
        <f t="shared" si="9"/>
        <v>100</v>
      </c>
      <c r="F5" s="46">
        <f t="shared" si="3"/>
        <v>100</v>
      </c>
      <c r="G5" s="46" t="str">
        <f t="shared" si="4"/>
        <v>93 - 100</v>
      </c>
      <c r="H5" s="523">
        <f t="shared" si="10"/>
        <v>1.923076923076934</v>
      </c>
      <c r="I5" s="560">
        <f t="shared" si="11"/>
        <v>0</v>
      </c>
      <c r="J5" s="559">
        <f t="shared" si="12"/>
        <v>0</v>
      </c>
      <c r="K5" s="557">
        <v>90</v>
      </c>
      <c r="L5" s="405">
        <v>51</v>
      </c>
      <c r="M5" s="405">
        <v>52</v>
      </c>
      <c r="N5" s="405">
        <v>1</v>
      </c>
      <c r="O5" s="405">
        <v>52</v>
      </c>
      <c r="P5" s="405">
        <v>0</v>
      </c>
      <c r="Q5" s="405">
        <v>52</v>
      </c>
      <c r="R5" s="405">
        <v>0</v>
      </c>
      <c r="S5" s="405">
        <v>52</v>
      </c>
      <c r="T5" s="405">
        <v>0</v>
      </c>
      <c r="U5" s="405">
        <v>52</v>
      </c>
    </row>
    <row r="6" spans="1:21">
      <c r="A6" s="45" t="s">
        <v>95</v>
      </c>
      <c r="B6" s="45" t="s">
        <v>96</v>
      </c>
      <c r="C6" s="46">
        <f t="shared" si="7"/>
        <v>100</v>
      </c>
      <c r="D6" s="46">
        <f t="shared" si="8"/>
        <v>100</v>
      </c>
      <c r="E6" s="46">
        <f t="shared" si="9"/>
        <v>100</v>
      </c>
      <c r="F6" s="46">
        <f t="shared" si="3"/>
        <v>100</v>
      </c>
      <c r="G6" s="46" t="str">
        <f t="shared" si="4"/>
        <v>91 - 100</v>
      </c>
      <c r="H6" s="529">
        <f t="shared" si="10"/>
        <v>0</v>
      </c>
      <c r="I6" s="558">
        <f t="shared" si="11"/>
        <v>0</v>
      </c>
      <c r="J6" s="557">
        <f t="shared" si="12"/>
        <v>0</v>
      </c>
      <c r="K6" s="557">
        <v>90</v>
      </c>
      <c r="L6" s="405">
        <v>39</v>
      </c>
      <c r="M6" s="405">
        <v>39</v>
      </c>
      <c r="N6" s="405">
        <v>0</v>
      </c>
      <c r="O6" s="405">
        <v>39</v>
      </c>
      <c r="P6" s="405">
        <v>0</v>
      </c>
      <c r="Q6" s="405">
        <v>39</v>
      </c>
      <c r="R6" s="405">
        <v>0</v>
      </c>
      <c r="S6" s="405">
        <v>39</v>
      </c>
      <c r="T6" s="405">
        <v>0</v>
      </c>
      <c r="U6" s="405">
        <v>39</v>
      </c>
    </row>
    <row r="7" spans="1:21">
      <c r="A7" s="45" t="s">
        <v>121</v>
      </c>
      <c r="B7" s="45" t="s">
        <v>122</v>
      </c>
      <c r="C7" s="46">
        <f t="shared" si="7"/>
        <v>100</v>
      </c>
      <c r="D7" s="46">
        <f t="shared" si="8"/>
        <v>100</v>
      </c>
      <c r="E7" s="46">
        <f t="shared" si="9"/>
        <v>100</v>
      </c>
      <c r="F7" s="46">
        <f t="shared" si="3"/>
        <v>100</v>
      </c>
      <c r="G7" s="46" t="str">
        <f t="shared" si="4"/>
        <v>89 - 100</v>
      </c>
      <c r="H7" s="529">
        <f t="shared" si="10"/>
        <v>0</v>
      </c>
      <c r="I7" s="558">
        <f t="shared" si="11"/>
        <v>0</v>
      </c>
      <c r="J7" s="557">
        <f t="shared" si="12"/>
        <v>0</v>
      </c>
      <c r="K7" s="557">
        <v>90</v>
      </c>
      <c r="L7" s="405">
        <v>30</v>
      </c>
      <c r="M7" s="405">
        <v>30</v>
      </c>
      <c r="N7" s="405">
        <v>0</v>
      </c>
      <c r="O7" s="405">
        <v>30</v>
      </c>
      <c r="P7" s="405">
        <v>0</v>
      </c>
      <c r="Q7" s="405">
        <v>30</v>
      </c>
      <c r="R7" s="405">
        <v>0</v>
      </c>
      <c r="S7" s="405">
        <v>30</v>
      </c>
      <c r="T7" s="405">
        <v>0</v>
      </c>
      <c r="U7" s="405">
        <v>30</v>
      </c>
    </row>
    <row r="8" spans="1:21">
      <c r="A8" s="45" t="s">
        <v>60</v>
      </c>
      <c r="B8" s="45" t="s">
        <v>61</v>
      </c>
      <c r="C8" s="46">
        <f t="shared" si="7"/>
        <v>78.899082568807344</v>
      </c>
      <c r="D8" s="46">
        <f t="shared" si="8"/>
        <v>92.660550458715591</v>
      </c>
      <c r="E8" s="46">
        <f t="shared" si="9"/>
        <v>95.718654434250766</v>
      </c>
      <c r="F8" s="46">
        <f t="shared" si="3"/>
        <v>96.941896024464839</v>
      </c>
      <c r="G8" s="46" t="str">
        <f t="shared" si="4"/>
        <v>89 - 95</v>
      </c>
      <c r="H8" s="529">
        <f t="shared" si="10"/>
        <v>13.761467889908246</v>
      </c>
      <c r="I8" s="558">
        <f t="shared" si="11"/>
        <v>3.0581039755351753</v>
      </c>
      <c r="J8" s="557">
        <f t="shared" si="12"/>
        <v>1.223241590214073</v>
      </c>
      <c r="K8" s="557">
        <v>90</v>
      </c>
      <c r="L8" s="405">
        <v>258</v>
      </c>
      <c r="M8" s="405">
        <v>327</v>
      </c>
      <c r="N8" s="405">
        <v>45</v>
      </c>
      <c r="O8" s="405">
        <v>327</v>
      </c>
      <c r="P8" s="405">
        <v>10</v>
      </c>
      <c r="Q8" s="405">
        <v>327</v>
      </c>
      <c r="R8" s="405">
        <v>4</v>
      </c>
      <c r="S8" s="405">
        <v>327</v>
      </c>
      <c r="T8" s="405">
        <v>6</v>
      </c>
      <c r="U8" s="405">
        <v>327</v>
      </c>
    </row>
    <row r="9" spans="1:21">
      <c r="A9" s="45" t="s">
        <v>89</v>
      </c>
      <c r="B9" s="45" t="s">
        <v>90</v>
      </c>
      <c r="C9" s="46">
        <f t="shared" si="7"/>
        <v>91.666666666666657</v>
      </c>
      <c r="D9" s="46">
        <f t="shared" si="8"/>
        <v>95.833333333333343</v>
      </c>
      <c r="E9" s="46">
        <f t="shared" si="9"/>
        <v>95.833333333333343</v>
      </c>
      <c r="F9" s="46">
        <f t="shared" si="3"/>
        <v>95.833333333333343</v>
      </c>
      <c r="G9" s="46" t="str">
        <f t="shared" si="4"/>
        <v>80 - 99</v>
      </c>
      <c r="H9" s="529">
        <f t="shared" si="10"/>
        <v>4.1666666666666856</v>
      </c>
      <c r="I9" s="558">
        <f t="shared" si="11"/>
        <v>0</v>
      </c>
      <c r="J9" s="557">
        <f t="shared" si="12"/>
        <v>0</v>
      </c>
      <c r="K9" s="557">
        <v>90</v>
      </c>
      <c r="L9" s="405">
        <v>22</v>
      </c>
      <c r="M9" s="405">
        <v>24</v>
      </c>
      <c r="N9" s="405">
        <v>1</v>
      </c>
      <c r="O9" s="405">
        <v>24</v>
      </c>
      <c r="P9" s="405">
        <v>0</v>
      </c>
      <c r="Q9" s="405">
        <v>24</v>
      </c>
      <c r="R9" s="405">
        <v>0</v>
      </c>
      <c r="S9" s="405">
        <v>24</v>
      </c>
      <c r="T9" s="405">
        <v>0</v>
      </c>
      <c r="U9" s="405">
        <v>24</v>
      </c>
    </row>
    <row r="10" spans="1:21">
      <c r="A10" s="45" t="s">
        <v>124</v>
      </c>
      <c r="B10" s="45" t="s">
        <v>125</v>
      </c>
      <c r="C10" s="46">
        <f t="shared" si="7"/>
        <v>36.982968369829685</v>
      </c>
      <c r="D10" s="46">
        <f t="shared" si="8"/>
        <v>82.481751824817522</v>
      </c>
      <c r="E10" s="46">
        <f t="shared" si="9"/>
        <v>91.727493917274941</v>
      </c>
      <c r="F10" s="46">
        <f t="shared" si="3"/>
        <v>95.620437956204384</v>
      </c>
      <c r="G10" s="46" t="str">
        <f t="shared" si="4"/>
        <v>79 - 86</v>
      </c>
      <c r="H10" s="529">
        <f t="shared" si="10"/>
        <v>45.498783454987837</v>
      </c>
      <c r="I10" s="558">
        <f t="shared" si="11"/>
        <v>9.2457420924574194</v>
      </c>
      <c r="J10" s="557">
        <f t="shared" si="12"/>
        <v>3.8929440389294427</v>
      </c>
      <c r="K10" s="557">
        <v>90</v>
      </c>
      <c r="L10" s="405">
        <v>152</v>
      </c>
      <c r="M10" s="405">
        <v>411</v>
      </c>
      <c r="N10" s="405">
        <v>187</v>
      </c>
      <c r="O10" s="405">
        <v>411</v>
      </c>
      <c r="P10" s="405">
        <v>38</v>
      </c>
      <c r="Q10" s="405">
        <v>411</v>
      </c>
      <c r="R10" s="405">
        <v>16</v>
      </c>
      <c r="S10" s="405">
        <v>411</v>
      </c>
      <c r="T10" s="405">
        <v>10</v>
      </c>
      <c r="U10" s="405">
        <v>411</v>
      </c>
    </row>
    <row r="11" spans="1:21">
      <c r="A11" s="45" t="s">
        <v>104</v>
      </c>
      <c r="B11" s="45" t="s">
        <v>105</v>
      </c>
      <c r="C11" s="46">
        <f t="shared" si="7"/>
        <v>39.57597173144876</v>
      </c>
      <c r="D11" s="46">
        <f t="shared" si="8"/>
        <v>86.219081272084807</v>
      </c>
      <c r="E11" s="46">
        <f t="shared" si="9"/>
        <v>91.872791519434628</v>
      </c>
      <c r="F11" s="46">
        <f t="shared" si="3"/>
        <v>94.699646643109531</v>
      </c>
      <c r="G11" s="46" t="str">
        <f t="shared" si="4"/>
        <v>82 - 90</v>
      </c>
      <c r="H11" s="529">
        <f t="shared" si="10"/>
        <v>46.643109540636047</v>
      </c>
      <c r="I11" s="558">
        <f t="shared" si="11"/>
        <v>5.6537102473498209</v>
      </c>
      <c r="J11" s="557">
        <f t="shared" si="12"/>
        <v>2.8268551236749033</v>
      </c>
      <c r="K11" s="557">
        <v>90</v>
      </c>
      <c r="L11" s="405">
        <v>112</v>
      </c>
      <c r="M11" s="405">
        <v>283</v>
      </c>
      <c r="N11" s="405">
        <v>132</v>
      </c>
      <c r="O11" s="405">
        <v>283</v>
      </c>
      <c r="P11" s="405">
        <v>16</v>
      </c>
      <c r="Q11" s="405">
        <v>283</v>
      </c>
      <c r="R11" s="405">
        <v>8</v>
      </c>
      <c r="S11" s="405">
        <v>283</v>
      </c>
      <c r="T11" s="405">
        <v>8</v>
      </c>
      <c r="U11" s="405">
        <v>283</v>
      </c>
    </row>
    <row r="12" spans="1:21">
      <c r="A12" s="45" t="s">
        <v>28</v>
      </c>
      <c r="B12" s="45" t="s">
        <v>63</v>
      </c>
      <c r="C12" s="46">
        <f t="shared" si="7"/>
        <v>32.487309644670049</v>
      </c>
      <c r="D12" s="46">
        <f t="shared" si="8"/>
        <v>81.725888324873097</v>
      </c>
      <c r="E12" s="46">
        <f t="shared" si="9"/>
        <v>87.309644670050758</v>
      </c>
      <c r="F12" s="46">
        <f t="shared" si="3"/>
        <v>94.416243654822338</v>
      </c>
      <c r="G12" s="46" t="str">
        <f t="shared" si="4"/>
        <v>76 - 86</v>
      </c>
      <c r="H12" s="529">
        <f t="shared" si="10"/>
        <v>49.238578680203048</v>
      </c>
      <c r="I12" s="558">
        <f t="shared" si="11"/>
        <v>5.5837563451776617</v>
      </c>
      <c r="J12" s="557">
        <f t="shared" si="12"/>
        <v>7.1065989847715798</v>
      </c>
      <c r="K12" s="557">
        <v>90</v>
      </c>
      <c r="L12" s="405">
        <v>64</v>
      </c>
      <c r="M12" s="405">
        <v>197</v>
      </c>
      <c r="N12" s="405">
        <v>97</v>
      </c>
      <c r="O12" s="405">
        <v>197</v>
      </c>
      <c r="P12" s="405">
        <v>11</v>
      </c>
      <c r="Q12" s="405">
        <v>197</v>
      </c>
      <c r="R12" s="405">
        <v>14</v>
      </c>
      <c r="S12" s="405">
        <v>197</v>
      </c>
      <c r="T12" s="405">
        <v>2</v>
      </c>
      <c r="U12" s="405">
        <v>197</v>
      </c>
    </row>
    <row r="13" spans="1:21">
      <c r="A13" s="45" t="s">
        <v>82</v>
      </c>
      <c r="B13" s="45" t="s">
        <v>83</v>
      </c>
      <c r="C13" s="46">
        <f t="shared" si="7"/>
        <v>74.611398963730565</v>
      </c>
      <c r="D13" s="46">
        <f t="shared" si="8"/>
        <v>88.082901554404145</v>
      </c>
      <c r="E13" s="46">
        <f t="shared" si="9"/>
        <v>92.746113989637308</v>
      </c>
      <c r="F13" s="46">
        <f t="shared" si="3"/>
        <v>94.300518134715034</v>
      </c>
      <c r="G13" s="46" t="str">
        <f t="shared" si="4"/>
        <v>83 - 92</v>
      </c>
      <c r="H13" s="529">
        <f t="shared" si="10"/>
        <v>13.47150259067358</v>
      </c>
      <c r="I13" s="558">
        <f t="shared" si="11"/>
        <v>4.663212435233163</v>
      </c>
      <c r="J13" s="557">
        <f t="shared" si="12"/>
        <v>1.5544041450777257</v>
      </c>
      <c r="K13" s="557">
        <v>90</v>
      </c>
      <c r="L13" s="405">
        <v>144</v>
      </c>
      <c r="M13" s="405">
        <v>193</v>
      </c>
      <c r="N13" s="405">
        <v>26</v>
      </c>
      <c r="O13" s="405">
        <v>193</v>
      </c>
      <c r="P13" s="405">
        <v>9</v>
      </c>
      <c r="Q13" s="405">
        <v>193</v>
      </c>
      <c r="R13" s="405">
        <v>3</v>
      </c>
      <c r="S13" s="405">
        <v>193</v>
      </c>
      <c r="T13" s="405">
        <v>9</v>
      </c>
      <c r="U13" s="405">
        <v>193</v>
      </c>
    </row>
    <row r="14" spans="1:21">
      <c r="A14" s="45" t="s">
        <v>185</v>
      </c>
      <c r="B14" s="45" t="s">
        <v>85</v>
      </c>
      <c r="C14" s="46">
        <f t="shared" si="7"/>
        <v>45.426829268292686</v>
      </c>
      <c r="D14" s="46">
        <f t="shared" si="8"/>
        <v>81.707317073170728</v>
      </c>
      <c r="E14" s="46">
        <f t="shared" si="9"/>
        <v>90.548780487804876</v>
      </c>
      <c r="F14" s="46">
        <f t="shared" si="3"/>
        <v>94.207317073170728</v>
      </c>
      <c r="G14" s="46" t="str">
        <f t="shared" si="4"/>
        <v>77 - 86</v>
      </c>
      <c r="H14" s="529">
        <f t="shared" si="10"/>
        <v>36.280487804878042</v>
      </c>
      <c r="I14" s="558">
        <f t="shared" si="11"/>
        <v>8.8414634146341484</v>
      </c>
      <c r="J14" s="557">
        <f t="shared" si="12"/>
        <v>3.6585365853658516</v>
      </c>
      <c r="K14" s="557">
        <v>90</v>
      </c>
      <c r="L14" s="405">
        <v>149</v>
      </c>
      <c r="M14" s="405">
        <v>328</v>
      </c>
      <c r="N14" s="405">
        <v>119</v>
      </c>
      <c r="O14" s="405">
        <v>328</v>
      </c>
      <c r="P14" s="405">
        <v>29</v>
      </c>
      <c r="Q14" s="405">
        <v>328</v>
      </c>
      <c r="R14" s="405">
        <v>12</v>
      </c>
      <c r="S14" s="405">
        <v>328</v>
      </c>
      <c r="T14" s="405">
        <v>18</v>
      </c>
      <c r="U14" s="405">
        <v>328</v>
      </c>
    </row>
    <row r="15" spans="1:21">
      <c r="A15" s="45" t="s">
        <v>37</v>
      </c>
      <c r="B15" s="45" t="s">
        <v>133</v>
      </c>
      <c r="C15" s="46">
        <f t="shared" si="7"/>
        <v>61.29032258064516</v>
      </c>
      <c r="D15" s="46">
        <f t="shared" si="8"/>
        <v>93.548387096774192</v>
      </c>
      <c r="E15" s="46">
        <f t="shared" si="9"/>
        <v>93.548387096774192</v>
      </c>
      <c r="F15" s="46">
        <f t="shared" si="3"/>
        <v>93.548387096774192</v>
      </c>
      <c r="G15" s="46" t="str">
        <f t="shared" si="4"/>
        <v>79 - 98</v>
      </c>
      <c r="H15" s="529">
        <f t="shared" si="10"/>
        <v>32.258064516129032</v>
      </c>
      <c r="I15" s="558">
        <f t="shared" si="11"/>
        <v>0</v>
      </c>
      <c r="J15" s="557">
        <f t="shared" si="12"/>
        <v>0</v>
      </c>
      <c r="K15" s="557">
        <v>90</v>
      </c>
      <c r="L15" s="405">
        <v>19</v>
      </c>
      <c r="M15" s="405">
        <v>31</v>
      </c>
      <c r="N15" s="405">
        <v>10</v>
      </c>
      <c r="O15" s="405">
        <v>31</v>
      </c>
      <c r="P15" s="405">
        <v>0</v>
      </c>
      <c r="Q15" s="405">
        <v>31</v>
      </c>
      <c r="R15" s="405">
        <v>0</v>
      </c>
      <c r="S15" s="405">
        <v>31</v>
      </c>
      <c r="T15" s="405">
        <v>2</v>
      </c>
      <c r="U15" s="405">
        <v>31</v>
      </c>
    </row>
    <row r="16" spans="1:21">
      <c r="A16" s="45" t="s">
        <v>183</v>
      </c>
      <c r="B16" s="45" t="s">
        <v>73</v>
      </c>
      <c r="C16" s="46">
        <f t="shared" si="7"/>
        <v>25.45824847250509</v>
      </c>
      <c r="D16" s="46">
        <f t="shared" si="8"/>
        <v>76.374745417515271</v>
      </c>
      <c r="E16" s="46">
        <f t="shared" si="9"/>
        <v>89.613034623217928</v>
      </c>
      <c r="F16" s="46">
        <f t="shared" si="3"/>
        <v>92.871690427698567</v>
      </c>
      <c r="G16" s="46" t="str">
        <f t="shared" si="4"/>
        <v>72 - 80</v>
      </c>
      <c r="H16" s="529">
        <f t="shared" si="10"/>
        <v>50.916496945010181</v>
      </c>
      <c r="I16" s="558">
        <f t="shared" si="11"/>
        <v>13.238289205702657</v>
      </c>
      <c r="J16" s="557">
        <f t="shared" si="12"/>
        <v>3.2586558044806395</v>
      </c>
      <c r="K16" s="557">
        <v>90</v>
      </c>
      <c r="L16" s="405">
        <v>125</v>
      </c>
      <c r="M16" s="405">
        <v>491</v>
      </c>
      <c r="N16" s="405">
        <v>250</v>
      </c>
      <c r="O16" s="405">
        <v>491</v>
      </c>
      <c r="P16" s="405">
        <v>65</v>
      </c>
      <c r="Q16" s="405">
        <v>491</v>
      </c>
      <c r="R16" s="405">
        <v>16</v>
      </c>
      <c r="S16" s="405">
        <v>491</v>
      </c>
      <c r="T16" s="405">
        <v>18</v>
      </c>
      <c r="U16" s="405">
        <v>491</v>
      </c>
    </row>
    <row r="17" spans="1:21">
      <c r="A17" s="45" t="s">
        <v>101</v>
      </c>
      <c r="B17" s="45" t="s">
        <v>102</v>
      </c>
      <c r="C17" s="46">
        <f t="shared" si="7"/>
        <v>54.826254826254825</v>
      </c>
      <c r="D17" s="46">
        <f t="shared" si="8"/>
        <v>80.6949806949807</v>
      </c>
      <c r="E17" s="46">
        <f t="shared" si="9"/>
        <v>89.189189189189193</v>
      </c>
      <c r="F17" s="46">
        <f t="shared" si="3"/>
        <v>92.664092664092664</v>
      </c>
      <c r="G17" s="46" t="str">
        <f t="shared" si="4"/>
        <v>75 - 85</v>
      </c>
      <c r="H17" s="529">
        <f t="shared" si="10"/>
        <v>25.868725868725875</v>
      </c>
      <c r="I17" s="558">
        <f t="shared" si="11"/>
        <v>8.4942084942084932</v>
      </c>
      <c r="J17" s="557">
        <f t="shared" si="12"/>
        <v>3.4749034749034706</v>
      </c>
      <c r="K17" s="557">
        <v>90</v>
      </c>
      <c r="L17" s="405">
        <v>142</v>
      </c>
      <c r="M17" s="405">
        <v>259</v>
      </c>
      <c r="N17" s="405">
        <v>67</v>
      </c>
      <c r="O17" s="405">
        <v>259</v>
      </c>
      <c r="P17" s="405">
        <v>22</v>
      </c>
      <c r="Q17" s="405">
        <v>259</v>
      </c>
      <c r="R17" s="405">
        <v>9</v>
      </c>
      <c r="S17" s="405">
        <v>259</v>
      </c>
      <c r="T17" s="405">
        <v>16</v>
      </c>
      <c r="U17" s="405">
        <v>259</v>
      </c>
    </row>
    <row r="18" spans="1:21">
      <c r="A18" s="45" t="s">
        <v>459</v>
      </c>
      <c r="B18" s="45" t="s">
        <v>460</v>
      </c>
      <c r="C18" s="46">
        <f t="shared" si="7"/>
        <v>73.288331726133066</v>
      </c>
      <c r="D18" s="46">
        <f t="shared" si="8"/>
        <v>87.75313404050145</v>
      </c>
      <c r="E18" s="46">
        <f t="shared" si="9"/>
        <v>91.513982642237224</v>
      </c>
      <c r="F18" s="46">
        <f t="shared" si="3"/>
        <v>92.574734811957569</v>
      </c>
      <c r="G18" s="46" t="str">
        <f t="shared" si="4"/>
        <v>86 - 90</v>
      </c>
      <c r="H18" s="529">
        <f t="shared" si="10"/>
        <v>14.464802314368384</v>
      </c>
      <c r="I18" s="558">
        <f t="shared" si="11"/>
        <v>3.7608486017357734</v>
      </c>
      <c r="J18" s="557">
        <f t="shared" si="12"/>
        <v>1.0607521697203453</v>
      </c>
      <c r="K18" s="557">
        <v>90</v>
      </c>
      <c r="L18" s="405">
        <v>760</v>
      </c>
      <c r="M18" s="405">
        <v>1037</v>
      </c>
      <c r="N18" s="405">
        <v>150</v>
      </c>
      <c r="O18" s="405">
        <v>1037</v>
      </c>
      <c r="P18" s="405">
        <v>39</v>
      </c>
      <c r="Q18" s="405">
        <v>1037</v>
      </c>
      <c r="R18" s="405">
        <v>11</v>
      </c>
      <c r="S18" s="405">
        <v>1037</v>
      </c>
      <c r="T18" s="405">
        <v>58</v>
      </c>
      <c r="U18" s="405">
        <v>1037</v>
      </c>
    </row>
    <row r="19" spans="1:21">
      <c r="A19" s="45" t="s">
        <v>184</v>
      </c>
      <c r="B19" s="45" t="s">
        <v>80</v>
      </c>
      <c r="C19" s="46">
        <f t="shared" si="7"/>
        <v>37.656903765690373</v>
      </c>
      <c r="D19" s="46">
        <f t="shared" si="8"/>
        <v>84.51882845188284</v>
      </c>
      <c r="E19" s="46">
        <f t="shared" si="9"/>
        <v>91.004184100418399</v>
      </c>
      <c r="F19" s="46">
        <f t="shared" si="3"/>
        <v>92.468619246861934</v>
      </c>
      <c r="G19" s="46" t="str">
        <f t="shared" si="4"/>
        <v>81 - 87</v>
      </c>
      <c r="H19" s="529">
        <f t="shared" si="10"/>
        <v>46.861924686192467</v>
      </c>
      <c r="I19" s="558">
        <f t="shared" si="11"/>
        <v>6.4853556485355597</v>
      </c>
      <c r="J19" s="557">
        <f t="shared" si="12"/>
        <v>1.4644351464435346</v>
      </c>
      <c r="K19" s="557">
        <v>90</v>
      </c>
      <c r="L19" s="405">
        <v>180</v>
      </c>
      <c r="M19" s="405">
        <v>478</v>
      </c>
      <c r="N19" s="405">
        <v>224</v>
      </c>
      <c r="O19" s="405">
        <v>478</v>
      </c>
      <c r="P19" s="405">
        <v>31</v>
      </c>
      <c r="Q19" s="405">
        <v>478</v>
      </c>
      <c r="R19" s="405">
        <v>7</v>
      </c>
      <c r="S19" s="405">
        <v>478</v>
      </c>
      <c r="T19" s="405">
        <v>26</v>
      </c>
      <c r="U19" s="405">
        <v>478</v>
      </c>
    </row>
    <row r="20" spans="1:21">
      <c r="A20" s="45" t="s">
        <v>174</v>
      </c>
      <c r="B20" s="45" t="s">
        <v>71</v>
      </c>
      <c r="C20" s="46">
        <f t="shared" si="7"/>
        <v>31.736526946107784</v>
      </c>
      <c r="D20" s="46">
        <f t="shared" si="8"/>
        <v>84.63073852295409</v>
      </c>
      <c r="E20" s="46">
        <f t="shared" si="9"/>
        <v>90.219560878243513</v>
      </c>
      <c r="F20" s="46">
        <f t="shared" si="3"/>
        <v>91.616766467065872</v>
      </c>
      <c r="G20" s="46" t="str">
        <f t="shared" si="4"/>
        <v>81 - 88</v>
      </c>
      <c r="H20" s="529">
        <f t="shared" si="10"/>
        <v>52.894211576846303</v>
      </c>
      <c r="I20" s="558">
        <f t="shared" si="11"/>
        <v>5.5888223552894232</v>
      </c>
      <c r="J20" s="557">
        <f t="shared" si="12"/>
        <v>1.3972055888223593</v>
      </c>
      <c r="K20" s="557">
        <v>90</v>
      </c>
      <c r="L20" s="405">
        <v>159</v>
      </c>
      <c r="M20" s="405">
        <v>501</v>
      </c>
      <c r="N20" s="405">
        <v>265</v>
      </c>
      <c r="O20" s="405">
        <v>501</v>
      </c>
      <c r="P20" s="405">
        <v>28</v>
      </c>
      <c r="Q20" s="405">
        <v>501</v>
      </c>
      <c r="R20" s="405">
        <v>7</v>
      </c>
      <c r="S20" s="405">
        <v>501</v>
      </c>
      <c r="T20" s="405">
        <v>17</v>
      </c>
      <c r="U20" s="405">
        <v>501</v>
      </c>
    </row>
    <row r="21" spans="1:21">
      <c r="A21" s="45" t="s">
        <v>58</v>
      </c>
      <c r="B21" s="45" t="s">
        <v>57</v>
      </c>
      <c r="C21" s="46">
        <f t="shared" si="7"/>
        <v>64.62882096069869</v>
      </c>
      <c r="D21" s="46">
        <f t="shared" si="8"/>
        <v>83.842794759825324</v>
      </c>
      <c r="E21" s="46">
        <f t="shared" si="9"/>
        <v>89.082969432314414</v>
      </c>
      <c r="F21" s="46">
        <f t="shared" si="3"/>
        <v>90.829694323144111</v>
      </c>
      <c r="G21" s="46" t="str">
        <f t="shared" si="4"/>
        <v>79 - 88</v>
      </c>
      <c r="H21" s="529">
        <f t="shared" si="10"/>
        <v>19.213973799126634</v>
      </c>
      <c r="I21" s="558">
        <f t="shared" si="11"/>
        <v>5.2401746724890899</v>
      </c>
      <c r="J21" s="557">
        <f t="shared" si="12"/>
        <v>1.7467248908296966</v>
      </c>
      <c r="K21" s="557">
        <v>90</v>
      </c>
      <c r="L21" s="405">
        <v>148</v>
      </c>
      <c r="M21" s="405">
        <v>229</v>
      </c>
      <c r="N21" s="405">
        <v>44</v>
      </c>
      <c r="O21" s="405">
        <v>229</v>
      </c>
      <c r="P21" s="405">
        <v>12</v>
      </c>
      <c r="Q21" s="405">
        <v>229</v>
      </c>
      <c r="R21" s="405">
        <v>4</v>
      </c>
      <c r="S21" s="405">
        <v>229</v>
      </c>
      <c r="T21" s="405">
        <v>8</v>
      </c>
      <c r="U21" s="405">
        <v>229</v>
      </c>
    </row>
    <row r="22" spans="1:21">
      <c r="A22" s="45" t="s">
        <v>65</v>
      </c>
      <c r="B22" s="45" t="s">
        <v>66</v>
      </c>
      <c r="C22" s="46">
        <f t="shared" si="7"/>
        <v>30.73170731707317</v>
      </c>
      <c r="D22" s="46">
        <f t="shared" si="8"/>
        <v>78.536585365853668</v>
      </c>
      <c r="E22" s="46">
        <f t="shared" si="9"/>
        <v>88.780487804878049</v>
      </c>
      <c r="F22" s="46">
        <f t="shared" si="3"/>
        <v>90.731707317073173</v>
      </c>
      <c r="G22" s="46" t="str">
        <f t="shared" si="4"/>
        <v>72 - 84</v>
      </c>
      <c r="H22" s="529">
        <f t="shared" si="10"/>
        <v>47.804878048780495</v>
      </c>
      <c r="I22" s="558">
        <f t="shared" si="11"/>
        <v>10.243902439024382</v>
      </c>
      <c r="J22" s="557">
        <f t="shared" si="12"/>
        <v>1.9512195121951237</v>
      </c>
      <c r="K22" s="557">
        <v>90</v>
      </c>
      <c r="L22" s="405">
        <v>63</v>
      </c>
      <c r="M22" s="405">
        <v>205</v>
      </c>
      <c r="N22" s="405">
        <v>98</v>
      </c>
      <c r="O22" s="405">
        <v>205</v>
      </c>
      <c r="P22" s="405">
        <v>21</v>
      </c>
      <c r="Q22" s="405">
        <v>205</v>
      </c>
      <c r="R22" s="405">
        <v>4</v>
      </c>
      <c r="S22" s="405">
        <v>205</v>
      </c>
      <c r="T22" s="405">
        <v>5</v>
      </c>
      <c r="U22" s="405">
        <v>205</v>
      </c>
    </row>
    <row r="23" spans="1:21">
      <c r="A23" s="45" t="s">
        <v>107</v>
      </c>
      <c r="B23" s="45" t="s">
        <v>106</v>
      </c>
      <c r="C23" s="46">
        <f t="shared" si="7"/>
        <v>38.127090301003349</v>
      </c>
      <c r="D23" s="46">
        <f t="shared" si="8"/>
        <v>76.588628762541816</v>
      </c>
      <c r="E23" s="46">
        <f t="shared" si="9"/>
        <v>85.284280936454849</v>
      </c>
      <c r="F23" s="46">
        <f t="shared" si="3"/>
        <v>89.297658862876247</v>
      </c>
      <c r="G23" s="46" t="str">
        <f t="shared" si="4"/>
        <v>71 - 81</v>
      </c>
      <c r="H23" s="529">
        <f t="shared" si="10"/>
        <v>38.461538461538467</v>
      </c>
      <c r="I23" s="558">
        <f t="shared" si="11"/>
        <v>8.6956521739130324</v>
      </c>
      <c r="J23" s="557">
        <f t="shared" si="12"/>
        <v>4.0133779264213985</v>
      </c>
      <c r="K23" s="557">
        <v>90</v>
      </c>
      <c r="L23" s="405">
        <v>114</v>
      </c>
      <c r="M23" s="405">
        <v>299</v>
      </c>
      <c r="N23" s="405">
        <v>115</v>
      </c>
      <c r="O23" s="405">
        <v>299</v>
      </c>
      <c r="P23" s="405">
        <v>26</v>
      </c>
      <c r="Q23" s="405">
        <v>299</v>
      </c>
      <c r="R23" s="405">
        <v>12</v>
      </c>
      <c r="S23" s="405">
        <v>299</v>
      </c>
      <c r="T23" s="405">
        <v>22</v>
      </c>
      <c r="U23" s="405">
        <v>299</v>
      </c>
    </row>
    <row r="24" spans="1:21">
      <c r="A24" s="45" t="s">
        <v>77</v>
      </c>
      <c r="B24" s="45" t="s">
        <v>78</v>
      </c>
      <c r="C24" s="46">
        <f t="shared" si="7"/>
        <v>60</v>
      </c>
      <c r="D24" s="46">
        <f t="shared" si="8"/>
        <v>82.727272727272734</v>
      </c>
      <c r="E24" s="46">
        <f t="shared" si="9"/>
        <v>87.272727272727266</v>
      </c>
      <c r="F24" s="46">
        <f t="shared" si="3"/>
        <v>88.181818181818187</v>
      </c>
      <c r="G24" s="46" t="str">
        <f t="shared" si="4"/>
        <v>75 - 89</v>
      </c>
      <c r="H24" s="529">
        <f t="shared" si="10"/>
        <v>22.727272727272734</v>
      </c>
      <c r="I24" s="558">
        <f t="shared" si="11"/>
        <v>4.5454545454545325</v>
      </c>
      <c r="J24" s="557">
        <f t="shared" si="12"/>
        <v>0.90909090909092072</v>
      </c>
      <c r="K24" s="557">
        <v>90</v>
      </c>
      <c r="L24" s="405">
        <v>66</v>
      </c>
      <c r="M24" s="405">
        <v>110</v>
      </c>
      <c r="N24" s="405">
        <v>25</v>
      </c>
      <c r="O24" s="405">
        <v>110</v>
      </c>
      <c r="P24" s="405">
        <v>5</v>
      </c>
      <c r="Q24" s="405">
        <v>110</v>
      </c>
      <c r="R24" s="405">
        <v>1</v>
      </c>
      <c r="S24" s="405">
        <v>110</v>
      </c>
      <c r="T24" s="405">
        <v>1</v>
      </c>
      <c r="U24" s="405">
        <v>110</v>
      </c>
    </row>
    <row r="25" spans="1:21">
      <c r="A25" s="45" t="s">
        <v>112</v>
      </c>
      <c r="B25" s="45" t="s">
        <v>113</v>
      </c>
      <c r="C25" s="46">
        <f t="shared" si="7"/>
        <v>21.12676056338028</v>
      </c>
      <c r="D25" s="46">
        <f t="shared" si="8"/>
        <v>68.544600938967136</v>
      </c>
      <c r="E25" s="46">
        <f t="shared" si="9"/>
        <v>77.934272300469488</v>
      </c>
      <c r="F25" s="46">
        <f t="shared" si="3"/>
        <v>82.159624413145536</v>
      </c>
      <c r="G25" s="46" t="str">
        <f t="shared" si="4"/>
        <v>62 - 74</v>
      </c>
      <c r="H25" s="529">
        <f t="shared" si="10"/>
        <v>47.417840375586856</v>
      </c>
      <c r="I25" s="558">
        <f t="shared" si="11"/>
        <v>9.3896713615023515</v>
      </c>
      <c r="J25" s="557">
        <f t="shared" si="12"/>
        <v>4.2253521126760489</v>
      </c>
      <c r="K25" s="557">
        <v>90</v>
      </c>
      <c r="L25" s="405">
        <v>45</v>
      </c>
      <c r="M25" s="405">
        <v>213</v>
      </c>
      <c r="N25" s="405">
        <v>101</v>
      </c>
      <c r="O25" s="405">
        <v>213</v>
      </c>
      <c r="P25" s="405">
        <v>20</v>
      </c>
      <c r="Q25" s="405">
        <v>213</v>
      </c>
      <c r="R25" s="405">
        <v>9</v>
      </c>
      <c r="S25" s="405">
        <v>213</v>
      </c>
      <c r="T25" s="405">
        <v>13</v>
      </c>
      <c r="U25" s="405">
        <v>213</v>
      </c>
    </row>
    <row r="26" spans="1:21">
      <c r="A26" s="45" t="s">
        <v>118</v>
      </c>
      <c r="B26" s="45" t="s">
        <v>119</v>
      </c>
      <c r="C26" s="46">
        <f t="shared" si="7"/>
        <v>50</v>
      </c>
      <c r="D26" s="46">
        <f t="shared" si="8"/>
        <v>69.230769230769226</v>
      </c>
      <c r="E26" s="46">
        <f t="shared" si="9"/>
        <v>76.923076923076934</v>
      </c>
      <c r="F26" s="46">
        <f t="shared" si="3"/>
        <v>80.769230769230774</v>
      </c>
      <c r="G26" s="46" t="str">
        <f t="shared" si="4"/>
        <v>50 - 83</v>
      </c>
      <c r="H26" s="529">
        <f t="shared" si="10"/>
        <v>19.230769230769226</v>
      </c>
      <c r="I26" s="558">
        <f t="shared" si="11"/>
        <v>7.6923076923077076</v>
      </c>
      <c r="J26" s="557">
        <f t="shared" si="12"/>
        <v>3.8461538461538396</v>
      </c>
      <c r="K26" s="557">
        <v>90</v>
      </c>
      <c r="L26" s="405">
        <v>13</v>
      </c>
      <c r="M26" s="405">
        <v>26</v>
      </c>
      <c r="N26" s="405">
        <v>5</v>
      </c>
      <c r="O26" s="405">
        <v>26</v>
      </c>
      <c r="P26" s="405">
        <v>2</v>
      </c>
      <c r="Q26" s="405">
        <v>26</v>
      </c>
      <c r="R26" s="405">
        <v>1</v>
      </c>
      <c r="S26" s="405">
        <v>26</v>
      </c>
      <c r="T26" s="405">
        <v>2</v>
      </c>
      <c r="U26" s="405">
        <v>26</v>
      </c>
    </row>
    <row r="27" spans="1:21">
      <c r="A27" s="45" t="s">
        <v>127</v>
      </c>
      <c r="B27" s="45" t="s">
        <v>128</v>
      </c>
      <c r="C27" s="46">
        <f t="shared" si="7"/>
        <v>21.893491124260358</v>
      </c>
      <c r="D27" s="46">
        <f t="shared" si="8"/>
        <v>63.905325443786985</v>
      </c>
      <c r="E27" s="46">
        <f t="shared" si="9"/>
        <v>74.556213017751489</v>
      </c>
      <c r="F27" s="46">
        <f t="shared" si="3"/>
        <v>79.289940828402365</v>
      </c>
      <c r="G27" s="46" t="str">
        <f t="shared" si="4"/>
        <v>56 - 71</v>
      </c>
      <c r="H27" s="529">
        <f t="shared" si="10"/>
        <v>42.011834319526628</v>
      </c>
      <c r="I27" s="558">
        <f t="shared" si="11"/>
        <v>10.650887573964503</v>
      </c>
      <c r="J27" s="557">
        <f t="shared" si="12"/>
        <v>4.7337278106508762</v>
      </c>
      <c r="K27" s="557">
        <v>90</v>
      </c>
      <c r="L27" s="405">
        <v>37</v>
      </c>
      <c r="M27" s="405">
        <v>169</v>
      </c>
      <c r="N27" s="405">
        <v>71</v>
      </c>
      <c r="O27" s="405">
        <v>169</v>
      </c>
      <c r="P27" s="405">
        <v>18</v>
      </c>
      <c r="Q27" s="405">
        <v>169</v>
      </c>
      <c r="R27" s="405">
        <v>8</v>
      </c>
      <c r="S27" s="405">
        <v>169</v>
      </c>
      <c r="T27" s="405">
        <v>20</v>
      </c>
      <c r="U27" s="405">
        <v>169</v>
      </c>
    </row>
    <row r="28" spans="1:21">
      <c r="A28" s="45" t="s">
        <v>109</v>
      </c>
      <c r="B28" s="45" t="s">
        <v>110</v>
      </c>
      <c r="C28" s="46">
        <f t="shared" si="7"/>
        <v>27.836411609498679</v>
      </c>
      <c r="D28" s="46">
        <f t="shared" si="8"/>
        <v>63.852242744063325</v>
      </c>
      <c r="E28" s="46">
        <f t="shared" si="9"/>
        <v>73.746701846965706</v>
      </c>
      <c r="F28" s="46">
        <f t="shared" si="3"/>
        <v>78.100263852242747</v>
      </c>
      <c r="G28" s="46" t="str">
        <f t="shared" si="4"/>
        <v>60 - 67</v>
      </c>
      <c r="H28" s="529">
        <f t="shared" si="10"/>
        <v>36.01583113456465</v>
      </c>
      <c r="I28" s="558">
        <f t="shared" si="11"/>
        <v>9.8944591029023812</v>
      </c>
      <c r="J28" s="557">
        <f t="shared" si="12"/>
        <v>4.3535620052770412</v>
      </c>
      <c r="K28" s="557">
        <v>90</v>
      </c>
      <c r="L28" s="405">
        <v>211</v>
      </c>
      <c r="M28" s="405">
        <v>758</v>
      </c>
      <c r="N28" s="405">
        <v>273</v>
      </c>
      <c r="O28" s="405">
        <v>758</v>
      </c>
      <c r="P28" s="405">
        <v>75</v>
      </c>
      <c r="Q28" s="405">
        <v>758</v>
      </c>
      <c r="R28" s="405">
        <v>33</v>
      </c>
      <c r="S28" s="405">
        <v>758</v>
      </c>
      <c r="T28" s="405">
        <v>47</v>
      </c>
      <c r="U28" s="405">
        <v>758</v>
      </c>
    </row>
    <row r="29" spans="1:21">
      <c r="A29" s="45" t="s">
        <v>115</v>
      </c>
      <c r="B29" s="45" t="s">
        <v>116</v>
      </c>
      <c r="C29" s="46">
        <f t="shared" si="7"/>
        <v>22.15909090909091</v>
      </c>
      <c r="D29" s="46">
        <f t="shared" si="8"/>
        <v>53.977272727272727</v>
      </c>
      <c r="E29" s="46">
        <f t="shared" si="9"/>
        <v>68.75</v>
      </c>
      <c r="F29" s="46">
        <f t="shared" si="3"/>
        <v>73.295454545454547</v>
      </c>
      <c r="G29" s="46" t="str">
        <f t="shared" si="4"/>
        <v>47 - 61</v>
      </c>
      <c r="H29" s="529">
        <f t="shared" si="10"/>
        <v>31.818181818181817</v>
      </c>
      <c r="I29" s="558">
        <f t="shared" si="11"/>
        <v>14.772727272727273</v>
      </c>
      <c r="J29" s="557">
        <f t="shared" si="12"/>
        <v>4.5454545454545467</v>
      </c>
      <c r="K29" s="557">
        <v>90</v>
      </c>
      <c r="L29" s="405">
        <v>39</v>
      </c>
      <c r="M29" s="405">
        <v>176</v>
      </c>
      <c r="N29" s="405">
        <v>56</v>
      </c>
      <c r="O29" s="405">
        <v>176</v>
      </c>
      <c r="P29" s="405">
        <v>26</v>
      </c>
      <c r="Q29" s="405">
        <v>176</v>
      </c>
      <c r="R29" s="405">
        <v>8</v>
      </c>
      <c r="S29" s="405">
        <v>176</v>
      </c>
      <c r="T29" s="405">
        <v>17</v>
      </c>
      <c r="U29" s="405">
        <v>176</v>
      </c>
    </row>
    <row r="30" spans="1:21">
      <c r="A30" s="45" t="s">
        <v>175</v>
      </c>
      <c r="B30" s="45" t="s">
        <v>75</v>
      </c>
      <c r="C30" s="46">
        <f t="shared" si="7"/>
        <v>58.333333333333336</v>
      </c>
      <c r="D30" s="46">
        <f t="shared" si="8"/>
        <v>69.148936170212778</v>
      </c>
      <c r="E30" s="46">
        <f t="shared" si="9"/>
        <v>71.099290780141843</v>
      </c>
      <c r="F30" s="46">
        <f t="shared" si="3"/>
        <v>72.163120567375884</v>
      </c>
      <c r="G30" s="46" t="str">
        <f t="shared" si="4"/>
        <v>65 - 73</v>
      </c>
      <c r="H30" s="529">
        <f t="shared" si="10"/>
        <v>10.815602836879442</v>
      </c>
      <c r="I30" s="558">
        <f t="shared" si="11"/>
        <v>1.9503546099290645</v>
      </c>
      <c r="J30" s="557">
        <f t="shared" si="12"/>
        <v>1.0638297872340416</v>
      </c>
      <c r="K30" s="557">
        <v>90</v>
      </c>
      <c r="L30" s="405">
        <v>329</v>
      </c>
      <c r="M30" s="405">
        <v>564</v>
      </c>
      <c r="N30" s="405">
        <v>61</v>
      </c>
      <c r="O30" s="405">
        <v>564</v>
      </c>
      <c r="P30" s="405">
        <v>11</v>
      </c>
      <c r="Q30" s="405">
        <v>564</v>
      </c>
      <c r="R30" s="405">
        <v>6</v>
      </c>
      <c r="S30" s="405">
        <v>564</v>
      </c>
      <c r="T30" s="405">
        <v>40</v>
      </c>
      <c r="U30" s="405">
        <v>564</v>
      </c>
    </row>
    <row r="31" spans="1:21">
      <c r="A31" s="45" t="s">
        <v>98</v>
      </c>
      <c r="B31" s="45" t="s">
        <v>99</v>
      </c>
      <c r="C31" s="46">
        <f t="shared" si="7"/>
        <v>17.938931297709924</v>
      </c>
      <c r="D31" s="46">
        <f t="shared" si="8"/>
        <v>43.893129770992367</v>
      </c>
      <c r="E31" s="46">
        <f t="shared" si="9"/>
        <v>51.145038167938928</v>
      </c>
      <c r="F31" s="46">
        <f t="shared" si="3"/>
        <v>58.778625954198475</v>
      </c>
      <c r="G31" s="46" t="str">
        <f t="shared" si="4"/>
        <v>38 - 50</v>
      </c>
      <c r="H31" s="529">
        <f t="shared" si="10"/>
        <v>25.954198473282442</v>
      </c>
      <c r="I31" s="558">
        <f t="shared" si="11"/>
        <v>7.2519083969465612</v>
      </c>
      <c r="J31" s="557">
        <f t="shared" si="12"/>
        <v>7.6335877862595467</v>
      </c>
      <c r="K31" s="557">
        <v>90</v>
      </c>
      <c r="L31" s="405">
        <v>47</v>
      </c>
      <c r="M31" s="405">
        <v>262</v>
      </c>
      <c r="N31" s="405">
        <v>68</v>
      </c>
      <c r="O31" s="405">
        <v>262</v>
      </c>
      <c r="P31" s="405">
        <v>19</v>
      </c>
      <c r="Q31" s="405">
        <v>262</v>
      </c>
      <c r="R31" s="405">
        <v>20</v>
      </c>
      <c r="S31" s="405">
        <v>262</v>
      </c>
      <c r="T31" s="405">
        <v>43</v>
      </c>
      <c r="U31" s="405">
        <v>262</v>
      </c>
    </row>
    <row r="32" spans="1:21">
      <c r="A32" s="45" t="s">
        <v>130</v>
      </c>
      <c r="B32" s="45" t="s">
        <v>131</v>
      </c>
      <c r="C32" s="46">
        <f t="shared" si="7"/>
        <v>0</v>
      </c>
      <c r="D32" s="46">
        <f t="shared" si="8"/>
        <v>0</v>
      </c>
      <c r="E32" s="46">
        <f t="shared" si="9"/>
        <v>0</v>
      </c>
      <c r="F32" s="46">
        <f t="shared" si="3"/>
        <v>0</v>
      </c>
      <c r="G32" s="46" t="str">
        <f t="shared" si="4"/>
        <v/>
      </c>
      <c r="H32" s="526">
        <f t="shared" si="10"/>
        <v>0</v>
      </c>
      <c r="I32" s="556">
        <f t="shared" si="11"/>
        <v>0</v>
      </c>
      <c r="J32" s="555">
        <f t="shared" si="12"/>
        <v>0</v>
      </c>
      <c r="K32" s="554">
        <v>90</v>
      </c>
      <c r="L32" s="405">
        <v>0</v>
      </c>
      <c r="M32" s="405">
        <v>1</v>
      </c>
      <c r="N32" s="405">
        <v>0</v>
      </c>
      <c r="O32" s="405">
        <v>1</v>
      </c>
      <c r="P32" s="405">
        <v>0</v>
      </c>
      <c r="Q32" s="405">
        <v>1</v>
      </c>
      <c r="R32" s="405">
        <v>0</v>
      </c>
      <c r="S32" s="405">
        <v>1</v>
      </c>
      <c r="T32" s="405">
        <v>0</v>
      </c>
      <c r="U32" s="405">
        <v>1</v>
      </c>
    </row>
    <row r="33" spans="1:17">
      <c r="A33" s="51"/>
      <c r="C33" s="34"/>
      <c r="D33" s="34"/>
      <c r="E33" s="34"/>
      <c r="F33" s="34"/>
      <c r="G33" s="34"/>
      <c r="H33" s="34"/>
    </row>
    <row r="34" spans="1:17">
      <c r="A34" s="51"/>
      <c r="C34" s="34"/>
      <c r="D34" s="34"/>
      <c r="E34" s="34"/>
      <c r="F34" s="34"/>
      <c r="G34" s="34"/>
      <c r="H34" s="34"/>
      <c r="M34" s="742"/>
    </row>
    <row r="35" spans="1:17" ht="38.25" customHeight="1">
      <c r="A35" s="1083" t="s">
        <v>135</v>
      </c>
      <c r="B35" s="1084"/>
      <c r="C35" s="983" t="str">
        <f>D2</f>
        <v>Within 1 Day</v>
      </c>
      <c r="D35" s="983"/>
      <c r="E35" s="983"/>
      <c r="F35" s="983"/>
      <c r="G35" s="983"/>
      <c r="H35" s="983"/>
      <c r="I35" s="983"/>
      <c r="J35" s="983"/>
      <c r="K35" s="1085"/>
      <c r="L35" s="1086"/>
      <c r="M35" s="1087"/>
    </row>
    <row r="36" spans="1:17" ht="30" customHeight="1">
      <c r="A36" s="89"/>
      <c r="B36" s="53" t="s">
        <v>137</v>
      </c>
      <c r="C36" s="90" t="s">
        <v>42</v>
      </c>
      <c r="D36" s="90" t="s">
        <v>179</v>
      </c>
      <c r="E36" s="1088" t="str">
        <f>T2</f>
        <v>Numerator</v>
      </c>
      <c r="F36" s="1088"/>
      <c r="G36" s="1089" t="str">
        <f>U2</f>
        <v>Denominator</v>
      </c>
      <c r="H36" s="1089"/>
      <c r="I36" s="1089"/>
      <c r="J36" s="1089"/>
      <c r="K36" s="1090"/>
      <c r="L36" s="744"/>
      <c r="M36" s="745"/>
      <c r="Q36" s="1"/>
    </row>
    <row r="37" spans="1:17" ht="15" customHeight="1">
      <c r="A37" s="1048"/>
      <c r="B37" s="60" t="s">
        <v>33</v>
      </c>
      <c r="C37" s="46">
        <f t="shared" ref="C37:C50" si="13">IF(ISERROR(E37/G37*100),"-",E37/G37*100)</f>
        <v>89.02877697841727</v>
      </c>
      <c r="D37" s="91" t="str">
        <f t="shared" ref="D37:D50" si="14">IF(ISERROR(IF(AND(G37&gt;0,ROUND(SUM(100*((2*E37+1.96^2)-(1.96*(SQRT(1.96^2+4*E37*(1-(E37/G37))))))/(2*(G37+1.96^2))),0)&lt;0),CONCATENATE(SUM(1*0)," - ",ROUND(SUM(100*((2*E37+1.96^2)+(1.96*(SQRT(1.96^2+4*E37*(1-(E37/G37))))))/(2*(G37+1.96^2))),0)),IF(AND(G37&gt;0,ROUND(SUM(100*((2*E37+1.96^2)-(1.96*(SQRT(1.96^2+4*E37*(1-(E37/G37))))))/(2*(G37+1.96^2))),0)&gt;=0),CONCATENATE(ROUND(SUM(100*((2*E37+1.96^2)-(1.96*(SQRT(1.96^2+4*E37*(1-(E37/G37))))))/(2*(G37+1.96^2))),0)," - ",ROUND(SUM(100*((2*E37+1.96^2)+(1.96*(SQRT(1.96^2+4*E37*(1-(E37/G37))))))/(2*(G37+1.96^2))),0)),""))),"-",IF(AND(G37&gt;0,ROUND(SUM(100*((2*E37+1.96^2)-(1.96*(SQRT(1.96^2+4*E37*(1-(E37/G37))))))/(2*(G37+1.96^2))),0)&lt;0),CONCATENATE(SUM(1*0)," - ",ROUND(SUM(100*((2*E37+1.96^2)+(1.96*(SQRT(1.96^2+4*E37*(1-(E37/G37))))))/(2*(G37+1.96^2))),0)),IF(AND(G37&gt;0,ROUND(SUM(100*((2*E37+1.96^2)-(1.96*(SQRT(1.96^2+4*E37*(1-(E37/G37))))))/(2*(G37+1.96^2))),0)&gt;=0),CONCATENATE(ROUND(SUM(100*((2*E37+1.96^2)-(1.96*(SQRT(1.96^2+4*E37*(1-(E37/G37))))))/(2*(G37+1.96^2))),0)," - ",ROUND(SUM(100*((2*E37+1.96^2)+(1.96*(SQRT(1.96^2+4*E37*(1-(E37/G37))))))/(2*(G37+1.96^2))),0)),"")))</f>
        <v>86 - 91</v>
      </c>
      <c r="E37" s="409">
        <v>495</v>
      </c>
      <c r="F37" s="729"/>
      <c r="G37" s="730">
        <v>556</v>
      </c>
      <c r="H37" s="731"/>
      <c r="I37" s="731"/>
      <c r="J37" s="731"/>
      <c r="K37" s="732"/>
      <c r="L37" s="366">
        <f t="shared" ref="L37:L46" si="15">SUM(1*MID(D37,1,FIND(" - ",D37)-1))</f>
        <v>86</v>
      </c>
      <c r="M37" s="365">
        <f t="shared" ref="M37:M46" si="16">SUM(1*MID(D37,FIND(" - ",D37)+2,LEN(D37)))</f>
        <v>91</v>
      </c>
      <c r="Q37" s="1"/>
    </row>
    <row r="38" spans="1:17" ht="15" customHeight="1">
      <c r="A38" s="1049"/>
      <c r="B38" s="60" t="s">
        <v>28</v>
      </c>
      <c r="C38" s="46">
        <f t="shared" si="13"/>
        <v>81.725888324873097</v>
      </c>
      <c r="D38" s="91" t="str">
        <f t="shared" si="14"/>
        <v>76 - 86</v>
      </c>
      <c r="E38" s="409">
        <v>161</v>
      </c>
      <c r="F38" s="729"/>
      <c r="G38" s="409">
        <v>197</v>
      </c>
      <c r="H38" s="733"/>
      <c r="I38" s="733"/>
      <c r="J38" s="733"/>
      <c r="K38" s="729"/>
      <c r="L38" s="361">
        <f t="shared" si="15"/>
        <v>76</v>
      </c>
      <c r="M38" s="360">
        <f t="shared" si="16"/>
        <v>86</v>
      </c>
      <c r="O38" s="364"/>
      <c r="P38" s="364"/>
      <c r="Q38" s="364"/>
    </row>
    <row r="39" spans="1:17" ht="15" customHeight="1">
      <c r="A39" s="1049"/>
      <c r="B39" s="60" t="s">
        <v>31</v>
      </c>
      <c r="C39" s="46">
        <f t="shared" si="13"/>
        <v>81.742738589211612</v>
      </c>
      <c r="D39" s="91" t="str">
        <f t="shared" si="14"/>
        <v>76 - 86</v>
      </c>
      <c r="E39" s="409">
        <v>197</v>
      </c>
      <c r="F39" s="729"/>
      <c r="G39" s="409">
        <v>241</v>
      </c>
      <c r="H39" s="733"/>
      <c r="I39" s="733"/>
      <c r="J39" s="733"/>
      <c r="K39" s="729"/>
      <c r="L39" s="361">
        <f t="shared" si="15"/>
        <v>76</v>
      </c>
      <c r="M39" s="360">
        <f t="shared" si="16"/>
        <v>86</v>
      </c>
      <c r="Q39" s="1"/>
    </row>
    <row r="40" spans="1:17" ht="15" customHeight="1">
      <c r="A40" s="1049"/>
      <c r="B40" s="60" t="s">
        <v>30</v>
      </c>
      <c r="C40" s="46">
        <f t="shared" si="13"/>
        <v>84.63073852295409</v>
      </c>
      <c r="D40" s="91" t="str">
        <f t="shared" si="14"/>
        <v>81 - 88</v>
      </c>
      <c r="E40" s="409">
        <v>424</v>
      </c>
      <c r="F40" s="729"/>
      <c r="G40" s="409">
        <v>501</v>
      </c>
      <c r="H40" s="733"/>
      <c r="I40" s="733"/>
      <c r="J40" s="733"/>
      <c r="K40" s="729"/>
      <c r="L40" s="361">
        <f t="shared" si="15"/>
        <v>81</v>
      </c>
      <c r="M40" s="360">
        <f t="shared" si="16"/>
        <v>88</v>
      </c>
    </row>
    <row r="41" spans="1:17" ht="15" customHeight="1">
      <c r="A41" s="1049"/>
      <c r="B41" s="60" t="s">
        <v>35</v>
      </c>
      <c r="C41" s="46">
        <f t="shared" si="13"/>
        <v>76.374745417515271</v>
      </c>
      <c r="D41" s="91" t="str">
        <f t="shared" si="14"/>
        <v>72 - 80</v>
      </c>
      <c r="E41" s="409">
        <v>375</v>
      </c>
      <c r="F41" s="729"/>
      <c r="G41" s="409">
        <v>491</v>
      </c>
      <c r="H41" s="733"/>
      <c r="I41" s="733"/>
      <c r="J41" s="733"/>
      <c r="K41" s="729"/>
      <c r="L41" s="361">
        <f t="shared" si="15"/>
        <v>72</v>
      </c>
      <c r="M41" s="360">
        <f t="shared" si="16"/>
        <v>80</v>
      </c>
    </row>
    <row r="42" spans="1:17" ht="15" customHeight="1">
      <c r="A42" s="1049"/>
      <c r="B42" s="60" t="s">
        <v>34</v>
      </c>
      <c r="C42" s="46">
        <f t="shared" si="13"/>
        <v>71.36498516320475</v>
      </c>
      <c r="D42" s="91" t="str">
        <f t="shared" si="14"/>
        <v>68 - 75</v>
      </c>
      <c r="E42" s="409">
        <v>481</v>
      </c>
      <c r="F42" s="729"/>
      <c r="G42" s="409">
        <v>674</v>
      </c>
      <c r="H42" s="733"/>
      <c r="I42" s="733"/>
      <c r="J42" s="733"/>
      <c r="K42" s="729"/>
      <c r="L42" s="361">
        <f t="shared" si="15"/>
        <v>68</v>
      </c>
      <c r="M42" s="360">
        <f t="shared" si="16"/>
        <v>75</v>
      </c>
    </row>
    <row r="43" spans="1:17" ht="15" customHeight="1">
      <c r="A43" s="1049"/>
      <c r="B43" s="60" t="s">
        <v>40</v>
      </c>
      <c r="C43" s="46">
        <f t="shared" si="13"/>
        <v>86.051080550098234</v>
      </c>
      <c r="D43" s="91" t="str">
        <f t="shared" si="14"/>
        <v>84 - 87</v>
      </c>
      <c r="E43" s="409">
        <v>1752</v>
      </c>
      <c r="F43" s="729"/>
      <c r="G43" s="409">
        <v>2036</v>
      </c>
      <c r="H43" s="733"/>
      <c r="I43" s="733"/>
      <c r="J43" s="733"/>
      <c r="K43" s="729"/>
      <c r="L43" s="361">
        <f t="shared" si="15"/>
        <v>84</v>
      </c>
      <c r="M43" s="360">
        <f t="shared" si="16"/>
        <v>87</v>
      </c>
    </row>
    <row r="44" spans="1:17" ht="15" customHeight="1">
      <c r="A44" s="1049"/>
      <c r="B44" s="60" t="s">
        <v>36</v>
      </c>
      <c r="C44" s="46">
        <f t="shared" si="13"/>
        <v>60.742705570291776</v>
      </c>
      <c r="D44" s="91" t="str">
        <f t="shared" si="14"/>
        <v>56 - 66</v>
      </c>
      <c r="E44" s="409">
        <v>229</v>
      </c>
      <c r="F44" s="729"/>
      <c r="G44" s="409">
        <v>377</v>
      </c>
      <c r="H44" s="733"/>
      <c r="I44" s="733"/>
      <c r="J44" s="733"/>
      <c r="K44" s="729"/>
      <c r="L44" s="361">
        <f t="shared" si="15"/>
        <v>56</v>
      </c>
      <c r="M44" s="360">
        <f t="shared" si="16"/>
        <v>66</v>
      </c>
    </row>
    <row r="45" spans="1:17" ht="15" customHeight="1">
      <c r="A45" s="1049"/>
      <c r="B45" s="60" t="s">
        <v>29</v>
      </c>
      <c r="C45" s="46">
        <f t="shared" si="13"/>
        <v>81.093935790725325</v>
      </c>
      <c r="D45" s="91" t="str">
        <f t="shared" si="14"/>
        <v>78 - 84</v>
      </c>
      <c r="E45" s="409">
        <v>682</v>
      </c>
      <c r="F45" s="729"/>
      <c r="G45" s="409">
        <v>841</v>
      </c>
      <c r="H45" s="733"/>
      <c r="I45" s="733"/>
      <c r="J45" s="733"/>
      <c r="K45" s="729"/>
      <c r="L45" s="361">
        <f t="shared" si="15"/>
        <v>78</v>
      </c>
      <c r="M45" s="360">
        <f t="shared" si="16"/>
        <v>84</v>
      </c>
    </row>
    <row r="46" spans="1:17" ht="15" customHeight="1">
      <c r="A46" s="1049"/>
      <c r="B46" s="60" t="s">
        <v>38</v>
      </c>
      <c r="C46" s="46">
        <f t="shared" si="13"/>
        <v>63.208369659982566</v>
      </c>
      <c r="D46" s="91" t="str">
        <f t="shared" si="14"/>
        <v>60 - 66</v>
      </c>
      <c r="E46" s="409">
        <v>725</v>
      </c>
      <c r="F46" s="729"/>
      <c r="G46" s="409">
        <v>1147</v>
      </c>
      <c r="H46" s="733"/>
      <c r="I46" s="733"/>
      <c r="J46" s="733"/>
      <c r="K46" s="729"/>
      <c r="L46" s="361">
        <f t="shared" si="15"/>
        <v>60</v>
      </c>
      <c r="M46" s="360">
        <f t="shared" si="16"/>
        <v>66</v>
      </c>
    </row>
    <row r="47" spans="1:17" ht="15" customHeight="1">
      <c r="A47" s="1049"/>
      <c r="B47" s="60" t="s">
        <v>41</v>
      </c>
      <c r="C47" s="46">
        <f t="shared" si="13"/>
        <v>69.230769230769226</v>
      </c>
      <c r="D47" s="91" t="str">
        <f t="shared" si="14"/>
        <v>50 - 83</v>
      </c>
      <c r="E47" s="409">
        <v>18</v>
      </c>
      <c r="F47" s="729"/>
      <c r="G47" s="409">
        <v>26</v>
      </c>
      <c r="H47" s="733"/>
      <c r="I47" s="733"/>
      <c r="J47" s="733"/>
      <c r="K47" s="729"/>
      <c r="L47" s="363"/>
      <c r="M47" s="362"/>
    </row>
    <row r="48" spans="1:17" ht="15" customHeight="1">
      <c r="A48" s="1049"/>
      <c r="B48" s="60" t="s">
        <v>39</v>
      </c>
      <c r="C48" s="46">
        <f t="shared" si="13"/>
        <v>100</v>
      </c>
      <c r="D48" s="91" t="str">
        <f t="shared" si="14"/>
        <v>89 - 100</v>
      </c>
      <c r="E48" s="409">
        <v>30</v>
      </c>
      <c r="F48" s="729"/>
      <c r="G48" s="409">
        <v>30</v>
      </c>
      <c r="H48" s="733"/>
      <c r="I48" s="733"/>
      <c r="J48" s="733"/>
      <c r="K48" s="729"/>
      <c r="L48" s="363"/>
      <c r="M48" s="362"/>
    </row>
    <row r="49" spans="1:13" ht="15" customHeight="1">
      <c r="A49" s="1049"/>
      <c r="B49" s="60" t="s">
        <v>32</v>
      </c>
      <c r="C49" s="46">
        <f t="shared" si="13"/>
        <v>77.068965517241381</v>
      </c>
      <c r="D49" s="91" t="str">
        <f t="shared" si="14"/>
        <v>73 - 80</v>
      </c>
      <c r="E49" s="409">
        <v>447</v>
      </c>
      <c r="F49" s="729"/>
      <c r="G49" s="409">
        <v>580</v>
      </c>
      <c r="H49" s="733"/>
      <c r="I49" s="733"/>
      <c r="J49" s="733"/>
      <c r="K49" s="729"/>
      <c r="L49" s="361">
        <f>SUM(1*MID(D49,1,FIND(" - ",D49)-1))</f>
        <v>73</v>
      </c>
      <c r="M49" s="360">
        <f>SUM(1*MID(D49,FIND(" - ",D49)+2,LEN(D49)))</f>
        <v>80</v>
      </c>
    </row>
    <row r="50" spans="1:13" ht="15" customHeight="1">
      <c r="A50" s="1050"/>
      <c r="B50" s="60" t="s">
        <v>37</v>
      </c>
      <c r="C50" s="46">
        <f t="shared" si="13"/>
        <v>90.625</v>
      </c>
      <c r="D50" s="91" t="str">
        <f t="shared" si="14"/>
        <v>76 - 97</v>
      </c>
      <c r="E50" s="409">
        <v>29</v>
      </c>
      <c r="F50" s="729"/>
      <c r="G50" s="409">
        <v>32</v>
      </c>
      <c r="H50" s="733"/>
      <c r="I50" s="733"/>
      <c r="J50" s="733"/>
      <c r="K50" s="729"/>
      <c r="L50" s="361">
        <f>SUM(1*MID(D50,1,FIND(" - ",D50)-1))</f>
        <v>76</v>
      </c>
      <c r="M50" s="360">
        <f>SUM(1*MID(D50,FIND(" - ",D50)+2,LEN(D50)))</f>
        <v>97</v>
      </c>
    </row>
    <row r="51" spans="1:13">
      <c r="A51" s="51"/>
      <c r="C51" s="34"/>
      <c r="D51" s="34"/>
      <c r="E51" s="34"/>
      <c r="F51" s="34"/>
      <c r="G51" s="34"/>
      <c r="H51" s="34"/>
    </row>
    <row r="52" spans="1:13">
      <c r="A52" s="51"/>
      <c r="C52" s="34"/>
      <c r="D52" s="34"/>
      <c r="E52" s="34"/>
      <c r="F52" s="34"/>
      <c r="G52" s="34"/>
      <c r="H52" s="34"/>
    </row>
    <row r="53" spans="1:13">
      <c r="A53" s="51"/>
      <c r="C53" s="34"/>
      <c r="D53" s="34"/>
      <c r="E53" s="34"/>
      <c r="F53" s="34"/>
      <c r="G53" s="34"/>
      <c r="H53" s="34"/>
    </row>
    <row r="54" spans="1:13">
      <c r="A54" s="51"/>
      <c r="C54" s="34"/>
      <c r="D54" s="34"/>
      <c r="E54" s="34"/>
      <c r="F54" s="34"/>
      <c r="G54" s="34"/>
      <c r="H54" s="34"/>
    </row>
    <row r="55" spans="1:13">
      <c r="A55" s="51"/>
      <c r="C55" s="34"/>
      <c r="D55" s="34"/>
      <c r="E55" s="34"/>
      <c r="F55" s="34"/>
      <c r="G55" s="34"/>
      <c r="H55" s="34"/>
    </row>
    <row r="56" spans="1:13">
      <c r="A56" s="51"/>
      <c r="C56" s="34"/>
      <c r="D56" s="34"/>
      <c r="E56" s="34"/>
      <c r="F56" s="34"/>
      <c r="G56" s="34"/>
      <c r="H56" s="34"/>
    </row>
    <row r="57" spans="1:13">
      <c r="A57" s="51"/>
      <c r="C57" s="34"/>
      <c r="D57" s="34"/>
      <c r="E57" s="34"/>
      <c r="F57" s="34"/>
      <c r="G57" s="34"/>
      <c r="H57" s="34"/>
    </row>
    <row r="58" spans="1:13">
      <c r="A58" s="51"/>
      <c r="C58" s="34"/>
      <c r="D58" s="34"/>
      <c r="E58" s="34"/>
      <c r="F58" s="34"/>
      <c r="G58" s="34"/>
      <c r="H58" s="34"/>
    </row>
  </sheetData>
  <sheetProtection password="B8D9" sheet="1" objects="1" scenarios="1"/>
  <sortState ref="A4:U32">
    <sortCondition descending="1" ref="F4:F32"/>
  </sortState>
  <mergeCells count="13">
    <mergeCell ref="A37:A50"/>
    <mergeCell ref="T1:U1"/>
    <mergeCell ref="A35:B35"/>
    <mergeCell ref="C35:K35"/>
    <mergeCell ref="L35:M35"/>
    <mergeCell ref="E36:F36"/>
    <mergeCell ref="G36:K36"/>
    <mergeCell ref="A1:B1"/>
    <mergeCell ref="C1:G1"/>
    <mergeCell ref="L1:M1"/>
    <mergeCell ref="N1:O1"/>
    <mergeCell ref="P1:Q1"/>
    <mergeCell ref="R1:S1"/>
  </mergeCells>
  <pageMargins left="0.70866141732283472" right="0.70866141732283472" top="0.74803149606299213" bottom="0.74803149606299213" header="0.31496062992125984" footer="0.31496062992125984"/>
  <pageSetup paperSize="9" scale="58"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78.xml><?xml version="1.0" encoding="utf-8"?>
<worksheet xmlns="http://schemas.openxmlformats.org/spreadsheetml/2006/main" xmlns:r="http://schemas.openxmlformats.org/officeDocument/2006/relationships">
  <sheetPr codeName="Sheet68"/>
  <dimension ref="A1:C103"/>
  <sheetViews>
    <sheetView workbookViewId="0"/>
  </sheetViews>
  <sheetFormatPr defaultRowHeight="12.75"/>
  <cols>
    <col min="1" max="1" width="9.140625" style="347"/>
    <col min="2" max="3" width="10.7109375" style="347" customWidth="1"/>
    <col min="4" max="257" width="9.140625" style="347"/>
    <col min="258" max="259" width="10.7109375" style="347" customWidth="1"/>
    <col min="260" max="513" width="9.140625" style="347"/>
    <col min="514" max="515" width="10.7109375" style="347" customWidth="1"/>
    <col min="516" max="769" width="9.140625" style="347"/>
    <col min="770" max="771" width="10.7109375" style="347" customWidth="1"/>
    <col min="772" max="1025" width="9.140625" style="347"/>
    <col min="1026" max="1027" width="10.7109375" style="347" customWidth="1"/>
    <col min="1028" max="1281" width="9.140625" style="347"/>
    <col min="1282" max="1283" width="10.7109375" style="347" customWidth="1"/>
    <col min="1284" max="1537" width="9.140625" style="347"/>
    <col min="1538" max="1539" width="10.7109375" style="347" customWidth="1"/>
    <col min="1540" max="1793" width="9.140625" style="347"/>
    <col min="1794" max="1795" width="10.7109375" style="347" customWidth="1"/>
    <col min="1796" max="2049" width="9.140625" style="347"/>
    <col min="2050" max="2051" width="10.7109375" style="347" customWidth="1"/>
    <col min="2052" max="2305" width="9.140625" style="347"/>
    <col min="2306" max="2307" width="10.7109375" style="347" customWidth="1"/>
    <col min="2308" max="2561" width="9.140625" style="347"/>
    <col min="2562" max="2563" width="10.7109375" style="347" customWidth="1"/>
    <col min="2564" max="2817" width="9.140625" style="347"/>
    <col min="2818" max="2819" width="10.7109375" style="347" customWidth="1"/>
    <col min="2820" max="3073" width="9.140625" style="347"/>
    <col min="3074" max="3075" width="10.7109375" style="347" customWidth="1"/>
    <col min="3076" max="3329" width="9.140625" style="347"/>
    <col min="3330" max="3331" width="10.7109375" style="347" customWidth="1"/>
    <col min="3332" max="3585" width="9.140625" style="347"/>
    <col min="3586" max="3587" width="10.7109375" style="347" customWidth="1"/>
    <col min="3588" max="3841" width="9.140625" style="347"/>
    <col min="3842" max="3843" width="10.7109375" style="347" customWidth="1"/>
    <col min="3844" max="4097" width="9.140625" style="347"/>
    <col min="4098" max="4099" width="10.7109375" style="347" customWidth="1"/>
    <col min="4100" max="4353" width="9.140625" style="347"/>
    <col min="4354" max="4355" width="10.7109375" style="347" customWidth="1"/>
    <col min="4356" max="4609" width="9.140625" style="347"/>
    <col min="4610" max="4611" width="10.7109375" style="347" customWidth="1"/>
    <col min="4612" max="4865" width="9.140625" style="347"/>
    <col min="4866" max="4867" width="10.7109375" style="347" customWidth="1"/>
    <col min="4868" max="5121" width="9.140625" style="347"/>
    <col min="5122" max="5123" width="10.7109375" style="347" customWidth="1"/>
    <col min="5124" max="5377" width="9.140625" style="347"/>
    <col min="5378" max="5379" width="10.7109375" style="347" customWidth="1"/>
    <col min="5380" max="5633" width="9.140625" style="347"/>
    <col min="5634" max="5635" width="10.7109375" style="347" customWidth="1"/>
    <col min="5636" max="5889" width="9.140625" style="347"/>
    <col min="5890" max="5891" width="10.7109375" style="347" customWidth="1"/>
    <col min="5892" max="6145" width="9.140625" style="347"/>
    <col min="6146" max="6147" width="10.7109375" style="347" customWidth="1"/>
    <col min="6148" max="6401" width="9.140625" style="347"/>
    <col min="6402" max="6403" width="10.7109375" style="347" customWidth="1"/>
    <col min="6404" max="6657" width="9.140625" style="347"/>
    <col min="6658" max="6659" width="10.7109375" style="347" customWidth="1"/>
    <col min="6660" max="6913" width="9.140625" style="347"/>
    <col min="6914" max="6915" width="10.7109375" style="347" customWidth="1"/>
    <col min="6916" max="7169" width="9.140625" style="347"/>
    <col min="7170" max="7171" width="10.7109375" style="347" customWidth="1"/>
    <col min="7172" max="7425" width="9.140625" style="347"/>
    <col min="7426" max="7427" width="10.7109375" style="347" customWidth="1"/>
    <col min="7428" max="7681" width="9.140625" style="347"/>
    <col min="7682" max="7683" width="10.7109375" style="347" customWidth="1"/>
    <col min="7684" max="7937" width="9.140625" style="347"/>
    <col min="7938" max="7939" width="10.7109375" style="347" customWidth="1"/>
    <col min="7940" max="8193" width="9.140625" style="347"/>
    <col min="8194" max="8195" width="10.7109375" style="347" customWidth="1"/>
    <col min="8196" max="8449" width="9.140625" style="347"/>
    <col min="8450" max="8451" width="10.7109375" style="347" customWidth="1"/>
    <col min="8452" max="8705" width="9.140625" style="347"/>
    <col min="8706" max="8707" width="10.7109375" style="347" customWidth="1"/>
    <col min="8708" max="8961" width="9.140625" style="347"/>
    <col min="8962" max="8963" width="10.7109375" style="347" customWidth="1"/>
    <col min="8964" max="9217" width="9.140625" style="347"/>
    <col min="9218" max="9219" width="10.7109375" style="347" customWidth="1"/>
    <col min="9220" max="9473" width="9.140625" style="347"/>
    <col min="9474" max="9475" width="10.7109375" style="347" customWidth="1"/>
    <col min="9476" max="9729" width="9.140625" style="347"/>
    <col min="9730" max="9731" width="10.7109375" style="347" customWidth="1"/>
    <col min="9732" max="9985" width="9.140625" style="347"/>
    <col min="9986" max="9987" width="10.7109375" style="347" customWidth="1"/>
    <col min="9988" max="10241" width="9.140625" style="347"/>
    <col min="10242" max="10243" width="10.7109375" style="347" customWidth="1"/>
    <col min="10244" max="10497" width="9.140625" style="347"/>
    <col min="10498" max="10499" width="10.7109375" style="347" customWidth="1"/>
    <col min="10500" max="10753" width="9.140625" style="347"/>
    <col min="10754" max="10755" width="10.7109375" style="347" customWidth="1"/>
    <col min="10756" max="11009" width="9.140625" style="347"/>
    <col min="11010" max="11011" width="10.7109375" style="347" customWidth="1"/>
    <col min="11012" max="11265" width="9.140625" style="347"/>
    <col min="11266" max="11267" width="10.7109375" style="347" customWidth="1"/>
    <col min="11268" max="11521" width="9.140625" style="347"/>
    <col min="11522" max="11523" width="10.7109375" style="347" customWidth="1"/>
    <col min="11524" max="11777" width="9.140625" style="347"/>
    <col min="11778" max="11779" width="10.7109375" style="347" customWidth="1"/>
    <col min="11780" max="12033" width="9.140625" style="347"/>
    <col min="12034" max="12035" width="10.7109375" style="347" customWidth="1"/>
    <col min="12036" max="12289" width="9.140625" style="347"/>
    <col min="12290" max="12291" width="10.7109375" style="347" customWidth="1"/>
    <col min="12292" max="12545" width="9.140625" style="347"/>
    <col min="12546" max="12547" width="10.7109375" style="347" customWidth="1"/>
    <col min="12548" max="12801" width="9.140625" style="347"/>
    <col min="12802" max="12803" width="10.7109375" style="347" customWidth="1"/>
    <col min="12804" max="13057" width="9.140625" style="347"/>
    <col min="13058" max="13059" width="10.7109375" style="347" customWidth="1"/>
    <col min="13060" max="13313" width="9.140625" style="347"/>
    <col min="13314" max="13315" width="10.7109375" style="347" customWidth="1"/>
    <col min="13316" max="13569" width="9.140625" style="347"/>
    <col min="13570" max="13571" width="10.7109375" style="347" customWidth="1"/>
    <col min="13572" max="13825" width="9.140625" style="347"/>
    <col min="13826" max="13827" width="10.7109375" style="347" customWidth="1"/>
    <col min="13828" max="14081" width="9.140625" style="347"/>
    <col min="14082" max="14083" width="10.7109375" style="347" customWidth="1"/>
    <col min="14084" max="14337" width="9.140625" style="347"/>
    <col min="14338" max="14339" width="10.7109375" style="347" customWidth="1"/>
    <col min="14340" max="14593" width="9.140625" style="347"/>
    <col min="14594" max="14595" width="10.7109375" style="347" customWidth="1"/>
    <col min="14596" max="14849" width="9.140625" style="347"/>
    <col min="14850" max="14851" width="10.7109375" style="347" customWidth="1"/>
    <col min="14852" max="15105" width="9.140625" style="347"/>
    <col min="15106" max="15107" width="10.7109375" style="347" customWidth="1"/>
    <col min="15108" max="15361" width="9.140625" style="347"/>
    <col min="15362" max="15363" width="10.7109375" style="347" customWidth="1"/>
    <col min="15364" max="15617" width="9.140625" style="347"/>
    <col min="15618" max="15619" width="10.7109375" style="347" customWidth="1"/>
    <col min="15620" max="15873" width="9.140625" style="347"/>
    <col min="15874" max="15875" width="10.7109375" style="347" customWidth="1"/>
    <col min="15876" max="16129" width="9.140625" style="347"/>
    <col min="16130" max="16131" width="10.7109375" style="347" customWidth="1"/>
    <col min="16132" max="16384" width="9.140625" style="347"/>
  </cols>
  <sheetData>
    <row r="1" spans="1:3">
      <c r="A1" s="347" t="s">
        <v>311</v>
      </c>
    </row>
    <row r="3" spans="1:3" ht="38.25">
      <c r="A3" s="348" t="s">
        <v>312</v>
      </c>
      <c r="B3" s="348" t="s">
        <v>313</v>
      </c>
      <c r="C3" s="348" t="s">
        <v>314</v>
      </c>
    </row>
    <row r="4" spans="1:3">
      <c r="A4" s="288">
        <v>0</v>
      </c>
      <c r="B4" s="288">
        <v>0</v>
      </c>
      <c r="C4" s="288">
        <v>2.9956999999999998</v>
      </c>
    </row>
    <row r="5" spans="1:3">
      <c r="A5" s="288">
        <v>1</v>
      </c>
      <c r="B5" s="288">
        <v>2.53E-2</v>
      </c>
      <c r="C5" s="288">
        <v>5.5716000000000001</v>
      </c>
    </row>
    <row r="6" spans="1:3">
      <c r="A6" s="288">
        <v>2</v>
      </c>
      <c r="B6" s="288">
        <v>0.2422</v>
      </c>
      <c r="C6" s="288">
        <v>7.2247000000000003</v>
      </c>
    </row>
    <row r="7" spans="1:3">
      <c r="A7" s="288">
        <v>3</v>
      </c>
      <c r="B7" s="288">
        <v>0.61870000000000003</v>
      </c>
      <c r="C7" s="288">
        <v>8.7673000000000005</v>
      </c>
    </row>
    <row r="8" spans="1:3">
      <c r="A8" s="288">
        <v>4</v>
      </c>
      <c r="B8" s="288">
        <v>1.0899000000000001</v>
      </c>
      <c r="C8" s="288">
        <v>10.2416</v>
      </c>
    </row>
    <row r="9" spans="1:3">
      <c r="A9" s="288">
        <v>5</v>
      </c>
      <c r="B9" s="288">
        <v>1.6234999999999999</v>
      </c>
      <c r="C9" s="288">
        <v>11.6683</v>
      </c>
    </row>
    <row r="10" spans="1:3">
      <c r="A10" s="288">
        <v>6</v>
      </c>
      <c r="B10" s="288">
        <v>2.2019000000000002</v>
      </c>
      <c r="C10" s="288">
        <v>13.0595</v>
      </c>
    </row>
    <row r="11" spans="1:3">
      <c r="A11" s="288">
        <v>7</v>
      </c>
      <c r="B11" s="288">
        <v>2.8144</v>
      </c>
      <c r="C11" s="288">
        <v>14.422700000000001</v>
      </c>
    </row>
    <row r="12" spans="1:3">
      <c r="A12" s="288">
        <v>8</v>
      </c>
      <c r="B12" s="288">
        <v>3.4538000000000002</v>
      </c>
      <c r="C12" s="288">
        <v>15.763199999999999</v>
      </c>
    </row>
    <row r="13" spans="1:3">
      <c r="A13" s="288">
        <v>9</v>
      </c>
      <c r="B13" s="288">
        <v>4.1154000000000002</v>
      </c>
      <c r="C13" s="288">
        <v>17.084800000000001</v>
      </c>
    </row>
    <row r="14" spans="1:3">
      <c r="A14" s="288">
        <v>10</v>
      </c>
      <c r="B14" s="288">
        <v>4.7953999999999999</v>
      </c>
      <c r="C14" s="288">
        <v>18.3904</v>
      </c>
    </row>
    <row r="15" spans="1:3">
      <c r="A15" s="288">
        <v>11</v>
      </c>
      <c r="B15" s="288">
        <v>5.4912000000000001</v>
      </c>
      <c r="C15" s="288">
        <v>19.681999999999999</v>
      </c>
    </row>
    <row r="16" spans="1:3">
      <c r="A16" s="288">
        <v>12</v>
      </c>
      <c r="B16" s="288">
        <v>6.2005999999999997</v>
      </c>
      <c r="C16" s="288">
        <v>20.961600000000001</v>
      </c>
    </row>
    <row r="17" spans="1:3">
      <c r="A17" s="288">
        <v>13</v>
      </c>
      <c r="B17" s="288">
        <v>6.9219999999999997</v>
      </c>
      <c r="C17" s="288">
        <v>22.230399999999999</v>
      </c>
    </row>
    <row r="18" spans="1:3">
      <c r="A18" s="288">
        <v>14</v>
      </c>
      <c r="B18" s="288">
        <v>7.6539000000000001</v>
      </c>
      <c r="C18" s="288">
        <v>23.489599999999999</v>
      </c>
    </row>
    <row r="19" spans="1:3">
      <c r="A19" s="288">
        <v>15</v>
      </c>
      <c r="B19" s="288">
        <v>8.3954000000000004</v>
      </c>
      <c r="C19" s="288">
        <v>24.740200000000002</v>
      </c>
    </row>
    <row r="20" spans="1:3">
      <c r="A20" s="288">
        <v>16</v>
      </c>
      <c r="B20" s="288">
        <v>9.1454000000000004</v>
      </c>
      <c r="C20" s="288">
        <v>25.983000000000001</v>
      </c>
    </row>
    <row r="21" spans="1:3">
      <c r="A21" s="288">
        <v>17</v>
      </c>
      <c r="B21" s="288">
        <v>9.9031000000000002</v>
      </c>
      <c r="C21" s="288">
        <v>27.218599999999999</v>
      </c>
    </row>
    <row r="22" spans="1:3">
      <c r="A22" s="288">
        <v>18</v>
      </c>
      <c r="B22" s="288">
        <v>10.667899999999999</v>
      </c>
      <c r="C22" s="288">
        <v>28.447800000000001</v>
      </c>
    </row>
    <row r="23" spans="1:3">
      <c r="A23" s="288">
        <v>19</v>
      </c>
      <c r="B23" s="288">
        <v>11.4392</v>
      </c>
      <c r="C23" s="288">
        <v>29.6709</v>
      </c>
    </row>
    <row r="24" spans="1:3">
      <c r="A24" s="288">
        <v>20</v>
      </c>
      <c r="B24" s="288">
        <v>12.2165</v>
      </c>
      <c r="C24" s="288">
        <v>30.888400000000001</v>
      </c>
    </row>
    <row r="25" spans="1:3">
      <c r="A25" s="288">
        <v>21</v>
      </c>
      <c r="B25" s="288">
        <v>12.9993</v>
      </c>
      <c r="C25" s="288">
        <v>32.100700000000003</v>
      </c>
    </row>
    <row r="26" spans="1:3">
      <c r="A26" s="288">
        <v>22</v>
      </c>
      <c r="B26" s="288">
        <v>13.7873</v>
      </c>
      <c r="C26" s="288">
        <v>33.308300000000003</v>
      </c>
    </row>
    <row r="27" spans="1:3">
      <c r="A27" s="288">
        <v>23</v>
      </c>
      <c r="B27" s="288">
        <v>14.58</v>
      </c>
      <c r="C27" s="288">
        <v>34.511299999999999</v>
      </c>
    </row>
    <row r="28" spans="1:3">
      <c r="A28" s="288">
        <v>24</v>
      </c>
      <c r="B28" s="288">
        <v>15.3773</v>
      </c>
      <c r="C28" s="288">
        <v>35.710099999999997</v>
      </c>
    </row>
    <row r="29" spans="1:3">
      <c r="A29" s="288">
        <v>25</v>
      </c>
      <c r="B29" s="288">
        <v>16.178699999999999</v>
      </c>
      <c r="C29" s="288">
        <v>36.904899999999998</v>
      </c>
    </row>
    <row r="30" spans="1:3">
      <c r="A30" s="288">
        <v>26</v>
      </c>
      <c r="B30" s="288">
        <v>16.984100000000002</v>
      </c>
      <c r="C30" s="288">
        <v>38.095999999999997</v>
      </c>
    </row>
    <row r="31" spans="1:3">
      <c r="A31" s="288">
        <v>27</v>
      </c>
      <c r="B31" s="288">
        <v>17.793199999999999</v>
      </c>
      <c r="C31" s="288">
        <v>39.2836</v>
      </c>
    </row>
    <row r="32" spans="1:3">
      <c r="A32" s="288">
        <v>28</v>
      </c>
      <c r="B32" s="288">
        <v>18.605799999999999</v>
      </c>
      <c r="C32" s="288">
        <v>40.467799999999997</v>
      </c>
    </row>
    <row r="33" spans="1:3">
      <c r="A33" s="288">
        <v>29</v>
      </c>
      <c r="B33" s="288">
        <v>19.421800000000001</v>
      </c>
      <c r="C33" s="288">
        <v>41.648800000000001</v>
      </c>
    </row>
    <row r="34" spans="1:3">
      <c r="A34" s="288">
        <v>30</v>
      </c>
      <c r="B34" s="288">
        <v>20.2409</v>
      </c>
      <c r="C34" s="288">
        <v>42.826900000000002</v>
      </c>
    </row>
    <row r="35" spans="1:3">
      <c r="A35" s="288">
        <v>31</v>
      </c>
      <c r="B35" s="288">
        <v>21.062999999999999</v>
      </c>
      <c r="C35" s="288">
        <v>44.002000000000002</v>
      </c>
    </row>
    <row r="36" spans="1:3">
      <c r="A36" s="288">
        <v>32</v>
      </c>
      <c r="B36" s="288">
        <v>21.888000000000002</v>
      </c>
      <c r="C36" s="288">
        <v>45.174500000000002</v>
      </c>
    </row>
    <row r="37" spans="1:3">
      <c r="A37" s="288">
        <v>33</v>
      </c>
      <c r="B37" s="288">
        <v>22.715699999999998</v>
      </c>
      <c r="C37" s="288">
        <v>46.344299999999997</v>
      </c>
    </row>
    <row r="38" spans="1:3">
      <c r="A38" s="288">
        <v>34</v>
      </c>
      <c r="B38" s="288">
        <v>23.545999999999999</v>
      </c>
      <c r="C38" s="288">
        <v>47.511600000000001</v>
      </c>
    </row>
    <row r="39" spans="1:3">
      <c r="A39" s="288">
        <v>35</v>
      </c>
      <c r="B39" s="288">
        <v>24.378799999999998</v>
      </c>
      <c r="C39" s="288">
        <v>48.676499999999997</v>
      </c>
    </row>
    <row r="40" spans="1:3">
      <c r="A40" s="288">
        <v>36</v>
      </c>
      <c r="B40" s="288">
        <v>25.213999999999999</v>
      </c>
      <c r="C40" s="288">
        <v>49.839199999999998</v>
      </c>
    </row>
    <row r="41" spans="1:3">
      <c r="A41" s="288">
        <v>37</v>
      </c>
      <c r="B41" s="288">
        <v>26.051400000000001</v>
      </c>
      <c r="C41" s="288">
        <v>50.999600000000001</v>
      </c>
    </row>
    <row r="42" spans="1:3">
      <c r="A42" s="288">
        <v>38</v>
      </c>
      <c r="B42" s="288">
        <v>26.891100000000002</v>
      </c>
      <c r="C42" s="288">
        <v>52.158000000000001</v>
      </c>
    </row>
    <row r="43" spans="1:3">
      <c r="A43" s="288">
        <v>39</v>
      </c>
      <c r="B43" s="288">
        <v>27.732800000000001</v>
      </c>
      <c r="C43" s="288">
        <v>53.314300000000003</v>
      </c>
    </row>
    <row r="44" spans="1:3">
      <c r="A44" s="288">
        <v>40</v>
      </c>
      <c r="B44" s="288">
        <v>28.576599999999999</v>
      </c>
      <c r="C44" s="288">
        <v>54.468600000000002</v>
      </c>
    </row>
    <row r="45" spans="1:3">
      <c r="A45" s="288">
        <v>41</v>
      </c>
      <c r="B45" s="288">
        <v>29.4223</v>
      </c>
      <c r="C45" s="288">
        <v>55.621099999999998</v>
      </c>
    </row>
    <row r="46" spans="1:3">
      <c r="A46" s="288">
        <v>42</v>
      </c>
      <c r="B46" s="288">
        <v>30.2699</v>
      </c>
      <c r="C46" s="288">
        <v>56.771799999999999</v>
      </c>
    </row>
    <row r="47" spans="1:3">
      <c r="A47" s="288">
        <v>43</v>
      </c>
      <c r="B47" s="288">
        <v>31.119299999999999</v>
      </c>
      <c r="C47" s="288">
        <v>57.920699999999997</v>
      </c>
    </row>
    <row r="48" spans="1:3">
      <c r="A48" s="288">
        <v>44</v>
      </c>
      <c r="B48" s="288">
        <v>31.970500000000001</v>
      </c>
      <c r="C48" s="288">
        <v>59.067900000000002</v>
      </c>
    </row>
    <row r="49" spans="1:3">
      <c r="A49" s="288">
        <v>45</v>
      </c>
      <c r="B49" s="288">
        <v>32.823300000000003</v>
      </c>
      <c r="C49" s="288">
        <v>60.213500000000003</v>
      </c>
    </row>
    <row r="50" spans="1:3">
      <c r="A50" s="288">
        <v>46</v>
      </c>
      <c r="B50" s="288">
        <v>33.677799999999998</v>
      </c>
      <c r="C50" s="288">
        <v>61.357999999999997</v>
      </c>
    </row>
    <row r="51" spans="1:3">
      <c r="A51" s="288">
        <v>47</v>
      </c>
      <c r="B51" s="288">
        <v>34.533799999999999</v>
      </c>
      <c r="C51" s="288">
        <v>62.5</v>
      </c>
    </row>
    <row r="52" spans="1:3">
      <c r="A52" s="288">
        <v>48</v>
      </c>
      <c r="B52" s="288">
        <v>35.391399999999997</v>
      </c>
      <c r="C52" s="288">
        <v>63.640999999999998</v>
      </c>
    </row>
    <row r="53" spans="1:3">
      <c r="A53" s="288">
        <v>49</v>
      </c>
      <c r="B53" s="288">
        <v>36.250500000000002</v>
      </c>
      <c r="C53" s="288">
        <v>64.781000000000006</v>
      </c>
    </row>
    <row r="54" spans="1:3">
      <c r="A54" s="288">
        <v>50</v>
      </c>
      <c r="B54" s="288">
        <v>37.110999999999997</v>
      </c>
      <c r="C54" s="288">
        <v>65.918999999999997</v>
      </c>
    </row>
    <row r="55" spans="1:3">
      <c r="A55" s="288">
        <v>51</v>
      </c>
      <c r="B55" s="288">
        <v>37.972799999999999</v>
      </c>
      <c r="C55" s="288">
        <v>67.055999999999997</v>
      </c>
    </row>
    <row r="56" spans="1:3">
      <c r="A56" s="288">
        <v>52</v>
      </c>
      <c r="B56" s="288">
        <v>38.836100000000002</v>
      </c>
      <c r="C56" s="288">
        <v>68.191000000000003</v>
      </c>
    </row>
    <row r="57" spans="1:3">
      <c r="A57" s="288">
        <v>53</v>
      </c>
      <c r="B57" s="288">
        <v>39.700600000000001</v>
      </c>
      <c r="C57" s="288">
        <v>69.325000000000003</v>
      </c>
    </row>
    <row r="58" spans="1:3">
      <c r="A58" s="288">
        <v>54</v>
      </c>
      <c r="B58" s="288">
        <v>40.566499999999998</v>
      </c>
      <c r="C58" s="288">
        <v>70.457999999999998</v>
      </c>
    </row>
    <row r="59" spans="1:3">
      <c r="A59" s="288">
        <v>55</v>
      </c>
      <c r="B59" s="288">
        <v>41.433500000000002</v>
      </c>
      <c r="C59" s="288">
        <v>71.59</v>
      </c>
    </row>
    <row r="60" spans="1:3">
      <c r="A60" s="288">
        <v>56</v>
      </c>
      <c r="B60" s="288">
        <v>42.3018</v>
      </c>
      <c r="C60" s="288">
        <v>72.721000000000004</v>
      </c>
    </row>
    <row r="61" spans="1:3">
      <c r="A61" s="288">
        <v>57</v>
      </c>
      <c r="B61" s="288">
        <v>43.171199999999999</v>
      </c>
      <c r="C61" s="288">
        <v>73.849999999999994</v>
      </c>
    </row>
    <row r="62" spans="1:3">
      <c r="A62" s="288">
        <v>58</v>
      </c>
      <c r="B62" s="288">
        <v>44.041800000000002</v>
      </c>
      <c r="C62" s="288">
        <v>74.977999999999994</v>
      </c>
    </row>
    <row r="63" spans="1:3">
      <c r="A63" s="288">
        <v>59</v>
      </c>
      <c r="B63" s="288">
        <v>44.913499999999999</v>
      </c>
      <c r="C63" s="288">
        <v>76.105999999999995</v>
      </c>
    </row>
    <row r="64" spans="1:3">
      <c r="A64" s="288">
        <v>60</v>
      </c>
      <c r="B64" s="288">
        <v>45.786299999999997</v>
      </c>
      <c r="C64" s="288">
        <v>77.231999999999999</v>
      </c>
    </row>
    <row r="65" spans="1:3">
      <c r="A65" s="288">
        <v>61</v>
      </c>
      <c r="B65" s="288">
        <v>46.660200000000003</v>
      </c>
      <c r="C65" s="288">
        <v>78.356999999999999</v>
      </c>
    </row>
    <row r="66" spans="1:3">
      <c r="A66" s="288">
        <v>62</v>
      </c>
      <c r="B66" s="288">
        <v>47.534999999999997</v>
      </c>
      <c r="C66" s="288">
        <v>79.480999999999995</v>
      </c>
    </row>
    <row r="67" spans="1:3">
      <c r="A67" s="288">
        <v>63</v>
      </c>
      <c r="B67" s="288">
        <v>48.410899999999998</v>
      </c>
      <c r="C67" s="288">
        <v>80.603999999999999</v>
      </c>
    </row>
    <row r="68" spans="1:3">
      <c r="A68" s="288">
        <v>64</v>
      </c>
      <c r="B68" s="288">
        <v>49.287799999999997</v>
      </c>
      <c r="C68" s="288">
        <v>81.727000000000004</v>
      </c>
    </row>
    <row r="69" spans="1:3">
      <c r="A69" s="288">
        <v>65</v>
      </c>
      <c r="B69" s="288">
        <v>50.165599999999998</v>
      </c>
      <c r="C69" s="288">
        <v>82.847999999999999</v>
      </c>
    </row>
    <row r="70" spans="1:3">
      <c r="A70" s="288">
        <v>66</v>
      </c>
      <c r="B70" s="288">
        <v>51.044400000000003</v>
      </c>
      <c r="C70" s="288">
        <v>83.968000000000004</v>
      </c>
    </row>
    <row r="71" spans="1:3">
      <c r="A71" s="288">
        <v>67</v>
      </c>
      <c r="B71" s="288">
        <v>51.924100000000003</v>
      </c>
      <c r="C71" s="288">
        <v>85.087999999999994</v>
      </c>
    </row>
    <row r="72" spans="1:3">
      <c r="A72" s="288">
        <v>68</v>
      </c>
      <c r="B72" s="288">
        <v>52.804699999999997</v>
      </c>
      <c r="C72" s="288">
        <v>86.206000000000003</v>
      </c>
    </row>
    <row r="73" spans="1:3">
      <c r="A73" s="288">
        <v>69</v>
      </c>
      <c r="B73" s="288">
        <v>53.686100000000003</v>
      </c>
      <c r="C73" s="288">
        <v>87.323999999999998</v>
      </c>
    </row>
    <row r="74" spans="1:3">
      <c r="A74" s="288">
        <v>70</v>
      </c>
      <c r="B74" s="288">
        <v>54.568399999999997</v>
      </c>
      <c r="C74" s="288">
        <v>88.441000000000003</v>
      </c>
    </row>
    <row r="75" spans="1:3">
      <c r="A75" s="288">
        <v>71</v>
      </c>
      <c r="B75" s="288">
        <v>55.451599999999999</v>
      </c>
      <c r="C75" s="288">
        <v>89.557000000000002</v>
      </c>
    </row>
    <row r="76" spans="1:3">
      <c r="A76" s="288">
        <v>72</v>
      </c>
      <c r="B76" s="288">
        <v>56.335599999999999</v>
      </c>
      <c r="C76" s="288">
        <v>90.671999999999997</v>
      </c>
    </row>
    <row r="77" spans="1:3">
      <c r="A77" s="288">
        <v>73</v>
      </c>
      <c r="B77" s="288">
        <v>57.220300000000002</v>
      </c>
      <c r="C77" s="288">
        <v>91.787000000000006</v>
      </c>
    </row>
    <row r="78" spans="1:3">
      <c r="A78" s="288">
        <v>74</v>
      </c>
      <c r="B78" s="288">
        <v>58.105899999999998</v>
      </c>
      <c r="C78" s="288">
        <v>92.9</v>
      </c>
    </row>
    <row r="79" spans="1:3">
      <c r="A79" s="288">
        <v>75</v>
      </c>
      <c r="B79" s="288">
        <v>58.9923</v>
      </c>
      <c r="C79" s="288">
        <v>94.013000000000005</v>
      </c>
    </row>
    <row r="80" spans="1:3">
      <c r="A80" s="288">
        <v>76</v>
      </c>
      <c r="B80" s="288">
        <v>59.879399999999997</v>
      </c>
      <c r="C80" s="288">
        <v>95.125</v>
      </c>
    </row>
    <row r="81" spans="1:3">
      <c r="A81" s="288">
        <v>77</v>
      </c>
      <c r="B81" s="288">
        <v>60.767200000000003</v>
      </c>
      <c r="C81" s="288">
        <v>96.236999999999995</v>
      </c>
    </row>
    <row r="82" spans="1:3">
      <c r="A82" s="288">
        <v>78</v>
      </c>
      <c r="B82" s="288">
        <v>61.655799999999999</v>
      </c>
      <c r="C82" s="288">
        <v>97.347999999999999</v>
      </c>
    </row>
    <row r="83" spans="1:3">
      <c r="A83" s="288">
        <v>79</v>
      </c>
      <c r="B83" s="288">
        <v>62.545000000000002</v>
      </c>
      <c r="C83" s="288">
        <v>98.457999999999998</v>
      </c>
    </row>
    <row r="84" spans="1:3">
      <c r="A84" s="288">
        <v>80</v>
      </c>
      <c r="B84" s="288">
        <v>63.435000000000002</v>
      </c>
      <c r="C84" s="288">
        <v>99.566999999999993</v>
      </c>
    </row>
    <row r="85" spans="1:3">
      <c r="A85" s="288">
        <v>81</v>
      </c>
      <c r="B85" s="288">
        <v>64.325699999999998</v>
      </c>
      <c r="C85" s="288">
        <v>100.676</v>
      </c>
    </row>
    <row r="86" spans="1:3">
      <c r="A86" s="288">
        <v>82</v>
      </c>
      <c r="B86" s="288">
        <v>65.216999999999999</v>
      </c>
      <c r="C86" s="288">
        <v>101.78400000000001</v>
      </c>
    </row>
    <row r="87" spans="1:3">
      <c r="A87" s="288">
        <v>83</v>
      </c>
      <c r="B87" s="288">
        <v>66.108999999999995</v>
      </c>
      <c r="C87" s="288">
        <v>102.89100000000001</v>
      </c>
    </row>
    <row r="88" spans="1:3">
      <c r="A88" s="288">
        <v>84</v>
      </c>
      <c r="B88" s="288">
        <v>67.0017</v>
      </c>
      <c r="C88" s="288">
        <v>103.998</v>
      </c>
    </row>
    <row r="89" spans="1:3">
      <c r="A89" s="288">
        <v>85</v>
      </c>
      <c r="B89" s="288">
        <v>67.894999999999996</v>
      </c>
      <c r="C89" s="288">
        <v>105.104</v>
      </c>
    </row>
    <row r="90" spans="1:3">
      <c r="A90" s="288">
        <v>86</v>
      </c>
      <c r="B90" s="288">
        <v>68.788899999999998</v>
      </c>
      <c r="C90" s="288">
        <v>106.209</v>
      </c>
    </row>
    <row r="91" spans="1:3">
      <c r="A91" s="288">
        <v>87</v>
      </c>
      <c r="B91" s="288">
        <v>69.683400000000006</v>
      </c>
      <c r="C91" s="288">
        <v>107.31399999999999</v>
      </c>
    </row>
    <row r="92" spans="1:3">
      <c r="A92" s="288">
        <v>88</v>
      </c>
      <c r="B92" s="288">
        <v>70.578599999999994</v>
      </c>
      <c r="C92" s="288">
        <v>108.41800000000001</v>
      </c>
    </row>
    <row r="93" spans="1:3">
      <c r="A93" s="288">
        <v>89</v>
      </c>
      <c r="B93" s="288">
        <v>71.474299999999999</v>
      </c>
      <c r="C93" s="288">
        <v>109.52200000000001</v>
      </c>
    </row>
    <row r="94" spans="1:3">
      <c r="A94" s="288">
        <v>90</v>
      </c>
      <c r="B94" s="288">
        <v>72.370599999999996</v>
      </c>
      <c r="C94" s="288">
        <v>110.625</v>
      </c>
    </row>
    <row r="95" spans="1:3">
      <c r="A95" s="288">
        <v>91</v>
      </c>
      <c r="B95" s="288">
        <v>73.267499999999998</v>
      </c>
      <c r="C95" s="288">
        <v>111.72799999999999</v>
      </c>
    </row>
    <row r="96" spans="1:3">
      <c r="A96" s="288">
        <v>92</v>
      </c>
      <c r="B96" s="288">
        <v>74.165000000000006</v>
      </c>
      <c r="C96" s="288">
        <v>112.83</v>
      </c>
    </row>
    <row r="97" spans="1:3">
      <c r="A97" s="288">
        <v>93</v>
      </c>
      <c r="B97" s="288">
        <v>75.063000000000002</v>
      </c>
      <c r="C97" s="288">
        <v>113.931</v>
      </c>
    </row>
    <row r="98" spans="1:3">
      <c r="A98" s="288">
        <v>94</v>
      </c>
      <c r="B98" s="288">
        <v>75.961600000000004</v>
      </c>
      <c r="C98" s="288">
        <v>115.032</v>
      </c>
    </row>
    <row r="99" spans="1:3">
      <c r="A99" s="288">
        <v>95</v>
      </c>
      <c r="B99" s="288">
        <v>76.860699999999994</v>
      </c>
      <c r="C99" s="288">
        <v>116.133</v>
      </c>
    </row>
    <row r="100" spans="1:3">
      <c r="A100" s="288">
        <v>96</v>
      </c>
      <c r="B100" s="288">
        <v>77.760300000000001</v>
      </c>
      <c r="C100" s="288">
        <v>117.232</v>
      </c>
    </row>
    <row r="101" spans="1:3">
      <c r="A101" s="288">
        <v>97</v>
      </c>
      <c r="B101" s="288">
        <v>78.660499999999999</v>
      </c>
      <c r="C101" s="288">
        <v>118.33199999999999</v>
      </c>
    </row>
    <row r="102" spans="1:3">
      <c r="A102" s="288">
        <v>98</v>
      </c>
      <c r="B102" s="288">
        <v>79.561099999999996</v>
      </c>
      <c r="C102" s="288">
        <v>119.431</v>
      </c>
    </row>
    <row r="103" spans="1:3">
      <c r="A103" s="288">
        <v>99</v>
      </c>
      <c r="B103" s="288">
        <v>80.462299999999999</v>
      </c>
      <c r="C103" s="288">
        <v>120.529</v>
      </c>
    </row>
  </sheetData>
  <sheetProtection password="B8D9" sheet="1" objects="1" scenarios="1"/>
  <pageMargins left="0.75" right="0.75" top="1" bottom="1" header="0.5" footer="0.5"/>
  <headerFooter alignWithMargins="0"/>
</worksheet>
</file>

<file path=xl/worksheets/sheet79.xml><?xml version="1.0" encoding="utf-8"?>
<worksheet xmlns="http://schemas.openxmlformats.org/spreadsheetml/2006/main" xmlns:r="http://schemas.openxmlformats.org/officeDocument/2006/relationships">
  <sheetPr codeName="Sheet79">
    <pageSetUpPr fitToPage="1"/>
  </sheetPr>
  <dimension ref="A1:P19"/>
  <sheetViews>
    <sheetView workbookViewId="0"/>
  </sheetViews>
  <sheetFormatPr defaultRowHeight="12.75"/>
  <cols>
    <col min="1" max="1" width="3.7109375" style="908" customWidth="1"/>
    <col min="2" max="15" width="11.7109375" style="908" customWidth="1"/>
    <col min="16" max="16" width="3.7109375" style="908" customWidth="1"/>
    <col min="17" max="16384" width="9.140625" style="908"/>
  </cols>
  <sheetData>
    <row r="1" spans="1:16" s="326" customFormat="1" ht="12.75" customHeight="1">
      <c r="B1" s="935" t="s">
        <v>802</v>
      </c>
      <c r="C1" s="935"/>
      <c r="D1" s="935"/>
      <c r="E1" s="935"/>
      <c r="F1" s="935"/>
      <c r="G1" s="935"/>
      <c r="H1" s="935"/>
      <c r="I1" s="935"/>
      <c r="J1" s="935"/>
      <c r="K1" s="935"/>
      <c r="L1" s="935"/>
      <c r="M1" s="935"/>
      <c r="N1" s="435" t="s">
        <v>45</v>
      </c>
    </row>
    <row r="3" spans="1:16" ht="24.95" customHeight="1">
      <c r="B3" s="909"/>
      <c r="C3" s="910"/>
      <c r="D3" s="910"/>
      <c r="E3" s="910"/>
      <c r="F3" s="910"/>
      <c r="G3" s="910"/>
      <c r="H3" s="910"/>
      <c r="I3" s="910"/>
      <c r="J3" s="910"/>
      <c r="K3" s="910"/>
      <c r="L3" s="910"/>
      <c r="M3" s="910"/>
      <c r="N3" s="910"/>
      <c r="O3" s="911"/>
    </row>
    <row r="4" spans="1:16" ht="24.95" customHeight="1">
      <c r="A4" s="912">
        <v>1</v>
      </c>
      <c r="B4" s="913"/>
      <c r="C4" s="914"/>
      <c r="D4" s="914"/>
      <c r="E4" s="914"/>
      <c r="F4" s="914"/>
      <c r="G4" s="914"/>
      <c r="H4" s="914"/>
      <c r="I4" s="914"/>
      <c r="J4" s="914"/>
      <c r="K4" s="914"/>
      <c r="L4" s="914"/>
      <c r="M4" s="914"/>
      <c r="N4" s="914"/>
      <c r="O4" s="915"/>
      <c r="P4" s="912">
        <v>1</v>
      </c>
    </row>
    <row r="5" spans="1:16" ht="24.95" customHeight="1">
      <c r="A5" s="912">
        <v>2</v>
      </c>
      <c r="B5" s="909"/>
      <c r="C5" s="910"/>
      <c r="D5" s="910"/>
      <c r="E5" s="910"/>
      <c r="F5" s="910"/>
      <c r="G5" s="910"/>
      <c r="H5" s="910"/>
      <c r="I5" s="910"/>
      <c r="J5" s="910"/>
      <c r="K5" s="910"/>
      <c r="L5" s="910"/>
      <c r="M5" s="910"/>
      <c r="N5" s="910"/>
      <c r="O5" s="911"/>
      <c r="P5" s="912">
        <v>2</v>
      </c>
    </row>
    <row r="6" spans="1:16" ht="24.95" customHeight="1">
      <c r="A6" s="912">
        <v>3</v>
      </c>
      <c r="B6" s="913"/>
      <c r="C6" s="914"/>
      <c r="D6" s="914"/>
      <c r="E6" s="914"/>
      <c r="F6" s="914"/>
      <c r="G6" s="914"/>
      <c r="H6" s="914"/>
      <c r="I6" s="914"/>
      <c r="J6" s="914"/>
      <c r="K6" s="914"/>
      <c r="L6" s="914"/>
      <c r="M6" s="914"/>
      <c r="N6" s="914"/>
      <c r="O6" s="915"/>
      <c r="P6" s="912">
        <v>3</v>
      </c>
    </row>
    <row r="7" spans="1:16" ht="24.95" customHeight="1">
      <c r="A7" s="912">
        <v>4</v>
      </c>
      <c r="B7" s="909"/>
      <c r="C7" s="910"/>
      <c r="D7" s="910"/>
      <c r="E7" s="910"/>
      <c r="F7" s="910"/>
      <c r="G7" s="910"/>
      <c r="H7" s="910"/>
      <c r="I7" s="910"/>
      <c r="J7" s="910"/>
      <c r="K7" s="910"/>
      <c r="L7" s="910"/>
      <c r="M7" s="910"/>
      <c r="N7" s="910"/>
      <c r="O7" s="911"/>
      <c r="P7" s="912">
        <v>4</v>
      </c>
    </row>
    <row r="8" spans="1:16" ht="24.95" customHeight="1">
      <c r="A8" s="912">
        <v>5</v>
      </c>
      <c r="B8" s="913"/>
      <c r="C8" s="914"/>
      <c r="D8" s="914"/>
      <c r="E8" s="914"/>
      <c r="F8" s="914"/>
      <c r="G8" s="914"/>
      <c r="H8" s="914"/>
      <c r="I8" s="914"/>
      <c r="J8" s="914"/>
      <c r="K8" s="914"/>
      <c r="L8" s="914"/>
      <c r="M8" s="914"/>
      <c r="N8" s="914"/>
      <c r="O8" s="915"/>
      <c r="P8" s="912">
        <v>5</v>
      </c>
    </row>
    <row r="9" spans="1:16" ht="24.95" customHeight="1">
      <c r="A9" s="912">
        <v>6</v>
      </c>
      <c r="B9" s="909"/>
      <c r="C9" s="910"/>
      <c r="D9" s="910"/>
      <c r="E9" s="910"/>
      <c r="F9" s="910"/>
      <c r="G9" s="910"/>
      <c r="H9" s="910"/>
      <c r="I9" s="910"/>
      <c r="J9" s="910"/>
      <c r="K9" s="910"/>
      <c r="L9" s="910"/>
      <c r="M9" s="910"/>
      <c r="N9" s="910"/>
      <c r="O9" s="911"/>
      <c r="P9" s="912">
        <v>6</v>
      </c>
    </row>
    <row r="10" spans="1:16" ht="24.95" customHeight="1">
      <c r="A10" s="912">
        <v>7</v>
      </c>
      <c r="B10" s="913"/>
      <c r="C10" s="914"/>
      <c r="D10" s="914"/>
      <c r="E10" s="914"/>
      <c r="F10" s="914"/>
      <c r="G10" s="914"/>
      <c r="H10" s="914"/>
      <c r="I10" s="914"/>
      <c r="J10" s="914"/>
      <c r="K10" s="914"/>
      <c r="L10" s="914"/>
      <c r="M10" s="914"/>
      <c r="N10" s="914"/>
      <c r="O10" s="915"/>
      <c r="P10" s="912">
        <v>7</v>
      </c>
    </row>
    <row r="11" spans="1:16" ht="24.95" customHeight="1">
      <c r="A11" s="912">
        <v>8</v>
      </c>
      <c r="B11" s="909"/>
      <c r="C11" s="910"/>
      <c r="D11" s="910"/>
      <c r="E11" s="910"/>
      <c r="F11" s="910"/>
      <c r="G11" s="910"/>
      <c r="H11" s="910"/>
      <c r="I11" s="910"/>
      <c r="J11" s="910"/>
      <c r="K11" s="910"/>
      <c r="L11" s="910"/>
      <c r="M11" s="910"/>
      <c r="N11" s="910"/>
      <c r="O11" s="911"/>
      <c r="P11" s="912">
        <v>8</v>
      </c>
    </row>
    <row r="12" spans="1:16" ht="24.95" customHeight="1">
      <c r="A12" s="912">
        <v>9</v>
      </c>
      <c r="B12" s="913"/>
      <c r="C12" s="914"/>
      <c r="D12" s="914"/>
      <c r="E12" s="914"/>
      <c r="F12" s="914"/>
      <c r="G12" s="914"/>
      <c r="H12" s="914"/>
      <c r="I12" s="914"/>
      <c r="J12" s="914"/>
      <c r="K12" s="914"/>
      <c r="L12" s="914"/>
      <c r="M12" s="914"/>
      <c r="N12" s="914"/>
      <c r="O12" s="915"/>
      <c r="P12" s="912">
        <v>9</v>
      </c>
    </row>
    <row r="13" spans="1:16" ht="24.95" customHeight="1">
      <c r="A13" s="912">
        <v>10</v>
      </c>
      <c r="B13" s="909"/>
      <c r="C13" s="910"/>
      <c r="D13" s="910"/>
      <c r="E13" s="910"/>
      <c r="F13" s="910"/>
      <c r="G13" s="910"/>
      <c r="H13" s="910"/>
      <c r="I13" s="910"/>
      <c r="J13" s="910"/>
      <c r="K13" s="910"/>
      <c r="L13" s="910"/>
      <c r="M13" s="910"/>
      <c r="N13" s="910"/>
      <c r="O13" s="911"/>
      <c r="P13" s="912">
        <v>10</v>
      </c>
    </row>
    <row r="14" spans="1:16" ht="24.95" customHeight="1">
      <c r="A14" s="912">
        <v>11</v>
      </c>
      <c r="B14" s="913"/>
      <c r="C14" s="914"/>
      <c r="D14" s="914"/>
      <c r="E14" s="914"/>
      <c r="F14" s="914"/>
      <c r="G14" s="914"/>
      <c r="H14" s="914"/>
      <c r="I14" s="914"/>
      <c r="J14" s="914"/>
      <c r="K14" s="914"/>
      <c r="L14" s="914"/>
      <c r="M14" s="914"/>
      <c r="N14" s="914"/>
      <c r="O14" s="915"/>
      <c r="P14" s="912">
        <v>11</v>
      </c>
    </row>
    <row r="15" spans="1:16" ht="24.95" customHeight="1">
      <c r="A15" s="912">
        <v>12</v>
      </c>
      <c r="B15" s="909"/>
      <c r="C15" s="910"/>
      <c r="D15" s="910"/>
      <c r="E15" s="910"/>
      <c r="F15" s="910"/>
      <c r="G15" s="910"/>
      <c r="H15" s="910"/>
      <c r="I15" s="910"/>
      <c r="J15" s="910"/>
      <c r="K15" s="910"/>
      <c r="L15" s="910"/>
      <c r="M15" s="910"/>
      <c r="N15" s="910"/>
      <c r="O15" s="911"/>
      <c r="P15" s="912">
        <v>12</v>
      </c>
    </row>
    <row r="16" spans="1:16" ht="24.95" customHeight="1">
      <c r="A16" s="912">
        <v>13</v>
      </c>
      <c r="B16" s="913"/>
      <c r="C16" s="914"/>
      <c r="D16" s="914"/>
      <c r="E16" s="914"/>
      <c r="F16" s="914"/>
      <c r="G16" s="914"/>
      <c r="H16" s="914"/>
      <c r="I16" s="914"/>
      <c r="J16" s="914"/>
      <c r="K16" s="914"/>
      <c r="L16" s="914"/>
      <c r="M16" s="914"/>
      <c r="N16" s="914"/>
      <c r="O16" s="915"/>
      <c r="P16" s="912">
        <v>13</v>
      </c>
    </row>
    <row r="17" spans="1:16" ht="24.95" customHeight="1">
      <c r="A17" s="912">
        <v>14</v>
      </c>
      <c r="B17" s="909"/>
      <c r="C17" s="910"/>
      <c r="D17" s="910"/>
      <c r="E17" s="910"/>
      <c r="F17" s="910"/>
      <c r="G17" s="910"/>
      <c r="H17" s="910"/>
      <c r="I17" s="910"/>
      <c r="J17" s="910"/>
      <c r="K17" s="910"/>
      <c r="L17" s="910"/>
      <c r="M17" s="910"/>
      <c r="N17" s="910"/>
      <c r="O17" s="911"/>
      <c r="P17" s="912">
        <v>14</v>
      </c>
    </row>
    <row r="18" spans="1:16" ht="24.95" customHeight="1">
      <c r="A18" s="912"/>
      <c r="B18" s="909"/>
      <c r="C18" s="910"/>
      <c r="D18" s="910"/>
      <c r="E18" s="910"/>
      <c r="F18" s="910"/>
      <c r="G18" s="910"/>
      <c r="H18" s="910"/>
      <c r="I18" s="910"/>
      <c r="J18" s="910"/>
      <c r="K18" s="910"/>
      <c r="L18" s="910"/>
      <c r="M18" s="910"/>
      <c r="N18" s="910"/>
      <c r="O18" s="911"/>
      <c r="P18" s="912"/>
    </row>
    <row r="19" spans="1:16">
      <c r="B19" s="916"/>
      <c r="C19" s="916"/>
      <c r="D19" s="916"/>
      <c r="E19" s="916"/>
      <c r="F19" s="916"/>
      <c r="G19" s="916"/>
      <c r="H19" s="916"/>
      <c r="I19" s="916"/>
      <c r="J19" s="916"/>
      <c r="K19" s="916"/>
      <c r="L19" s="916"/>
      <c r="M19" s="916"/>
      <c r="N19" s="916"/>
      <c r="O19" s="916"/>
    </row>
  </sheetData>
  <sheetProtection password="B8D9" sheet="1" objects="1" scenarios="1"/>
  <mergeCells count="1">
    <mergeCell ref="B1:M1"/>
  </mergeCells>
  <hyperlinks>
    <hyperlink ref="N1" location="'List of Tables &amp; Charts'!A1" display="return to List of Tables &amp; Charts"/>
  </hyperlinks>
  <pageMargins left="0" right="0" top="0.74803149606299213" bottom="0.74803149606299213" header="0.31496062992125984" footer="0.31496062992125984"/>
  <pageSetup paperSize="9" scale="8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8.xml><?xml version="1.0" encoding="utf-8"?>
<worksheet xmlns="http://schemas.openxmlformats.org/spreadsheetml/2006/main" xmlns:r="http://schemas.openxmlformats.org/officeDocument/2006/relationships">
  <sheetPr codeName="Sheet39">
    <pageSetUpPr fitToPage="1"/>
  </sheetPr>
  <dimension ref="B1:G19"/>
  <sheetViews>
    <sheetView zoomScaleNormal="100" workbookViewId="0"/>
  </sheetViews>
  <sheetFormatPr defaultRowHeight="12.75"/>
  <cols>
    <col min="1" max="1" width="1.7109375" style="2" customWidth="1"/>
    <col min="2" max="2" width="11.7109375" style="2" customWidth="1"/>
    <col min="3" max="3" width="24" style="2" customWidth="1"/>
    <col min="4" max="5" width="25.7109375" style="2" customWidth="1"/>
    <col min="6" max="6" width="22.42578125" style="2" customWidth="1"/>
    <col min="7" max="7" width="22.42578125" style="355" customWidth="1"/>
    <col min="8" max="16384" width="9.140625" style="2"/>
  </cols>
  <sheetData>
    <row r="1" spans="2:7" ht="27" customHeight="1">
      <c r="B1" s="967" t="s">
        <v>653</v>
      </c>
      <c r="C1" s="967"/>
      <c r="D1" s="968"/>
      <c r="E1" s="968"/>
      <c r="F1" s="968"/>
      <c r="G1" s="353"/>
    </row>
    <row r="3" spans="2:7">
      <c r="B3" s="958" t="s">
        <v>45</v>
      </c>
      <c r="C3" s="958"/>
    </row>
    <row r="4" spans="2:7" ht="45" customHeight="1">
      <c r="B4" s="98" t="s">
        <v>269</v>
      </c>
      <c r="C4" s="161" t="s">
        <v>270</v>
      </c>
      <c r="D4" s="161" t="s">
        <v>271</v>
      </c>
      <c r="E4" s="161" t="s">
        <v>42</v>
      </c>
      <c r="F4" s="357" t="s">
        <v>272</v>
      </c>
      <c r="G4" s="358" t="s">
        <v>331</v>
      </c>
    </row>
    <row r="5" spans="2:7" ht="26.1" customHeight="1">
      <c r="B5" s="190">
        <v>2008</v>
      </c>
      <c r="C5" s="190">
        <v>260</v>
      </c>
      <c r="D5" s="395">
        <v>8439</v>
      </c>
      <c r="E5" s="424">
        <f t="shared" ref="E5:E10" si="0">C5/D5</f>
        <v>3.0809337599241617E-2</v>
      </c>
      <c r="F5" s="191">
        <f>C5/G5*100000</f>
        <v>4.9972130926983027</v>
      </c>
      <c r="G5" s="395">
        <v>5202900</v>
      </c>
    </row>
    <row r="6" spans="2:7" ht="26.1" customHeight="1">
      <c r="B6" s="190">
        <v>2009</v>
      </c>
      <c r="C6" s="190">
        <v>411</v>
      </c>
      <c r="D6" s="395">
        <v>8012</v>
      </c>
      <c r="E6" s="424">
        <f t="shared" si="0"/>
        <v>5.1298052920619071E-2</v>
      </c>
      <c r="F6" s="191">
        <f t="shared" ref="F6:F13" si="1">C6/G6*100000</f>
        <v>7.855654733462031</v>
      </c>
      <c r="G6" s="395">
        <v>5231900</v>
      </c>
    </row>
    <row r="7" spans="2:7" ht="26.1" customHeight="1">
      <c r="B7" s="190">
        <v>2010</v>
      </c>
      <c r="C7" s="190">
        <v>543</v>
      </c>
      <c r="D7" s="395">
        <v>8439</v>
      </c>
      <c r="E7" s="424">
        <f t="shared" si="0"/>
        <v>6.434411660149307E-2</v>
      </c>
      <c r="F7" s="191">
        <f t="shared" si="1"/>
        <v>10.318878035802516</v>
      </c>
      <c r="G7" s="395">
        <v>5262200</v>
      </c>
    </row>
    <row r="8" spans="2:7" ht="26.1" customHeight="1">
      <c r="B8" s="190">
        <v>2011</v>
      </c>
      <c r="C8" s="190">
        <v>648</v>
      </c>
      <c r="D8" s="395">
        <v>8233</v>
      </c>
      <c r="E8" s="424">
        <f t="shared" si="0"/>
        <v>7.8707639985424516E-2</v>
      </c>
      <c r="F8" s="191">
        <f t="shared" si="1"/>
        <v>12.226645785769543</v>
      </c>
      <c r="G8" s="395">
        <v>5299900</v>
      </c>
    </row>
    <row r="9" spans="2:7" ht="26.1" customHeight="1">
      <c r="B9" s="190">
        <v>2012</v>
      </c>
      <c r="C9" s="190">
        <v>669</v>
      </c>
      <c r="D9" s="395">
        <v>8063</v>
      </c>
      <c r="E9" s="424">
        <f t="shared" si="0"/>
        <v>8.2971598660548179E-2</v>
      </c>
      <c r="F9" s="191">
        <f t="shared" si="1"/>
        <v>12.5903342366757</v>
      </c>
      <c r="G9" s="395">
        <v>5313600</v>
      </c>
    </row>
    <row r="10" spans="2:7" ht="26.1" customHeight="1">
      <c r="B10" s="190">
        <v>2013</v>
      </c>
      <c r="C10" s="190">
        <v>803</v>
      </c>
      <c r="D10" s="395">
        <v>8753</v>
      </c>
      <c r="E10" s="424">
        <f t="shared" si="0"/>
        <v>9.1739974865760313E-2</v>
      </c>
      <c r="F10" s="191">
        <f t="shared" si="1"/>
        <v>15.072169979540892</v>
      </c>
      <c r="G10" s="395">
        <v>5327700</v>
      </c>
    </row>
    <row r="11" spans="2:7" s="445" customFormat="1" ht="26.1" customHeight="1">
      <c r="B11" s="190">
        <v>2014</v>
      </c>
      <c r="C11" s="190">
        <v>869</v>
      </c>
      <c r="D11" s="395">
        <v>8739</v>
      </c>
      <c r="E11" s="424">
        <f t="shared" ref="E11:E12" si="2">C11/D11</f>
        <v>9.943929511385742E-2</v>
      </c>
      <c r="F11" s="191">
        <f t="shared" ref="F11:F12" si="3">C11/G11*100000</f>
        <v>16.2502804996634</v>
      </c>
      <c r="G11" s="395">
        <v>5347600</v>
      </c>
    </row>
    <row r="12" spans="2:7" s="684" customFormat="1" ht="26.1" customHeight="1">
      <c r="B12" s="689">
        <v>2015</v>
      </c>
      <c r="C12" s="689">
        <v>951</v>
      </c>
      <c r="D12" s="690">
        <v>9068</v>
      </c>
      <c r="E12" s="691">
        <f t="shared" si="2"/>
        <v>0.104874283193648</v>
      </c>
      <c r="F12" s="692">
        <f t="shared" si="3"/>
        <v>17.699609156895587</v>
      </c>
      <c r="G12" s="690">
        <v>5373000</v>
      </c>
    </row>
    <row r="13" spans="2:7" s="355" customFormat="1" ht="26.1" customHeight="1">
      <c r="B13" s="689">
        <v>2016</v>
      </c>
      <c r="C13" s="689">
        <v>910</v>
      </c>
      <c r="D13" s="690">
        <v>9401</v>
      </c>
      <c r="E13" s="691">
        <f t="shared" ref="E13" si="4">C13/D13</f>
        <v>9.6798212956068497E-2</v>
      </c>
      <c r="F13" s="692">
        <f t="shared" si="1"/>
        <v>16.837197254241676</v>
      </c>
      <c r="G13" s="690">
        <v>5404700</v>
      </c>
    </row>
    <row r="14" spans="2:7">
      <c r="B14" s="193"/>
      <c r="C14" s="193"/>
      <c r="D14" s="193"/>
      <c r="E14" s="193"/>
      <c r="F14" s="193"/>
      <c r="G14" s="354"/>
    </row>
    <row r="15" spans="2:7">
      <c r="B15" s="372" t="s">
        <v>510</v>
      </c>
    </row>
    <row r="16" spans="2:7">
      <c r="B16" s="187" t="s">
        <v>330</v>
      </c>
    </row>
    <row r="17" spans="2:7">
      <c r="B17" s="943" t="s">
        <v>736</v>
      </c>
      <c r="C17" s="943"/>
      <c r="D17" s="943"/>
      <c r="E17" s="943"/>
      <c r="F17" s="943"/>
      <c r="G17" s="943"/>
    </row>
    <row r="18" spans="2:7">
      <c r="B18" s="943"/>
      <c r="C18" s="943"/>
      <c r="D18" s="943"/>
      <c r="E18" s="943"/>
      <c r="F18" s="943"/>
      <c r="G18" s="943"/>
    </row>
    <row r="19" spans="2:7">
      <c r="B19" s="943"/>
      <c r="C19" s="943"/>
      <c r="D19" s="943"/>
      <c r="E19" s="943"/>
      <c r="F19" s="943"/>
      <c r="G19" s="943"/>
    </row>
  </sheetData>
  <sheetProtection password="B8D9" sheet="1" objects="1" scenarios="1"/>
  <mergeCells count="3">
    <mergeCell ref="B1:F1"/>
    <mergeCell ref="B3:C3"/>
    <mergeCell ref="B17:G19"/>
  </mergeCells>
  <phoneticPr fontId="0" type="noConversion"/>
  <hyperlinks>
    <hyperlink ref="B3:C3" location="'List of Tables &amp; Charts'!A1" display="return to List of Tables &amp; Charts"/>
  </hyperlinks>
  <pageMargins left="0.74803149606299213" right="0.74803149606299213" top="0.39370078740157483" bottom="0.74803149606299213" header="0.15748031496062992" footer="0.19685039370078741"/>
  <pageSetup paperSize="9" scale="97" orientation="landscape" r:id="rId1"/>
  <headerFooter alignWithMargins="0">
    <oddFooter>&amp;L&amp;8Scottish Stroke Care Audit 2017 National Report
Stroke Services in Scottish Hospitals, Data relating to 2016&amp;R&amp;8© NHS National Services Scotland/Crown Copyright</oddFooter>
  </headerFooter>
</worksheet>
</file>

<file path=xl/worksheets/sheet80.xml><?xml version="1.0" encoding="utf-8"?>
<worksheet xmlns="http://schemas.openxmlformats.org/spreadsheetml/2006/main" xmlns:r="http://schemas.openxmlformats.org/officeDocument/2006/relationships">
  <sheetPr codeName="Sheet80">
    <pageSetUpPr fitToPage="1"/>
  </sheetPr>
  <dimension ref="B1:AB12"/>
  <sheetViews>
    <sheetView workbookViewId="0"/>
  </sheetViews>
  <sheetFormatPr defaultRowHeight="12.75"/>
  <cols>
    <col min="1" max="1" width="2.7109375" style="698" customWidth="1"/>
    <col min="2" max="16384" width="9.140625" style="698"/>
  </cols>
  <sheetData>
    <row r="1" spans="2:28" s="838" customFormat="1" ht="12.75" customHeight="1">
      <c r="B1" s="26" t="s">
        <v>827</v>
      </c>
      <c r="C1" s="26"/>
      <c r="D1" s="26"/>
      <c r="E1" s="26"/>
      <c r="F1" s="26"/>
      <c r="G1" s="26"/>
      <c r="H1" s="26"/>
      <c r="I1" s="26"/>
      <c r="J1" s="26"/>
      <c r="K1" s="26"/>
      <c r="L1" s="26"/>
      <c r="M1" s="26"/>
      <c r="N1" s="26"/>
      <c r="O1" s="26"/>
      <c r="P1" s="26"/>
      <c r="R1" s="26"/>
      <c r="S1" s="26"/>
      <c r="T1" s="26"/>
      <c r="U1" s="26"/>
    </row>
    <row r="2" spans="2:28" s="838" customFormat="1" ht="12.75" customHeight="1">
      <c r="B2" s="843"/>
      <c r="C2" s="843"/>
      <c r="D2" s="843"/>
      <c r="E2" s="843"/>
      <c r="F2" s="843"/>
      <c r="G2" s="843"/>
      <c r="H2" s="843"/>
      <c r="I2" s="843"/>
      <c r="J2" s="843"/>
      <c r="K2" s="843"/>
      <c r="L2" s="843"/>
      <c r="M2" s="843"/>
      <c r="O2" s="27"/>
      <c r="P2" s="27"/>
      <c r="Q2" s="92"/>
      <c r="R2" s="28"/>
      <c r="S2" s="987"/>
      <c r="T2" s="987"/>
      <c r="U2" s="987"/>
    </row>
    <row r="3" spans="2:28" s="838" customFormat="1" ht="12.75" customHeight="1">
      <c r="B3" s="843"/>
      <c r="C3" s="843"/>
      <c r="D3" s="843"/>
      <c r="E3" s="843"/>
      <c r="F3" s="843"/>
      <c r="G3" s="843"/>
      <c r="H3" s="843"/>
      <c r="I3" s="843"/>
      <c r="J3" s="843"/>
      <c r="K3" s="843"/>
      <c r="L3" s="843"/>
      <c r="M3" s="843"/>
      <c r="N3" s="1102" t="s">
        <v>45</v>
      </c>
      <c r="O3" s="1102"/>
      <c r="P3" s="1102"/>
      <c r="Q3" s="92"/>
      <c r="R3" s="29"/>
      <c r="S3" s="837"/>
      <c r="T3" s="837"/>
      <c r="U3" s="837"/>
    </row>
    <row r="4" spans="2:28" s="838" customFormat="1" ht="12.75" customHeight="1">
      <c r="B4" s="598"/>
      <c r="C4" s="598"/>
      <c r="D4" s="598"/>
      <c r="E4" s="598"/>
      <c r="F4" s="598"/>
      <c r="G4" s="598"/>
      <c r="H4" s="598"/>
      <c r="I4" s="598"/>
      <c r="J4" s="598"/>
      <c r="K4" s="598"/>
      <c r="L4" s="598"/>
      <c r="M4" s="279"/>
      <c r="N4" s="279"/>
      <c r="O4" s="27"/>
      <c r="P4" s="27"/>
      <c r="Q4" s="92"/>
      <c r="R4" s="839"/>
      <c r="S4" s="27"/>
      <c r="T4" s="28"/>
      <c r="U4" s="28"/>
      <c r="V4" s="28"/>
      <c r="W4" s="28"/>
      <c r="X4" s="28"/>
      <c r="Y4" s="28"/>
      <c r="Z4" s="28"/>
      <c r="AA4" s="837"/>
      <c r="AB4" s="837"/>
    </row>
    <row r="5" spans="2:28" s="838" customFormat="1" ht="12.75" customHeight="1">
      <c r="B5" s="598"/>
      <c r="C5" s="598"/>
      <c r="D5" s="598"/>
      <c r="E5" s="598"/>
      <c r="F5" s="598"/>
      <c r="G5" s="598"/>
      <c r="H5" s="598"/>
      <c r="I5" s="598"/>
      <c r="J5" s="598"/>
      <c r="K5" s="598"/>
      <c r="L5" s="598"/>
      <c r="M5" s="279"/>
      <c r="N5" s="279"/>
      <c r="O5" s="987" t="s">
        <v>828</v>
      </c>
      <c r="P5" s="987"/>
      <c r="Q5" s="92"/>
      <c r="R5" s="30"/>
      <c r="S5" s="30"/>
      <c r="T5" s="29"/>
      <c r="U5" s="837"/>
      <c r="V5" s="837"/>
      <c r="W5" s="837"/>
      <c r="X5" s="837"/>
      <c r="Y5" s="837"/>
      <c r="Z5" s="837"/>
      <c r="AA5" s="837"/>
      <c r="AB5" s="837"/>
    </row>
    <row r="6" spans="2:28" s="838" customFormat="1" ht="15" customHeight="1">
      <c r="B6" s="598"/>
      <c r="C6" s="598"/>
      <c r="D6" s="598"/>
      <c r="E6" s="598"/>
      <c r="F6" s="598"/>
      <c r="G6" s="598"/>
      <c r="H6" s="598"/>
      <c r="I6" s="598"/>
      <c r="J6" s="598"/>
      <c r="K6" s="598"/>
      <c r="L6" s="598"/>
      <c r="M6" s="836"/>
      <c r="N6" s="836"/>
      <c r="O6" s="30"/>
      <c r="P6" s="30"/>
      <c r="R6" s="29"/>
      <c r="S6" s="837"/>
      <c r="T6" s="837"/>
      <c r="U6" s="837"/>
    </row>
    <row r="12" spans="2:28">
      <c r="R12" s="699"/>
    </row>
  </sheetData>
  <sheetProtection password="B8D9" sheet="1" objects="1" scenarios="1"/>
  <mergeCells count="3">
    <mergeCell ref="N3:P3"/>
    <mergeCell ref="O5:P5"/>
    <mergeCell ref="S2:U2"/>
  </mergeCells>
  <hyperlinks>
    <hyperlink ref="N3" location="'List of Tables &amp; Charts'!A1" display="return to List of Tables &amp; Charts"/>
    <hyperlink ref="O5" location="'Chart N4 data'!A1" display="view Chart 4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81.xml><?xml version="1.0" encoding="utf-8"?>
<worksheet xmlns="http://schemas.openxmlformats.org/spreadsheetml/2006/main" xmlns:r="http://schemas.openxmlformats.org/officeDocument/2006/relationships">
  <sheetPr codeName="Sheet81">
    <pageSetUpPr fitToPage="1"/>
  </sheetPr>
  <dimension ref="A1:J36"/>
  <sheetViews>
    <sheetView workbookViewId="0"/>
  </sheetViews>
  <sheetFormatPr defaultRowHeight="12.75"/>
  <cols>
    <col min="1" max="1" width="15.7109375" style="841" customWidth="1"/>
    <col min="2" max="8" width="14.7109375" style="841" customWidth="1"/>
    <col min="9" max="9" width="12.7109375" style="841" customWidth="1"/>
    <col min="10" max="16384" width="9.140625" style="841"/>
  </cols>
  <sheetData>
    <row r="1" spans="1:10" ht="76.5">
      <c r="A1" s="849" t="s">
        <v>820</v>
      </c>
      <c r="B1" s="850" t="s">
        <v>821</v>
      </c>
      <c r="C1" s="850" t="s">
        <v>822</v>
      </c>
      <c r="D1" s="850" t="s">
        <v>823</v>
      </c>
      <c r="E1" s="850" t="s">
        <v>824</v>
      </c>
      <c r="F1" s="850" t="s">
        <v>825</v>
      </c>
      <c r="G1" s="850" t="s">
        <v>826</v>
      </c>
      <c r="H1" s="851" t="s">
        <v>829</v>
      </c>
    </row>
    <row r="2" spans="1:10">
      <c r="A2" s="844">
        <v>41671</v>
      </c>
      <c r="B2" s="845">
        <v>201</v>
      </c>
      <c r="C2" s="845">
        <v>36</v>
      </c>
      <c r="D2" s="846">
        <v>17.910447761194028</v>
      </c>
      <c r="E2" s="846">
        <v>22.772925920897304</v>
      </c>
      <c r="F2" s="846"/>
      <c r="G2" s="846"/>
      <c r="H2" s="846">
        <v>22.772925920897304</v>
      </c>
      <c r="J2" s="842"/>
    </row>
    <row r="3" spans="1:10">
      <c r="A3" s="844">
        <v>41699</v>
      </c>
      <c r="B3" s="845">
        <v>200</v>
      </c>
      <c r="C3" s="845">
        <v>47</v>
      </c>
      <c r="D3" s="846">
        <v>23.5</v>
      </c>
      <c r="E3" s="846">
        <v>22.772925920897304</v>
      </c>
      <c r="F3" s="846"/>
      <c r="G3" s="846"/>
      <c r="H3" s="846">
        <v>22.772925920897304</v>
      </c>
    </row>
    <row r="4" spans="1:10">
      <c r="A4" s="844">
        <v>41730</v>
      </c>
      <c r="B4" s="845">
        <v>243</v>
      </c>
      <c r="C4" s="845">
        <v>40</v>
      </c>
      <c r="D4" s="846">
        <v>16.460905349794238</v>
      </c>
      <c r="E4" s="846">
        <v>22.772925920897304</v>
      </c>
      <c r="F4" s="846"/>
      <c r="G4" s="846"/>
      <c r="H4" s="846">
        <v>22.772925920897304</v>
      </c>
    </row>
    <row r="5" spans="1:10">
      <c r="A5" s="844">
        <v>41760</v>
      </c>
      <c r="B5" s="845">
        <v>273</v>
      </c>
      <c r="C5" s="845">
        <v>52</v>
      </c>
      <c r="D5" s="846">
        <v>19.047619047619047</v>
      </c>
      <c r="E5" s="846">
        <v>22.772925920897304</v>
      </c>
      <c r="F5" s="846"/>
      <c r="G5" s="846"/>
      <c r="H5" s="846">
        <v>22.772925920897304</v>
      </c>
    </row>
    <row r="6" spans="1:10">
      <c r="A6" s="844">
        <v>41791</v>
      </c>
      <c r="B6" s="845">
        <v>233</v>
      </c>
      <c r="C6" s="845">
        <v>53</v>
      </c>
      <c r="D6" s="846">
        <v>22.746781115879827</v>
      </c>
      <c r="E6" s="846">
        <v>22.772925920897304</v>
      </c>
      <c r="F6" s="846"/>
      <c r="G6" s="846"/>
      <c r="H6" s="846">
        <v>22.772925920897304</v>
      </c>
    </row>
    <row r="7" spans="1:10">
      <c r="A7" s="844">
        <v>41821</v>
      </c>
      <c r="B7" s="845">
        <v>241</v>
      </c>
      <c r="C7" s="845">
        <v>55</v>
      </c>
      <c r="D7" s="846">
        <v>22.821576763485478</v>
      </c>
      <c r="E7" s="846">
        <v>22.772925920897304</v>
      </c>
      <c r="F7" s="846"/>
      <c r="G7" s="846"/>
      <c r="H7" s="846">
        <v>22.772925920897304</v>
      </c>
    </row>
    <row r="8" spans="1:10">
      <c r="A8" s="844">
        <v>41852</v>
      </c>
      <c r="B8" s="845">
        <v>221</v>
      </c>
      <c r="C8" s="845">
        <v>47</v>
      </c>
      <c r="D8" s="846">
        <v>21.266968325791854</v>
      </c>
      <c r="E8" s="846">
        <v>22.772925920897304</v>
      </c>
      <c r="F8" s="846"/>
      <c r="G8" s="846"/>
      <c r="H8" s="846">
        <v>22.772925920897304</v>
      </c>
    </row>
    <row r="9" spans="1:10">
      <c r="A9" s="844">
        <v>41883</v>
      </c>
      <c r="B9" s="845">
        <v>245</v>
      </c>
      <c r="C9" s="845">
        <v>71</v>
      </c>
      <c r="D9" s="846">
        <v>28.979591836734691</v>
      </c>
      <c r="E9" s="846">
        <v>22.772925920897304</v>
      </c>
      <c r="F9" s="846"/>
      <c r="G9" s="846"/>
      <c r="H9" s="846">
        <v>22.772925920897304</v>
      </c>
    </row>
    <row r="10" spans="1:10">
      <c r="A10" s="844">
        <v>41913</v>
      </c>
      <c r="B10" s="845">
        <v>241</v>
      </c>
      <c r="C10" s="845">
        <v>65</v>
      </c>
      <c r="D10" s="846">
        <v>26.970954356846473</v>
      </c>
      <c r="E10" s="846">
        <v>22.772925920897304</v>
      </c>
      <c r="F10" s="846"/>
      <c r="G10" s="846"/>
      <c r="H10" s="846">
        <v>22.772925920897304</v>
      </c>
    </row>
    <row r="11" spans="1:10">
      <c r="A11" s="844">
        <v>41944</v>
      </c>
      <c r="B11" s="845">
        <v>227</v>
      </c>
      <c r="C11" s="845">
        <v>55</v>
      </c>
      <c r="D11" s="846">
        <v>24.229074889867842</v>
      </c>
      <c r="E11" s="846">
        <v>22.772925920897304</v>
      </c>
      <c r="F11" s="846"/>
      <c r="G11" s="846"/>
      <c r="H11" s="846">
        <v>22.772925920897304</v>
      </c>
    </row>
    <row r="12" spans="1:10">
      <c r="A12" s="844">
        <v>41974</v>
      </c>
      <c r="B12" s="845">
        <v>271</v>
      </c>
      <c r="C12" s="845">
        <v>72</v>
      </c>
      <c r="D12" s="846">
        <v>26.568265682656829</v>
      </c>
      <c r="E12" s="846">
        <v>22.772925920897304</v>
      </c>
      <c r="F12" s="846"/>
      <c r="G12" s="846"/>
      <c r="H12" s="846">
        <v>22.772925920897304</v>
      </c>
    </row>
    <row r="13" spans="1:10">
      <c r="A13" s="844">
        <v>42005</v>
      </c>
      <c r="B13" s="847">
        <v>280</v>
      </c>
      <c r="C13" s="847">
        <v>67</v>
      </c>
      <c r="D13" s="848">
        <v>23.928571428571431</v>
      </c>
      <c r="E13" s="846"/>
      <c r="F13" s="846">
        <v>30.074845464364728</v>
      </c>
      <c r="G13" s="846"/>
      <c r="H13" s="846">
        <v>30.074845464364728</v>
      </c>
      <c r="J13" s="842"/>
    </row>
    <row r="14" spans="1:10">
      <c r="A14" s="844">
        <v>42036</v>
      </c>
      <c r="B14" s="847">
        <v>279</v>
      </c>
      <c r="C14" s="847">
        <v>67</v>
      </c>
      <c r="D14" s="848">
        <v>24.014336917562723</v>
      </c>
      <c r="E14" s="846"/>
      <c r="F14" s="846">
        <v>30.074845464364728</v>
      </c>
      <c r="G14" s="846"/>
      <c r="H14" s="846">
        <v>30.074845464364728</v>
      </c>
    </row>
    <row r="15" spans="1:10">
      <c r="A15" s="844">
        <v>42064</v>
      </c>
      <c r="B15" s="847">
        <v>288</v>
      </c>
      <c r="C15" s="847">
        <v>66</v>
      </c>
      <c r="D15" s="848">
        <v>22.916666666666664</v>
      </c>
      <c r="E15" s="846"/>
      <c r="F15" s="846">
        <v>30.074845464364728</v>
      </c>
      <c r="G15" s="846"/>
      <c r="H15" s="846">
        <v>30.074845464364728</v>
      </c>
    </row>
    <row r="16" spans="1:10">
      <c r="A16" s="844">
        <v>42095</v>
      </c>
      <c r="B16" s="847">
        <v>302</v>
      </c>
      <c r="C16" s="847">
        <v>95</v>
      </c>
      <c r="D16" s="848">
        <v>31.456953642384107</v>
      </c>
      <c r="E16" s="846"/>
      <c r="F16" s="846">
        <v>30.074845464364728</v>
      </c>
      <c r="G16" s="846"/>
      <c r="H16" s="846">
        <v>30.074845464364728</v>
      </c>
    </row>
    <row r="17" spans="1:10">
      <c r="A17" s="844">
        <v>42125</v>
      </c>
      <c r="B17" s="847">
        <v>323</v>
      </c>
      <c r="C17" s="847">
        <v>115</v>
      </c>
      <c r="D17" s="848">
        <v>35.60371517027864</v>
      </c>
      <c r="E17" s="846"/>
      <c r="F17" s="846">
        <v>30.074845464364728</v>
      </c>
      <c r="G17" s="846"/>
      <c r="H17" s="846">
        <v>30.074845464364728</v>
      </c>
    </row>
    <row r="18" spans="1:10">
      <c r="A18" s="844">
        <v>42156</v>
      </c>
      <c r="B18" s="847">
        <v>317</v>
      </c>
      <c r="C18" s="847">
        <v>102</v>
      </c>
      <c r="D18" s="848">
        <v>32.176656151419557</v>
      </c>
      <c r="E18" s="846"/>
      <c r="F18" s="846">
        <v>30.074845464364728</v>
      </c>
      <c r="G18" s="846"/>
      <c r="H18" s="846">
        <v>30.074845464364728</v>
      </c>
    </row>
    <row r="19" spans="1:10">
      <c r="A19" s="844">
        <v>42186</v>
      </c>
      <c r="B19" s="847">
        <v>319</v>
      </c>
      <c r="C19" s="847">
        <v>111</v>
      </c>
      <c r="D19" s="848">
        <v>34.796238244514107</v>
      </c>
      <c r="E19" s="846"/>
      <c r="F19" s="846">
        <v>30.074845464364728</v>
      </c>
      <c r="G19" s="846"/>
      <c r="H19" s="846">
        <v>30.074845464364728</v>
      </c>
    </row>
    <row r="20" spans="1:10">
      <c r="A20" s="844">
        <v>42217</v>
      </c>
      <c r="B20" s="847">
        <v>344</v>
      </c>
      <c r="C20" s="847">
        <v>119</v>
      </c>
      <c r="D20" s="848">
        <v>34.593023255813954</v>
      </c>
      <c r="E20" s="846"/>
      <c r="F20" s="846">
        <v>30.074845464364728</v>
      </c>
      <c r="G20" s="846"/>
      <c r="H20" s="846">
        <v>30.074845464364728</v>
      </c>
    </row>
    <row r="21" spans="1:10">
      <c r="A21" s="844">
        <v>42248</v>
      </c>
      <c r="B21" s="847">
        <v>307</v>
      </c>
      <c r="C21" s="847">
        <v>97</v>
      </c>
      <c r="D21" s="848">
        <v>31.596091205211724</v>
      </c>
      <c r="E21" s="846"/>
      <c r="F21" s="846">
        <v>30.074845464364728</v>
      </c>
      <c r="G21" s="846"/>
      <c r="H21" s="846">
        <v>30.074845464364728</v>
      </c>
    </row>
    <row r="22" spans="1:10">
      <c r="A22" s="844">
        <v>42278</v>
      </c>
      <c r="B22" s="847">
        <v>332</v>
      </c>
      <c r="C22" s="847">
        <v>105</v>
      </c>
      <c r="D22" s="848">
        <v>31.626506024096386</v>
      </c>
      <c r="E22" s="846"/>
      <c r="F22" s="846">
        <v>30.074845464364728</v>
      </c>
      <c r="G22" s="846"/>
      <c r="H22" s="846">
        <v>30.074845464364728</v>
      </c>
    </row>
    <row r="23" spans="1:10">
      <c r="A23" s="844">
        <v>42309</v>
      </c>
      <c r="B23" s="847">
        <v>378</v>
      </c>
      <c r="C23" s="847">
        <v>106</v>
      </c>
      <c r="D23" s="848">
        <v>28.042328042328041</v>
      </c>
      <c r="E23" s="846"/>
      <c r="F23" s="846">
        <v>30.074845464364728</v>
      </c>
      <c r="G23" s="846"/>
      <c r="H23" s="846">
        <v>30.074845464364728</v>
      </c>
    </row>
    <row r="24" spans="1:10">
      <c r="A24" s="844">
        <v>42339</v>
      </c>
      <c r="B24" s="847">
        <v>408</v>
      </c>
      <c r="C24" s="847">
        <v>123</v>
      </c>
      <c r="D24" s="848">
        <v>30.147058823529409</v>
      </c>
      <c r="E24" s="846"/>
      <c r="F24" s="846">
        <v>30.074845464364728</v>
      </c>
      <c r="G24" s="846"/>
      <c r="H24" s="846">
        <v>30.074845464364728</v>
      </c>
    </row>
    <row r="25" spans="1:10">
      <c r="A25" s="844">
        <v>42370</v>
      </c>
      <c r="B25" s="847">
        <v>388</v>
      </c>
      <c r="C25" s="847">
        <v>119</v>
      </c>
      <c r="D25" s="848">
        <v>30.670103092783506</v>
      </c>
      <c r="E25" s="846"/>
      <c r="F25" s="846"/>
      <c r="G25" s="846">
        <v>42.834441995191675</v>
      </c>
      <c r="H25" s="846">
        <v>42.834441995191675</v>
      </c>
      <c r="J25" s="842"/>
    </row>
    <row r="26" spans="1:10">
      <c r="A26" s="844">
        <v>42401</v>
      </c>
      <c r="B26" s="847">
        <v>360</v>
      </c>
      <c r="C26" s="847">
        <v>111</v>
      </c>
      <c r="D26" s="848">
        <v>30.833333333333336</v>
      </c>
      <c r="E26" s="846"/>
      <c r="F26" s="846"/>
      <c r="G26" s="846">
        <v>42.834441995191675</v>
      </c>
      <c r="H26" s="846">
        <v>42.834441995191675</v>
      </c>
    </row>
    <row r="27" spans="1:10">
      <c r="A27" s="844">
        <v>42430</v>
      </c>
      <c r="B27" s="847">
        <v>344</v>
      </c>
      <c r="C27" s="847">
        <v>112</v>
      </c>
      <c r="D27" s="848">
        <v>32.361516034985421</v>
      </c>
      <c r="E27" s="846"/>
      <c r="F27" s="846"/>
      <c r="G27" s="846">
        <v>42.834441995191675</v>
      </c>
      <c r="H27" s="846">
        <v>42.834441995191675</v>
      </c>
    </row>
    <row r="28" spans="1:10">
      <c r="A28" s="844">
        <v>42461</v>
      </c>
      <c r="B28" s="847">
        <v>348</v>
      </c>
      <c r="C28" s="847">
        <v>143</v>
      </c>
      <c r="D28" s="848">
        <v>40.687679083094558</v>
      </c>
      <c r="E28" s="846"/>
      <c r="F28" s="846"/>
      <c r="G28" s="846">
        <v>42.834441995191675</v>
      </c>
      <c r="H28" s="846">
        <v>42.834441995191675</v>
      </c>
    </row>
    <row r="29" spans="1:10">
      <c r="A29" s="844">
        <v>42491</v>
      </c>
      <c r="B29" s="847">
        <v>348</v>
      </c>
      <c r="C29" s="847">
        <v>142</v>
      </c>
      <c r="D29" s="848">
        <v>40.922190201729109</v>
      </c>
      <c r="E29" s="846"/>
      <c r="F29" s="846"/>
      <c r="G29" s="846">
        <v>42.834441995191675</v>
      </c>
      <c r="H29" s="846">
        <v>42.834441995191675</v>
      </c>
    </row>
    <row r="30" spans="1:10">
      <c r="A30" s="844">
        <v>42522</v>
      </c>
      <c r="B30" s="847">
        <v>353</v>
      </c>
      <c r="C30" s="847">
        <v>150</v>
      </c>
      <c r="D30" s="848">
        <v>42.857142857142854</v>
      </c>
      <c r="E30" s="846"/>
      <c r="F30" s="846"/>
      <c r="G30" s="846">
        <v>42.834441995191675</v>
      </c>
      <c r="H30" s="846">
        <v>42.834441995191675</v>
      </c>
    </row>
    <row r="31" spans="1:10">
      <c r="A31" s="844">
        <v>42552</v>
      </c>
      <c r="B31" s="847">
        <v>345</v>
      </c>
      <c r="C31" s="847">
        <v>150</v>
      </c>
      <c r="D31" s="848">
        <v>43.604651162790695</v>
      </c>
      <c r="E31" s="846"/>
      <c r="F31" s="846"/>
      <c r="G31" s="846">
        <v>42.834441995191675</v>
      </c>
      <c r="H31" s="846">
        <v>42.834441995191675</v>
      </c>
    </row>
    <row r="32" spans="1:10">
      <c r="A32" s="844">
        <v>42583</v>
      </c>
      <c r="B32" s="847">
        <v>335</v>
      </c>
      <c r="C32" s="847">
        <v>140</v>
      </c>
      <c r="D32" s="848">
        <v>42.042042042042041</v>
      </c>
      <c r="E32" s="846"/>
      <c r="F32" s="846"/>
      <c r="G32" s="846">
        <v>42.834441995191675</v>
      </c>
      <c r="H32" s="846">
        <v>42.834441995191675</v>
      </c>
    </row>
    <row r="33" spans="1:8">
      <c r="A33" s="844">
        <v>42614</v>
      </c>
      <c r="B33" s="847">
        <v>350</v>
      </c>
      <c r="C33" s="847">
        <v>181</v>
      </c>
      <c r="D33" s="848">
        <v>52.173913043478258</v>
      </c>
      <c r="E33" s="846"/>
      <c r="F33" s="846"/>
      <c r="G33" s="846">
        <v>42.834441995191675</v>
      </c>
      <c r="H33" s="846">
        <v>42.834441995191675</v>
      </c>
    </row>
    <row r="34" spans="1:8">
      <c r="A34" s="844">
        <v>42644</v>
      </c>
      <c r="B34" s="847">
        <v>354</v>
      </c>
      <c r="C34" s="847">
        <v>191</v>
      </c>
      <c r="D34" s="848">
        <v>53.581661891117484</v>
      </c>
      <c r="E34" s="846"/>
      <c r="F34" s="846"/>
      <c r="G34" s="846">
        <v>42.834441995191675</v>
      </c>
      <c r="H34" s="846">
        <v>42.834441995191675</v>
      </c>
    </row>
    <row r="35" spans="1:8">
      <c r="A35" s="844">
        <v>42675</v>
      </c>
      <c r="B35" s="847">
        <v>361</v>
      </c>
      <c r="C35" s="847">
        <v>184</v>
      </c>
      <c r="D35" s="848">
        <v>51.70454545454546</v>
      </c>
      <c r="E35" s="846"/>
      <c r="F35" s="846"/>
      <c r="G35" s="846">
        <v>42.834441995191675</v>
      </c>
      <c r="H35" s="846">
        <v>42.834441995191675</v>
      </c>
    </row>
    <row r="36" spans="1:8">
      <c r="A36" s="844">
        <v>42705</v>
      </c>
      <c r="B36" s="847">
        <v>381</v>
      </c>
      <c r="C36" s="847">
        <v>198</v>
      </c>
      <c r="D36" s="848">
        <v>52.574525745257446</v>
      </c>
      <c r="E36" s="846"/>
      <c r="F36" s="846"/>
      <c r="G36" s="846">
        <v>42.834441995191675</v>
      </c>
      <c r="H36" s="846">
        <v>42.834441995191675</v>
      </c>
    </row>
  </sheetData>
  <sheetProtection password="B8D9" sheet="1" objects="1" scenarios="1"/>
  <pageMargins left="0.70866141732283472" right="0.70866141732283472" top="0.74803149606299213" bottom="0.74803149606299213" header="0.31496062992125984" footer="0.31496062992125984"/>
  <pageSetup scale="75" orientation="portrait" r:id="rId1"/>
  <headerFooter>
    <oddFooter>&amp;L&amp;8Scottish Stroke Care Audit 2017 National Report
Stroke Services in Scottish Hospitals, Data relating to 2016&amp;R&amp;8© NHS National Services Scotland/Crown Copyright</oddFooter>
  </headerFooter>
</worksheet>
</file>

<file path=xl/worksheets/sheet82.xml><?xml version="1.0" encoding="utf-8"?>
<worksheet xmlns="http://schemas.openxmlformats.org/spreadsheetml/2006/main" xmlns:r="http://schemas.openxmlformats.org/officeDocument/2006/relationships">
  <sheetPr codeName="Sheet82">
    <pageSetUpPr fitToPage="1"/>
  </sheetPr>
  <dimension ref="A1:T47"/>
  <sheetViews>
    <sheetView workbookViewId="0"/>
  </sheetViews>
  <sheetFormatPr defaultRowHeight="12.75"/>
  <cols>
    <col min="1" max="1" width="2.7109375" style="676" customWidth="1"/>
    <col min="2" max="16384" width="9.140625" style="676"/>
  </cols>
  <sheetData>
    <row r="1" spans="1:20" s="760" customFormat="1" ht="24.95" customHeight="1">
      <c r="A1" s="760" t="s">
        <v>639</v>
      </c>
      <c r="B1" s="969" t="s">
        <v>859</v>
      </c>
      <c r="C1" s="969"/>
      <c r="D1" s="969"/>
      <c r="E1" s="969"/>
      <c r="F1" s="969"/>
      <c r="G1" s="969"/>
      <c r="H1" s="969"/>
      <c r="I1" s="969"/>
      <c r="J1" s="969"/>
      <c r="K1" s="969"/>
      <c r="L1" s="969"/>
      <c r="M1" s="969"/>
      <c r="N1" s="969"/>
      <c r="O1" s="26"/>
      <c r="P1" s="985" t="s">
        <v>45</v>
      </c>
      <c r="Q1" s="26"/>
      <c r="R1" s="26"/>
      <c r="S1" s="26"/>
      <c r="T1" s="26"/>
    </row>
    <row r="2" spans="1:20" s="760" customFormat="1" ht="12.75" customHeight="1">
      <c r="B2" s="1043"/>
      <c r="C2" s="1043"/>
      <c r="D2" s="1043"/>
      <c r="E2" s="1043"/>
      <c r="F2" s="1043"/>
      <c r="G2" s="1043"/>
      <c r="H2" s="1043"/>
      <c r="I2" s="1043"/>
      <c r="J2" s="1043"/>
      <c r="K2" s="1043"/>
      <c r="L2" s="1043"/>
      <c r="M2" s="1043"/>
      <c r="O2" s="27"/>
      <c r="P2" s="985"/>
      <c r="Q2" s="28"/>
      <c r="R2" s="987"/>
      <c r="S2" s="987"/>
      <c r="T2" s="987"/>
    </row>
    <row r="3" spans="1:20" s="760" customFormat="1" ht="12.75" customHeight="1">
      <c r="B3" s="1043"/>
      <c r="C3" s="1043"/>
      <c r="D3" s="1043"/>
      <c r="E3" s="1043"/>
      <c r="F3" s="1043"/>
      <c r="G3" s="1043"/>
      <c r="H3" s="1043"/>
      <c r="I3" s="1043"/>
      <c r="J3" s="1043"/>
      <c r="K3" s="1043"/>
      <c r="L3" s="1043"/>
      <c r="M3" s="1043"/>
      <c r="O3" s="519"/>
      <c r="P3" s="985"/>
      <c r="Q3" s="29"/>
      <c r="R3" s="759"/>
      <c r="S3" s="759"/>
      <c r="T3" s="759"/>
    </row>
    <row r="4" spans="1:20" s="760" customFormat="1" ht="12.75" customHeight="1">
      <c r="B4" s="1044" t="s">
        <v>729</v>
      </c>
      <c r="C4" s="1044"/>
      <c r="D4" s="1044"/>
      <c r="E4" s="1044"/>
      <c r="F4" s="1044"/>
      <c r="G4" s="1044"/>
      <c r="H4" s="1044"/>
      <c r="I4" s="1044"/>
      <c r="J4" s="1044"/>
      <c r="K4" s="1044"/>
      <c r="L4" s="1044"/>
      <c r="M4" s="1044"/>
      <c r="O4" s="30"/>
      <c r="P4" s="985"/>
      <c r="Q4" s="757"/>
      <c r="R4" s="29"/>
      <c r="S4" s="72"/>
    </row>
    <row r="5" spans="1:20" s="760" customFormat="1" ht="12.75" customHeight="1">
      <c r="B5" s="1044"/>
      <c r="C5" s="1044"/>
      <c r="D5" s="1044"/>
      <c r="E5" s="1044"/>
      <c r="F5" s="1044"/>
      <c r="G5" s="1044"/>
      <c r="H5" s="1044"/>
      <c r="I5" s="1044"/>
      <c r="J5" s="1044"/>
      <c r="K5" s="1044"/>
      <c r="L5" s="1044"/>
      <c r="M5" s="1044"/>
      <c r="N5" s="758"/>
      <c r="O5" s="30"/>
      <c r="P5" s="30"/>
      <c r="Q5" s="757"/>
      <c r="R5" s="29"/>
      <c r="S5" s="72"/>
    </row>
    <row r="6" spans="1:20" s="760" customFormat="1" ht="12.75" customHeight="1">
      <c r="B6" s="1044"/>
      <c r="C6" s="1044"/>
      <c r="D6" s="1044"/>
      <c r="E6" s="1044"/>
      <c r="F6" s="1044"/>
      <c r="G6" s="1044"/>
      <c r="H6" s="1044"/>
      <c r="I6" s="1044"/>
      <c r="J6" s="1044"/>
      <c r="K6" s="1044"/>
      <c r="L6" s="1044"/>
      <c r="M6" s="1044"/>
      <c r="N6" s="758"/>
      <c r="O6" s="30"/>
      <c r="P6" s="835" t="s">
        <v>858</v>
      </c>
      <c r="Q6" s="757"/>
      <c r="R6" s="29"/>
      <c r="S6" s="72"/>
    </row>
    <row r="7" spans="1:20" s="760" customFormat="1">
      <c r="B7" s="1044"/>
      <c r="C7" s="1044"/>
      <c r="D7" s="1044"/>
      <c r="E7" s="1044"/>
      <c r="F7" s="1044"/>
      <c r="G7" s="1044"/>
      <c r="H7" s="1044"/>
      <c r="I7" s="1044"/>
      <c r="J7" s="1044"/>
      <c r="K7" s="1044"/>
      <c r="L7" s="1044"/>
      <c r="M7" s="1044"/>
      <c r="N7" s="762"/>
      <c r="O7" s="30"/>
      <c r="P7" s="30"/>
      <c r="Q7" s="757"/>
      <c r="R7" s="29"/>
      <c r="S7" s="72"/>
    </row>
    <row r="8" spans="1:20" s="773" customFormat="1">
      <c r="B8" s="1044"/>
      <c r="C8" s="1044"/>
      <c r="D8" s="1044"/>
      <c r="E8" s="1044"/>
      <c r="F8" s="1044"/>
      <c r="G8" s="1044"/>
      <c r="H8" s="1044"/>
      <c r="I8" s="1044"/>
      <c r="J8" s="1044"/>
      <c r="K8" s="1044"/>
      <c r="L8" s="1044"/>
      <c r="M8" s="1044"/>
      <c r="N8" s="775"/>
      <c r="O8" s="30"/>
      <c r="P8" s="30"/>
      <c r="Q8" s="770"/>
      <c r="R8" s="29"/>
      <c r="S8" s="72"/>
    </row>
    <row r="9" spans="1:20" s="760" customFormat="1">
      <c r="B9" s="1044"/>
      <c r="C9" s="1044"/>
      <c r="D9" s="1044"/>
      <c r="E9" s="1044"/>
      <c r="F9" s="1044"/>
      <c r="G9" s="1044"/>
      <c r="H9" s="1044"/>
      <c r="I9" s="1044"/>
      <c r="J9" s="1044"/>
      <c r="K9" s="1044"/>
      <c r="L9" s="1044"/>
      <c r="M9" s="1044"/>
      <c r="N9" s="762"/>
      <c r="O9" s="30"/>
      <c r="P9" s="30"/>
      <c r="Q9" s="757"/>
      <c r="R9" s="29"/>
      <c r="S9" s="72"/>
    </row>
    <row r="43" spans="2:14">
      <c r="B43" s="565"/>
      <c r="C43" s="565"/>
      <c r="D43" s="565"/>
      <c r="E43" s="565"/>
      <c r="F43" s="565"/>
      <c r="G43" s="565"/>
      <c r="H43" s="565"/>
      <c r="I43" s="565"/>
      <c r="J43" s="565"/>
      <c r="K43" s="565"/>
      <c r="L43" s="565"/>
      <c r="M43" s="565"/>
    </row>
    <row r="44" spans="2:14" s="760" customFormat="1">
      <c r="B44" s="77" t="s">
        <v>855</v>
      </c>
      <c r="D44" s="34"/>
      <c r="E44" s="34"/>
      <c r="F44" s="34"/>
      <c r="G44" s="34"/>
      <c r="H44" s="34"/>
      <c r="I44" s="34"/>
      <c r="J44" s="756"/>
      <c r="K44" s="756"/>
      <c r="L44" s="756"/>
      <c r="M44" s="756"/>
      <c r="N44" s="756"/>
    </row>
    <row r="45" spans="2:14" s="761" customFormat="1" ht="24.95" customHeight="1">
      <c r="B45" s="972" t="s">
        <v>856</v>
      </c>
      <c r="C45" s="972"/>
      <c r="D45" s="972"/>
      <c r="E45" s="972"/>
      <c r="F45" s="972"/>
      <c r="G45" s="972"/>
      <c r="H45" s="972"/>
      <c r="I45" s="972"/>
      <c r="J45" s="972"/>
      <c r="K45" s="972"/>
      <c r="L45" s="972"/>
      <c r="M45" s="972"/>
      <c r="N45" s="972"/>
    </row>
    <row r="46" spans="2:14" s="760" customFormat="1" ht="31.5" customHeight="1">
      <c r="B46" s="972"/>
      <c r="C46" s="972"/>
      <c r="D46" s="972"/>
      <c r="E46" s="972"/>
      <c r="F46" s="972"/>
      <c r="G46" s="972"/>
      <c r="H46" s="972"/>
      <c r="I46" s="972"/>
      <c r="J46" s="972"/>
      <c r="K46" s="972"/>
      <c r="L46" s="972"/>
      <c r="M46" s="972"/>
      <c r="N46" s="972"/>
    </row>
    <row r="47" spans="2:14" s="760" customFormat="1">
      <c r="B47" s="50"/>
      <c r="D47" s="34"/>
      <c r="E47" s="34"/>
      <c r="F47" s="34"/>
      <c r="G47" s="34"/>
      <c r="H47" s="34"/>
      <c r="I47" s="34"/>
      <c r="J47" s="756"/>
      <c r="K47" s="756"/>
      <c r="L47" s="756"/>
      <c r="M47" s="756"/>
      <c r="N47" s="756"/>
    </row>
  </sheetData>
  <sheetProtection password="B8D9" sheet="1" objects="1" scenarios="1"/>
  <mergeCells count="6">
    <mergeCell ref="B45:N46"/>
    <mergeCell ref="R2:T2"/>
    <mergeCell ref="B4:M9"/>
    <mergeCell ref="B1:N1"/>
    <mergeCell ref="P1:P4"/>
    <mergeCell ref="B2:M3"/>
  </mergeCells>
  <hyperlinks>
    <hyperlink ref="N4" location="'List of Tables &amp; Charts'!A1" display="return to List of Tables &amp; Charts"/>
    <hyperlink ref="P1" location="'List of Tables &amp; Charts'!A1" display="return to List of Tables &amp; Charts"/>
    <hyperlink ref="P6" location="'Chart N5 data'!A1" display="view Chart N4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83.xml><?xml version="1.0" encoding="utf-8"?>
<worksheet xmlns="http://schemas.openxmlformats.org/spreadsheetml/2006/main" xmlns:r="http://schemas.openxmlformats.org/officeDocument/2006/relationships">
  <sheetPr codeName="Sheet83">
    <pageSetUpPr fitToPage="1"/>
  </sheetPr>
  <dimension ref="A1:Y34"/>
  <sheetViews>
    <sheetView showGridLines="0" workbookViewId="0">
      <selection sqref="A1:B1"/>
    </sheetView>
  </sheetViews>
  <sheetFormatPr defaultRowHeight="12.75"/>
  <cols>
    <col min="1" max="1" width="16.7109375" style="760" customWidth="1"/>
    <col min="2" max="2" width="40.7109375" style="760" customWidth="1"/>
    <col min="3" max="6" width="10.7109375" style="756" customWidth="1"/>
    <col min="7" max="7" width="10.7109375" style="769" customWidth="1"/>
    <col min="8" max="8" width="10.7109375" style="756" customWidth="1"/>
    <col min="9" max="13" width="2.7109375" style="756" customWidth="1"/>
    <col min="14" max="14" width="9.28515625" style="756" customWidth="1"/>
    <col min="15" max="15" width="11.28515625" style="760" customWidth="1"/>
    <col min="16" max="16" width="9.28515625" style="760" customWidth="1"/>
    <col min="17" max="17" width="11.28515625" style="760" customWidth="1"/>
    <col min="18" max="18" width="9.28515625" style="760" customWidth="1"/>
    <col min="19" max="19" width="11.28515625" style="760" customWidth="1"/>
    <col min="20" max="20" width="9.28515625" style="760" customWidth="1"/>
    <col min="21" max="21" width="11.28515625" style="760" customWidth="1"/>
    <col min="22" max="22" width="9.28515625" style="760" customWidth="1"/>
    <col min="23" max="23" width="11.28515625" style="760" customWidth="1"/>
    <col min="24" max="24" width="9.28515625" style="773" customWidth="1"/>
    <col min="25" max="25" width="11.28515625" style="773" customWidth="1"/>
    <col min="26" max="16384" width="9.140625" style="760"/>
  </cols>
  <sheetData>
    <row r="1" spans="1:25" ht="25.5" customHeight="1">
      <c r="A1" s="1091">
        <v>2016</v>
      </c>
      <c r="B1" s="1046"/>
      <c r="C1" s="1062" t="s">
        <v>42</v>
      </c>
      <c r="D1" s="1063"/>
      <c r="E1" s="1063"/>
      <c r="F1" s="1063"/>
      <c r="G1" s="1063"/>
      <c r="H1" s="1064"/>
      <c r="I1" s="79"/>
      <c r="J1" s="79"/>
      <c r="K1" s="79"/>
      <c r="L1" s="79"/>
      <c r="M1" s="79"/>
      <c r="N1" s="1015" t="s">
        <v>716</v>
      </c>
      <c r="O1" s="1017"/>
      <c r="P1" s="1015" t="s">
        <v>717</v>
      </c>
      <c r="Q1" s="1017"/>
      <c r="R1" s="1015" t="s">
        <v>719</v>
      </c>
      <c r="S1" s="1017"/>
      <c r="T1" s="1015" t="s">
        <v>718</v>
      </c>
      <c r="U1" s="1017"/>
      <c r="V1" s="1016" t="s">
        <v>720</v>
      </c>
      <c r="W1" s="1082"/>
      <c r="X1" s="1016" t="s">
        <v>727</v>
      </c>
      <c r="Y1" s="1082"/>
    </row>
    <row r="2" spans="1:25" ht="45" customHeight="1">
      <c r="A2" s="80" t="s">
        <v>24</v>
      </c>
      <c r="B2" s="53" t="s">
        <v>25</v>
      </c>
      <c r="C2" s="40" t="s">
        <v>721</v>
      </c>
      <c r="D2" s="40" t="s">
        <v>722</v>
      </c>
      <c r="E2" s="40" t="s">
        <v>723</v>
      </c>
      <c r="F2" s="81" t="s">
        <v>724</v>
      </c>
      <c r="G2" s="81" t="s">
        <v>725</v>
      </c>
      <c r="H2" s="40" t="s">
        <v>728</v>
      </c>
      <c r="I2" s="82" t="s">
        <v>55</v>
      </c>
      <c r="J2" s="82" t="s">
        <v>168</v>
      </c>
      <c r="K2" s="82" t="s">
        <v>169</v>
      </c>
      <c r="L2" s="82" t="s">
        <v>170</v>
      </c>
      <c r="M2" s="82" t="s">
        <v>274</v>
      </c>
      <c r="N2" s="43" t="s">
        <v>26</v>
      </c>
      <c r="O2" s="43" t="s">
        <v>27</v>
      </c>
      <c r="P2" s="43" t="s">
        <v>26</v>
      </c>
      <c r="Q2" s="43" t="s">
        <v>27</v>
      </c>
      <c r="R2" s="43" t="s">
        <v>26</v>
      </c>
      <c r="S2" s="43" t="s">
        <v>27</v>
      </c>
      <c r="T2" s="43" t="s">
        <v>26</v>
      </c>
      <c r="U2" s="43" t="s">
        <v>27</v>
      </c>
      <c r="V2" s="83" t="s">
        <v>26</v>
      </c>
      <c r="W2" s="65" t="s">
        <v>27</v>
      </c>
      <c r="X2" s="83" t="s">
        <v>26</v>
      </c>
      <c r="Y2" s="65" t="s">
        <v>27</v>
      </c>
    </row>
    <row r="3" spans="1:25">
      <c r="A3" s="45" t="s">
        <v>178</v>
      </c>
      <c r="B3" s="45" t="s">
        <v>178</v>
      </c>
      <c r="C3" s="46">
        <f>N3/O3*100</f>
        <v>18.158606188044459</v>
      </c>
      <c r="D3" s="46">
        <f>P3/Q3*100</f>
        <v>33.253229197957346</v>
      </c>
      <c r="E3" s="46">
        <f>R3/S3*100</f>
        <v>4.5509161910483629</v>
      </c>
      <c r="F3" s="46">
        <f>T3/U3*100</f>
        <v>2.2379092820666866</v>
      </c>
      <c r="G3" s="46">
        <f>V3/W3*100</f>
        <v>41.453890057074197</v>
      </c>
      <c r="H3" s="46">
        <f>X3/Y3*100</f>
        <v>0.34544908380895162</v>
      </c>
      <c r="I3" s="551"/>
      <c r="J3" s="534"/>
      <c r="K3" s="534"/>
      <c r="L3" s="534"/>
      <c r="M3" s="776"/>
      <c r="N3" s="405">
        <f t="shared" ref="N3:W3" si="0">SUM(N4:N24)</f>
        <v>1209</v>
      </c>
      <c r="O3" s="405">
        <f t="shared" si="0"/>
        <v>6658</v>
      </c>
      <c r="P3" s="405">
        <f t="shared" si="0"/>
        <v>2214</v>
      </c>
      <c r="Q3" s="405">
        <f t="shared" si="0"/>
        <v>6658</v>
      </c>
      <c r="R3" s="405">
        <f t="shared" si="0"/>
        <v>303</v>
      </c>
      <c r="S3" s="405">
        <f t="shared" si="0"/>
        <v>6658</v>
      </c>
      <c r="T3" s="405">
        <f t="shared" si="0"/>
        <v>149</v>
      </c>
      <c r="U3" s="405">
        <f t="shared" si="0"/>
        <v>6658</v>
      </c>
      <c r="V3" s="405">
        <f t="shared" si="0"/>
        <v>2760</v>
      </c>
      <c r="W3" s="405">
        <f t="shared" si="0"/>
        <v>6658</v>
      </c>
      <c r="X3" s="405">
        <f t="shared" ref="X3:Y3" si="1">SUM(X4:X24)</f>
        <v>23</v>
      </c>
      <c r="Y3" s="405">
        <f t="shared" si="1"/>
        <v>6658</v>
      </c>
    </row>
    <row r="4" spans="1:25">
      <c r="A4" s="45" t="s">
        <v>58</v>
      </c>
      <c r="B4" s="45" t="s">
        <v>57</v>
      </c>
      <c r="C4" s="46">
        <f t="shared" ref="C4:C24" si="2">N4/O4*100</f>
        <v>9.7345132743362832</v>
      </c>
      <c r="D4" s="46">
        <f t="shared" ref="D4:D24" si="3">P4/Q4*100</f>
        <v>87.610619469026545</v>
      </c>
      <c r="E4" s="46">
        <f t="shared" ref="E4:E24" si="4">R4/S4*100</f>
        <v>0.88495575221238942</v>
      </c>
      <c r="F4" s="46">
        <f t="shared" ref="F4:F24" si="5">T4/U4*100</f>
        <v>0</v>
      </c>
      <c r="G4" s="46">
        <f t="shared" ref="G4:G24" si="6">V4/W4*100</f>
        <v>1.7699115044247788</v>
      </c>
      <c r="H4" s="46">
        <f t="shared" ref="H4:H24" si="7">X4/Y4*100</f>
        <v>0</v>
      </c>
      <c r="I4" s="548"/>
      <c r="J4" s="547"/>
      <c r="K4" s="547"/>
      <c r="L4" s="547"/>
      <c r="M4" s="777"/>
      <c r="N4" s="405">
        <v>11</v>
      </c>
      <c r="O4" s="405">
        <v>113</v>
      </c>
      <c r="P4" s="405">
        <v>99</v>
      </c>
      <c r="Q4" s="405">
        <v>113</v>
      </c>
      <c r="R4" s="405">
        <v>1</v>
      </c>
      <c r="S4" s="405">
        <v>113</v>
      </c>
      <c r="T4" s="405">
        <v>0</v>
      </c>
      <c r="U4" s="405">
        <v>113</v>
      </c>
      <c r="V4" s="405">
        <v>2</v>
      </c>
      <c r="W4" s="405">
        <v>113</v>
      </c>
      <c r="X4" s="405">
        <v>0</v>
      </c>
      <c r="Y4" s="405">
        <v>113</v>
      </c>
    </row>
    <row r="5" spans="1:25">
      <c r="A5" s="45" t="s">
        <v>60</v>
      </c>
      <c r="B5" s="45" t="s">
        <v>61</v>
      </c>
      <c r="C5" s="46">
        <f t="shared" si="2"/>
        <v>11.111111111111111</v>
      </c>
      <c r="D5" s="46">
        <f t="shared" si="3"/>
        <v>72.222222222222214</v>
      </c>
      <c r="E5" s="46">
        <f t="shared" si="4"/>
        <v>1.984126984126984</v>
      </c>
      <c r="F5" s="46">
        <f t="shared" si="5"/>
        <v>0.79365079365079361</v>
      </c>
      <c r="G5" s="46">
        <f t="shared" si="6"/>
        <v>13.492063492063492</v>
      </c>
      <c r="H5" s="46">
        <f t="shared" si="7"/>
        <v>0.3968253968253968</v>
      </c>
      <c r="I5" s="548"/>
      <c r="J5" s="547"/>
      <c r="K5" s="547"/>
      <c r="L5" s="547"/>
      <c r="M5" s="777"/>
      <c r="N5" s="405">
        <v>28</v>
      </c>
      <c r="O5" s="405">
        <v>252</v>
      </c>
      <c r="P5" s="405">
        <v>182</v>
      </c>
      <c r="Q5" s="405">
        <v>252</v>
      </c>
      <c r="R5" s="405">
        <v>5</v>
      </c>
      <c r="S5" s="405">
        <v>252</v>
      </c>
      <c r="T5" s="405">
        <v>2</v>
      </c>
      <c r="U5" s="405">
        <v>252</v>
      </c>
      <c r="V5" s="405">
        <v>34</v>
      </c>
      <c r="W5" s="405">
        <v>252</v>
      </c>
      <c r="X5" s="405">
        <v>1</v>
      </c>
      <c r="Y5" s="405">
        <v>252</v>
      </c>
    </row>
    <row r="6" spans="1:25">
      <c r="A6" s="45" t="s">
        <v>28</v>
      </c>
      <c r="B6" s="45" t="s">
        <v>63</v>
      </c>
      <c r="C6" s="46">
        <f t="shared" si="2"/>
        <v>14.374999999999998</v>
      </c>
      <c r="D6" s="46">
        <f t="shared" si="3"/>
        <v>30</v>
      </c>
      <c r="E6" s="46">
        <f t="shared" si="4"/>
        <v>2.1875</v>
      </c>
      <c r="F6" s="46">
        <f t="shared" si="5"/>
        <v>1.5625</v>
      </c>
      <c r="G6" s="46">
        <f t="shared" si="6"/>
        <v>51.875000000000007</v>
      </c>
      <c r="H6" s="46">
        <f t="shared" si="7"/>
        <v>0</v>
      </c>
      <c r="I6" s="548"/>
      <c r="J6" s="547"/>
      <c r="K6" s="547"/>
      <c r="L6" s="547"/>
      <c r="M6" s="777"/>
      <c r="N6" s="405">
        <v>46</v>
      </c>
      <c r="O6" s="405">
        <v>320</v>
      </c>
      <c r="P6" s="405">
        <v>96</v>
      </c>
      <c r="Q6" s="405">
        <v>320</v>
      </c>
      <c r="R6" s="405">
        <v>7</v>
      </c>
      <c r="S6" s="405">
        <v>320</v>
      </c>
      <c r="T6" s="405">
        <v>5</v>
      </c>
      <c r="U6" s="405">
        <v>320</v>
      </c>
      <c r="V6" s="405">
        <v>166</v>
      </c>
      <c r="W6" s="405">
        <v>320</v>
      </c>
      <c r="X6" s="405">
        <v>0</v>
      </c>
      <c r="Y6" s="405">
        <v>320</v>
      </c>
    </row>
    <row r="7" spans="1:25">
      <c r="A7" s="45" t="s">
        <v>65</v>
      </c>
      <c r="B7" s="45" t="s">
        <v>66</v>
      </c>
      <c r="C7" s="46">
        <f t="shared" si="2"/>
        <v>27.85234899328859</v>
      </c>
      <c r="D7" s="46">
        <f t="shared" si="3"/>
        <v>26.174496644295303</v>
      </c>
      <c r="E7" s="46">
        <f t="shared" si="4"/>
        <v>2.348993288590604</v>
      </c>
      <c r="F7" s="46">
        <f t="shared" si="5"/>
        <v>2.0134228187919461</v>
      </c>
      <c r="G7" s="46">
        <f t="shared" si="6"/>
        <v>41.275167785234899</v>
      </c>
      <c r="H7" s="46">
        <f t="shared" si="7"/>
        <v>0.33557046979865773</v>
      </c>
      <c r="I7" s="548"/>
      <c r="J7" s="547"/>
      <c r="K7" s="547"/>
      <c r="L7" s="547"/>
      <c r="M7" s="777"/>
      <c r="N7" s="405">
        <v>83</v>
      </c>
      <c r="O7" s="405">
        <v>298</v>
      </c>
      <c r="P7" s="405">
        <v>78</v>
      </c>
      <c r="Q7" s="405">
        <v>298</v>
      </c>
      <c r="R7" s="405">
        <v>7</v>
      </c>
      <c r="S7" s="405">
        <v>298</v>
      </c>
      <c r="T7" s="405">
        <v>6</v>
      </c>
      <c r="U7" s="405">
        <v>298</v>
      </c>
      <c r="V7" s="405">
        <v>123</v>
      </c>
      <c r="W7" s="405">
        <v>298</v>
      </c>
      <c r="X7" s="405">
        <v>1</v>
      </c>
      <c r="Y7" s="405">
        <v>298</v>
      </c>
    </row>
    <row r="8" spans="1:25">
      <c r="A8" s="45" t="s">
        <v>172</v>
      </c>
      <c r="B8" s="45" t="s">
        <v>173</v>
      </c>
      <c r="C8" s="46">
        <f t="shared" si="2"/>
        <v>15.673981191222571</v>
      </c>
      <c r="D8" s="46">
        <f t="shared" si="3"/>
        <v>28.840125391849529</v>
      </c>
      <c r="E8" s="46">
        <f t="shared" si="4"/>
        <v>5.9561128526645764</v>
      </c>
      <c r="F8" s="46">
        <f t="shared" si="5"/>
        <v>4.7021943573667713</v>
      </c>
      <c r="G8" s="46">
        <f t="shared" si="6"/>
        <v>44.827586206896555</v>
      </c>
      <c r="H8" s="46">
        <f t="shared" si="7"/>
        <v>0</v>
      </c>
      <c r="I8" s="548"/>
      <c r="J8" s="547"/>
      <c r="K8" s="547"/>
      <c r="L8" s="547"/>
      <c r="M8" s="777"/>
      <c r="N8" s="405">
        <v>50</v>
      </c>
      <c r="O8" s="405">
        <v>319</v>
      </c>
      <c r="P8" s="405">
        <v>92</v>
      </c>
      <c r="Q8" s="405">
        <v>319</v>
      </c>
      <c r="R8" s="405">
        <v>19</v>
      </c>
      <c r="S8" s="405">
        <v>319</v>
      </c>
      <c r="T8" s="405">
        <v>15</v>
      </c>
      <c r="U8" s="405">
        <v>319</v>
      </c>
      <c r="V8" s="405">
        <v>143</v>
      </c>
      <c r="W8" s="405">
        <v>319</v>
      </c>
      <c r="X8" s="405">
        <v>0</v>
      </c>
      <c r="Y8" s="405">
        <v>319</v>
      </c>
    </row>
    <row r="9" spans="1:25">
      <c r="A9" s="45" t="s">
        <v>174</v>
      </c>
      <c r="B9" s="45" t="s">
        <v>71</v>
      </c>
      <c r="C9" s="46">
        <f t="shared" si="2"/>
        <v>21.666666666666668</v>
      </c>
      <c r="D9" s="46">
        <f t="shared" si="3"/>
        <v>29.523809523809526</v>
      </c>
      <c r="E9" s="46">
        <f t="shared" si="4"/>
        <v>4.5238095238095237</v>
      </c>
      <c r="F9" s="46">
        <f t="shared" si="5"/>
        <v>1.4285714285714286</v>
      </c>
      <c r="G9" s="46">
        <f t="shared" si="6"/>
        <v>42.38095238095238</v>
      </c>
      <c r="H9" s="46">
        <f t="shared" si="7"/>
        <v>0.47619047619047622</v>
      </c>
      <c r="I9" s="548"/>
      <c r="J9" s="547"/>
      <c r="K9" s="547"/>
      <c r="L9" s="547"/>
      <c r="M9" s="777"/>
      <c r="N9" s="405">
        <v>91</v>
      </c>
      <c r="O9" s="405">
        <v>420</v>
      </c>
      <c r="P9" s="405">
        <v>124</v>
      </c>
      <c r="Q9" s="405">
        <v>420</v>
      </c>
      <c r="R9" s="405">
        <v>19</v>
      </c>
      <c r="S9" s="405">
        <v>420</v>
      </c>
      <c r="T9" s="405">
        <v>6</v>
      </c>
      <c r="U9" s="405">
        <v>420</v>
      </c>
      <c r="V9" s="405">
        <v>178</v>
      </c>
      <c r="W9" s="405">
        <v>420</v>
      </c>
      <c r="X9" s="405">
        <v>2</v>
      </c>
      <c r="Y9" s="405">
        <v>420</v>
      </c>
    </row>
    <row r="10" spans="1:25">
      <c r="A10" s="45" t="s">
        <v>183</v>
      </c>
      <c r="B10" s="45" t="s">
        <v>73</v>
      </c>
      <c r="C10" s="46">
        <f t="shared" si="2"/>
        <v>12.554112554112553</v>
      </c>
      <c r="D10" s="46">
        <f t="shared" si="3"/>
        <v>33.549783549783555</v>
      </c>
      <c r="E10" s="46">
        <f t="shared" si="4"/>
        <v>4.9783549783549788</v>
      </c>
      <c r="F10" s="46">
        <f t="shared" si="5"/>
        <v>2.1645021645021645</v>
      </c>
      <c r="G10" s="46">
        <f t="shared" si="6"/>
        <v>46.320346320346324</v>
      </c>
      <c r="H10" s="46">
        <f t="shared" si="7"/>
        <v>0.4329004329004329</v>
      </c>
      <c r="I10" s="548"/>
      <c r="J10" s="547"/>
      <c r="K10" s="547"/>
      <c r="L10" s="547"/>
      <c r="M10" s="777"/>
      <c r="N10" s="405">
        <v>58</v>
      </c>
      <c r="O10" s="405">
        <v>462</v>
      </c>
      <c r="P10" s="405">
        <v>155</v>
      </c>
      <c r="Q10" s="405">
        <v>462</v>
      </c>
      <c r="R10" s="405">
        <v>23</v>
      </c>
      <c r="S10" s="405">
        <v>462</v>
      </c>
      <c r="T10" s="405">
        <v>10</v>
      </c>
      <c r="U10" s="405">
        <v>462</v>
      </c>
      <c r="V10" s="405">
        <v>214</v>
      </c>
      <c r="W10" s="405">
        <v>462</v>
      </c>
      <c r="X10" s="405">
        <v>2</v>
      </c>
      <c r="Y10" s="405">
        <v>462</v>
      </c>
    </row>
    <row r="11" spans="1:25">
      <c r="A11" s="45" t="s">
        <v>175</v>
      </c>
      <c r="B11" s="45" t="s">
        <v>75</v>
      </c>
      <c r="C11" s="46">
        <f t="shared" si="2"/>
        <v>24.074074074074073</v>
      </c>
      <c r="D11" s="46">
        <f t="shared" si="3"/>
        <v>30.283224400871461</v>
      </c>
      <c r="E11" s="46">
        <f t="shared" si="4"/>
        <v>5.2287581699346406</v>
      </c>
      <c r="F11" s="46">
        <f t="shared" si="5"/>
        <v>3.0501089324618738</v>
      </c>
      <c r="G11" s="46">
        <f t="shared" si="6"/>
        <v>36.928104575163403</v>
      </c>
      <c r="H11" s="46">
        <f t="shared" si="7"/>
        <v>0.4357298474945534</v>
      </c>
      <c r="I11" s="548"/>
      <c r="J11" s="547"/>
      <c r="K11" s="547"/>
      <c r="L11" s="547"/>
      <c r="M11" s="777"/>
      <c r="N11" s="405">
        <v>221</v>
      </c>
      <c r="O11" s="405">
        <v>918</v>
      </c>
      <c r="P11" s="405">
        <v>278</v>
      </c>
      <c r="Q11" s="405">
        <v>918</v>
      </c>
      <c r="R11" s="405">
        <v>48</v>
      </c>
      <c r="S11" s="405">
        <v>918</v>
      </c>
      <c r="T11" s="405">
        <v>28</v>
      </c>
      <c r="U11" s="405">
        <v>918</v>
      </c>
      <c r="V11" s="405">
        <v>339</v>
      </c>
      <c r="W11" s="405">
        <v>918</v>
      </c>
      <c r="X11" s="405">
        <v>4</v>
      </c>
      <c r="Y11" s="405">
        <v>918</v>
      </c>
    </row>
    <row r="12" spans="1:25">
      <c r="A12" s="45" t="s">
        <v>77</v>
      </c>
      <c r="B12" s="45" t="s">
        <v>78</v>
      </c>
      <c r="C12" s="46">
        <f t="shared" si="2"/>
        <v>27.118644067796609</v>
      </c>
      <c r="D12" s="46">
        <f t="shared" si="3"/>
        <v>59.322033898305079</v>
      </c>
      <c r="E12" s="46">
        <f t="shared" si="4"/>
        <v>0</v>
      </c>
      <c r="F12" s="46">
        <f t="shared" si="5"/>
        <v>0</v>
      </c>
      <c r="G12" s="46">
        <f t="shared" si="6"/>
        <v>11.864406779661017</v>
      </c>
      <c r="H12" s="46">
        <f t="shared" si="7"/>
        <v>1.6949152542372881</v>
      </c>
      <c r="I12" s="548"/>
      <c r="J12" s="547"/>
      <c r="K12" s="547"/>
      <c r="L12" s="547"/>
      <c r="M12" s="777"/>
      <c r="N12" s="405">
        <v>16</v>
      </c>
      <c r="O12" s="405">
        <v>59</v>
      </c>
      <c r="P12" s="405">
        <v>35</v>
      </c>
      <c r="Q12" s="405">
        <v>59</v>
      </c>
      <c r="R12" s="405">
        <v>0</v>
      </c>
      <c r="S12" s="405">
        <v>59</v>
      </c>
      <c r="T12" s="405">
        <v>0</v>
      </c>
      <c r="U12" s="405">
        <v>59</v>
      </c>
      <c r="V12" s="405">
        <v>7</v>
      </c>
      <c r="W12" s="405">
        <v>59</v>
      </c>
      <c r="X12" s="405">
        <v>1</v>
      </c>
      <c r="Y12" s="405">
        <v>59</v>
      </c>
    </row>
    <row r="13" spans="1:25">
      <c r="A13" s="45" t="s">
        <v>95</v>
      </c>
      <c r="B13" s="45" t="s">
        <v>96</v>
      </c>
      <c r="C13" s="46">
        <f t="shared" si="2"/>
        <v>7.4074074074074066</v>
      </c>
      <c r="D13" s="46">
        <f t="shared" si="3"/>
        <v>46.913580246913575</v>
      </c>
      <c r="E13" s="46">
        <f t="shared" si="4"/>
        <v>2.4691358024691357</v>
      </c>
      <c r="F13" s="46">
        <f t="shared" si="5"/>
        <v>1.2345679012345678</v>
      </c>
      <c r="G13" s="46">
        <f t="shared" si="6"/>
        <v>37.037037037037038</v>
      </c>
      <c r="H13" s="46">
        <f t="shared" si="7"/>
        <v>4.9382716049382713</v>
      </c>
      <c r="I13" s="548"/>
      <c r="J13" s="547"/>
      <c r="K13" s="547"/>
      <c r="L13" s="547"/>
      <c r="M13" s="777"/>
      <c r="N13" s="405">
        <v>6</v>
      </c>
      <c r="O13" s="405">
        <v>81</v>
      </c>
      <c r="P13" s="405">
        <v>38</v>
      </c>
      <c r="Q13" s="405">
        <v>81</v>
      </c>
      <c r="R13" s="405">
        <v>2</v>
      </c>
      <c r="S13" s="405">
        <v>81</v>
      </c>
      <c r="T13" s="405">
        <v>1</v>
      </c>
      <c r="U13" s="405">
        <v>81</v>
      </c>
      <c r="V13" s="405">
        <v>30</v>
      </c>
      <c r="W13" s="405">
        <v>81</v>
      </c>
      <c r="X13" s="405">
        <v>4</v>
      </c>
      <c r="Y13" s="405">
        <v>81</v>
      </c>
    </row>
    <row r="14" spans="1:25">
      <c r="A14" s="45" t="s">
        <v>98</v>
      </c>
      <c r="B14" s="45" t="s">
        <v>99</v>
      </c>
      <c r="C14" s="46">
        <f t="shared" si="2"/>
        <v>24.047619047619047</v>
      </c>
      <c r="D14" s="46">
        <f t="shared" si="3"/>
        <v>33.80952380952381</v>
      </c>
      <c r="E14" s="46">
        <f t="shared" si="4"/>
        <v>6.666666666666667</v>
      </c>
      <c r="F14" s="46">
        <f t="shared" si="5"/>
        <v>2.3809523809523809</v>
      </c>
      <c r="G14" s="46">
        <f t="shared" si="6"/>
        <v>33.095238095238095</v>
      </c>
      <c r="H14" s="46">
        <f t="shared" si="7"/>
        <v>0</v>
      </c>
      <c r="I14" s="548"/>
      <c r="J14" s="547"/>
      <c r="K14" s="547"/>
      <c r="L14" s="547"/>
      <c r="M14" s="777"/>
      <c r="N14" s="405">
        <v>101</v>
      </c>
      <c r="O14" s="405">
        <v>420</v>
      </c>
      <c r="P14" s="405">
        <v>142</v>
      </c>
      <c r="Q14" s="405">
        <v>420</v>
      </c>
      <c r="R14" s="405">
        <v>28</v>
      </c>
      <c r="S14" s="405">
        <v>420</v>
      </c>
      <c r="T14" s="405">
        <v>10</v>
      </c>
      <c r="U14" s="405">
        <v>420</v>
      </c>
      <c r="V14" s="405">
        <v>139</v>
      </c>
      <c r="W14" s="405">
        <v>420</v>
      </c>
      <c r="X14" s="405">
        <v>0</v>
      </c>
      <c r="Y14" s="405">
        <v>420</v>
      </c>
    </row>
    <row r="15" spans="1:25" s="773" customFormat="1">
      <c r="A15" s="45" t="s">
        <v>101</v>
      </c>
      <c r="B15" s="45" t="s">
        <v>102</v>
      </c>
      <c r="C15" s="46">
        <f t="shared" ref="C15" si="8">N15/O15*100</f>
        <v>13.073394495412844</v>
      </c>
      <c r="D15" s="46">
        <f t="shared" ref="D15" si="9">P15/Q15*100</f>
        <v>37.844036697247709</v>
      </c>
      <c r="E15" s="46">
        <f t="shared" ref="E15" si="10">R15/S15*100</f>
        <v>4.3577981651376145</v>
      </c>
      <c r="F15" s="46">
        <f t="shared" ref="F15" si="11">T15/U15*100</f>
        <v>1.1467889908256881</v>
      </c>
      <c r="G15" s="46">
        <f t="shared" si="6"/>
        <v>43.577981651376149</v>
      </c>
      <c r="H15" s="46">
        <f t="shared" si="7"/>
        <v>0</v>
      </c>
      <c r="I15" s="548"/>
      <c r="J15" s="547"/>
      <c r="K15" s="547"/>
      <c r="L15" s="547"/>
      <c r="M15" s="777"/>
      <c r="N15" s="405">
        <v>57</v>
      </c>
      <c r="O15" s="405">
        <v>436</v>
      </c>
      <c r="P15" s="405">
        <v>165</v>
      </c>
      <c r="Q15" s="405">
        <v>436</v>
      </c>
      <c r="R15" s="405">
        <v>19</v>
      </c>
      <c r="S15" s="405">
        <v>436</v>
      </c>
      <c r="T15" s="405">
        <v>5</v>
      </c>
      <c r="U15" s="405">
        <v>436</v>
      </c>
      <c r="V15" s="405">
        <v>190</v>
      </c>
      <c r="W15" s="405">
        <v>436</v>
      </c>
      <c r="X15" s="405">
        <v>0</v>
      </c>
      <c r="Y15" s="405">
        <v>436</v>
      </c>
    </row>
    <row r="16" spans="1:25">
      <c r="A16" s="45" t="s">
        <v>104</v>
      </c>
      <c r="B16" s="45" t="s">
        <v>513</v>
      </c>
      <c r="C16" s="46">
        <f t="shared" si="2"/>
        <v>15.358361774744028</v>
      </c>
      <c r="D16" s="46">
        <f t="shared" si="3"/>
        <v>25.255972696245731</v>
      </c>
      <c r="E16" s="46">
        <f t="shared" si="4"/>
        <v>5.802047781569966</v>
      </c>
      <c r="F16" s="46">
        <f t="shared" si="5"/>
        <v>3.4129692832764507</v>
      </c>
      <c r="G16" s="46">
        <f t="shared" si="6"/>
        <v>50.170648464163826</v>
      </c>
      <c r="H16" s="46">
        <f t="shared" si="7"/>
        <v>0</v>
      </c>
      <c r="I16" s="548"/>
      <c r="J16" s="547"/>
      <c r="K16" s="547"/>
      <c r="L16" s="547"/>
      <c r="M16" s="777"/>
      <c r="N16" s="405">
        <v>45</v>
      </c>
      <c r="O16" s="405">
        <v>293</v>
      </c>
      <c r="P16" s="405">
        <v>74</v>
      </c>
      <c r="Q16" s="405">
        <v>293</v>
      </c>
      <c r="R16" s="405">
        <v>17</v>
      </c>
      <c r="S16" s="405">
        <v>293</v>
      </c>
      <c r="T16" s="405">
        <v>10</v>
      </c>
      <c r="U16" s="405">
        <v>293</v>
      </c>
      <c r="V16" s="405">
        <v>147</v>
      </c>
      <c r="W16" s="405">
        <v>293</v>
      </c>
      <c r="X16" s="405">
        <v>0</v>
      </c>
      <c r="Y16" s="405">
        <v>293</v>
      </c>
    </row>
    <row r="17" spans="1:25">
      <c r="A17" s="45" t="s">
        <v>107</v>
      </c>
      <c r="B17" s="45" t="s">
        <v>106</v>
      </c>
      <c r="C17" s="46">
        <f t="shared" si="2"/>
        <v>25.139664804469277</v>
      </c>
      <c r="D17" s="46">
        <f t="shared" si="3"/>
        <v>18.435754189944134</v>
      </c>
      <c r="E17" s="46">
        <f t="shared" si="4"/>
        <v>4.7486033519553068</v>
      </c>
      <c r="F17" s="46">
        <f t="shared" si="5"/>
        <v>2.2346368715083798</v>
      </c>
      <c r="G17" s="46">
        <f t="shared" si="6"/>
        <v>49.162011173184354</v>
      </c>
      <c r="H17" s="46">
        <f t="shared" si="7"/>
        <v>0.27932960893854747</v>
      </c>
      <c r="I17" s="548"/>
      <c r="J17" s="547"/>
      <c r="K17" s="547"/>
      <c r="L17" s="547"/>
      <c r="M17" s="777"/>
      <c r="N17" s="405">
        <v>90</v>
      </c>
      <c r="O17" s="405">
        <v>358</v>
      </c>
      <c r="P17" s="405">
        <v>66</v>
      </c>
      <c r="Q17" s="405">
        <v>358</v>
      </c>
      <c r="R17" s="405">
        <v>17</v>
      </c>
      <c r="S17" s="405">
        <v>358</v>
      </c>
      <c r="T17" s="405">
        <v>8</v>
      </c>
      <c r="U17" s="405">
        <v>358</v>
      </c>
      <c r="V17" s="405">
        <v>176</v>
      </c>
      <c r="W17" s="405">
        <v>358</v>
      </c>
      <c r="X17" s="405">
        <v>1</v>
      </c>
      <c r="Y17" s="405">
        <v>358</v>
      </c>
    </row>
    <row r="18" spans="1:25">
      <c r="A18" s="45" t="s">
        <v>109</v>
      </c>
      <c r="B18" s="45" t="s">
        <v>110</v>
      </c>
      <c r="C18" s="46">
        <f t="shared" si="2"/>
        <v>14.919354838709678</v>
      </c>
      <c r="D18" s="46">
        <f t="shared" si="3"/>
        <v>26.209677419354836</v>
      </c>
      <c r="E18" s="46">
        <f t="shared" si="4"/>
        <v>4.032258064516129</v>
      </c>
      <c r="F18" s="46">
        <f t="shared" si="5"/>
        <v>2.4193548387096775</v>
      </c>
      <c r="G18" s="46">
        <f t="shared" si="6"/>
        <v>52.419354838709673</v>
      </c>
      <c r="H18" s="46">
        <f t="shared" si="7"/>
        <v>0</v>
      </c>
      <c r="I18" s="548"/>
      <c r="J18" s="547"/>
      <c r="K18" s="547"/>
      <c r="L18" s="547"/>
      <c r="M18" s="777"/>
      <c r="N18" s="405">
        <v>37</v>
      </c>
      <c r="O18" s="405">
        <v>248</v>
      </c>
      <c r="P18" s="405">
        <v>65</v>
      </c>
      <c r="Q18" s="405">
        <v>248</v>
      </c>
      <c r="R18" s="405">
        <v>10</v>
      </c>
      <c r="S18" s="405">
        <v>248</v>
      </c>
      <c r="T18" s="405">
        <v>6</v>
      </c>
      <c r="U18" s="405">
        <v>248</v>
      </c>
      <c r="V18" s="405">
        <v>130</v>
      </c>
      <c r="W18" s="405">
        <v>248</v>
      </c>
      <c r="X18" s="405">
        <v>0</v>
      </c>
      <c r="Y18" s="405">
        <v>248</v>
      </c>
    </row>
    <row r="19" spans="1:25">
      <c r="A19" s="45" t="s">
        <v>112</v>
      </c>
      <c r="B19" s="45" t="s">
        <v>113</v>
      </c>
      <c r="C19" s="46">
        <f t="shared" si="2"/>
        <v>20.97902097902098</v>
      </c>
      <c r="D19" s="46">
        <f t="shared" si="3"/>
        <v>38.461538461538467</v>
      </c>
      <c r="E19" s="46">
        <f t="shared" si="4"/>
        <v>2.7972027972027971</v>
      </c>
      <c r="F19" s="46">
        <f t="shared" si="5"/>
        <v>2.0979020979020979</v>
      </c>
      <c r="G19" s="46">
        <f t="shared" si="6"/>
        <v>34.265734265734267</v>
      </c>
      <c r="H19" s="46">
        <f t="shared" si="7"/>
        <v>1.3986013986013985</v>
      </c>
      <c r="I19" s="548"/>
      <c r="J19" s="547"/>
      <c r="K19" s="547"/>
      <c r="L19" s="547"/>
      <c r="M19" s="777"/>
      <c r="N19" s="405">
        <v>30</v>
      </c>
      <c r="O19" s="405">
        <v>143</v>
      </c>
      <c r="P19" s="405">
        <v>55</v>
      </c>
      <c r="Q19" s="405">
        <v>143</v>
      </c>
      <c r="R19" s="405">
        <v>4</v>
      </c>
      <c r="S19" s="405">
        <v>143</v>
      </c>
      <c r="T19" s="405">
        <v>3</v>
      </c>
      <c r="U19" s="405">
        <v>143</v>
      </c>
      <c r="V19" s="405">
        <v>49</v>
      </c>
      <c r="W19" s="405">
        <v>143</v>
      </c>
      <c r="X19" s="405">
        <v>2</v>
      </c>
      <c r="Y19" s="405">
        <v>143</v>
      </c>
    </row>
    <row r="20" spans="1:25">
      <c r="A20" s="45" t="s">
        <v>115</v>
      </c>
      <c r="B20" s="45" t="s">
        <v>116</v>
      </c>
      <c r="C20" s="46">
        <f t="shared" si="2"/>
        <v>22.397094430992738</v>
      </c>
      <c r="D20" s="46">
        <f t="shared" si="3"/>
        <v>26.634382566585955</v>
      </c>
      <c r="E20" s="46">
        <f t="shared" si="4"/>
        <v>3.9951573849878934</v>
      </c>
      <c r="F20" s="46">
        <f t="shared" si="5"/>
        <v>2.1791767554479415</v>
      </c>
      <c r="G20" s="46">
        <f t="shared" si="6"/>
        <v>44.794188861985475</v>
      </c>
      <c r="H20" s="46">
        <f t="shared" si="7"/>
        <v>0</v>
      </c>
      <c r="I20" s="548"/>
      <c r="J20" s="547"/>
      <c r="K20" s="547"/>
      <c r="L20" s="547"/>
      <c r="M20" s="777"/>
      <c r="N20" s="405">
        <v>185</v>
      </c>
      <c r="O20" s="405">
        <v>826</v>
      </c>
      <c r="P20" s="405">
        <v>220</v>
      </c>
      <c r="Q20" s="405">
        <v>826</v>
      </c>
      <c r="R20" s="405">
        <v>33</v>
      </c>
      <c r="S20" s="405">
        <v>826</v>
      </c>
      <c r="T20" s="405">
        <v>18</v>
      </c>
      <c r="U20" s="405">
        <v>826</v>
      </c>
      <c r="V20" s="405">
        <v>370</v>
      </c>
      <c r="W20" s="405">
        <v>826</v>
      </c>
      <c r="X20" s="405">
        <v>0</v>
      </c>
      <c r="Y20" s="405">
        <v>826</v>
      </c>
    </row>
    <row r="21" spans="1:25">
      <c r="A21" s="45" t="s">
        <v>118</v>
      </c>
      <c r="B21" s="45" t="s">
        <v>119</v>
      </c>
      <c r="C21" s="46">
        <f t="shared" si="2"/>
        <v>19.565217391304348</v>
      </c>
      <c r="D21" s="46">
        <f t="shared" si="3"/>
        <v>34.782608695652172</v>
      </c>
      <c r="E21" s="46">
        <f t="shared" si="4"/>
        <v>2.1739130434782608</v>
      </c>
      <c r="F21" s="46">
        <f t="shared" si="5"/>
        <v>2.1739130434782608</v>
      </c>
      <c r="G21" s="46">
        <f t="shared" si="6"/>
        <v>39.130434782608695</v>
      </c>
      <c r="H21" s="46">
        <f t="shared" si="7"/>
        <v>2.1739130434782608</v>
      </c>
      <c r="I21" s="548"/>
      <c r="J21" s="547"/>
      <c r="K21" s="547"/>
      <c r="L21" s="547"/>
      <c r="M21" s="777"/>
      <c r="N21" s="405">
        <v>9</v>
      </c>
      <c r="O21" s="405">
        <v>46</v>
      </c>
      <c r="P21" s="405">
        <v>16</v>
      </c>
      <c r="Q21" s="405">
        <v>46</v>
      </c>
      <c r="R21" s="405">
        <v>1</v>
      </c>
      <c r="S21" s="405">
        <v>46</v>
      </c>
      <c r="T21" s="405">
        <v>1</v>
      </c>
      <c r="U21" s="405">
        <v>46</v>
      </c>
      <c r="V21" s="405">
        <v>18</v>
      </c>
      <c r="W21" s="405">
        <v>46</v>
      </c>
      <c r="X21" s="405">
        <v>1</v>
      </c>
      <c r="Y21" s="405">
        <v>46</v>
      </c>
    </row>
    <row r="22" spans="1:25">
      <c r="A22" s="45" t="s">
        <v>124</v>
      </c>
      <c r="B22" s="45" t="s">
        <v>125</v>
      </c>
      <c r="C22" s="46">
        <f t="shared" si="2"/>
        <v>4.3227665706051877</v>
      </c>
      <c r="D22" s="46">
        <f t="shared" si="3"/>
        <v>39.19308357348703</v>
      </c>
      <c r="E22" s="46">
        <f t="shared" si="4"/>
        <v>8.6455331412103753</v>
      </c>
      <c r="F22" s="46">
        <f t="shared" si="5"/>
        <v>2.8818443804034581</v>
      </c>
      <c r="G22" s="46">
        <f t="shared" si="6"/>
        <v>44.668587896253605</v>
      </c>
      <c r="H22" s="46">
        <f t="shared" si="7"/>
        <v>0.28818443804034583</v>
      </c>
      <c r="I22" s="548"/>
      <c r="J22" s="547"/>
      <c r="K22" s="547"/>
      <c r="L22" s="547"/>
      <c r="M22" s="777"/>
      <c r="N22" s="405">
        <v>15</v>
      </c>
      <c r="O22" s="405">
        <v>347</v>
      </c>
      <c r="P22" s="405">
        <v>136</v>
      </c>
      <c r="Q22" s="405">
        <v>347</v>
      </c>
      <c r="R22" s="405">
        <v>30</v>
      </c>
      <c r="S22" s="405">
        <v>347</v>
      </c>
      <c r="T22" s="405">
        <v>10</v>
      </c>
      <c r="U22" s="405">
        <v>347</v>
      </c>
      <c r="V22" s="405">
        <v>155</v>
      </c>
      <c r="W22" s="405">
        <v>347</v>
      </c>
      <c r="X22" s="405">
        <v>1</v>
      </c>
      <c r="Y22" s="405">
        <v>347</v>
      </c>
    </row>
    <row r="23" spans="1:25">
      <c r="A23" s="45" t="s">
        <v>127</v>
      </c>
      <c r="B23" s="45" t="s">
        <v>128</v>
      </c>
      <c r="C23" s="46">
        <f t="shared" si="2"/>
        <v>10.600706713780919</v>
      </c>
      <c r="D23" s="46">
        <f t="shared" si="3"/>
        <v>32.155477031802121</v>
      </c>
      <c r="E23" s="46">
        <f t="shared" si="4"/>
        <v>4.5936395759717312</v>
      </c>
      <c r="F23" s="46">
        <f t="shared" si="5"/>
        <v>1.7667844522968199</v>
      </c>
      <c r="G23" s="46">
        <f t="shared" si="6"/>
        <v>50.53003533568905</v>
      </c>
      <c r="H23" s="46">
        <f t="shared" si="7"/>
        <v>0.35335689045936397</v>
      </c>
      <c r="I23" s="548"/>
      <c r="J23" s="547"/>
      <c r="K23" s="547"/>
      <c r="L23" s="547"/>
      <c r="M23" s="777"/>
      <c r="N23" s="405">
        <v>30</v>
      </c>
      <c r="O23" s="405">
        <v>283</v>
      </c>
      <c r="P23" s="405">
        <v>91</v>
      </c>
      <c r="Q23" s="405">
        <v>283</v>
      </c>
      <c r="R23" s="405">
        <v>13</v>
      </c>
      <c r="S23" s="405">
        <v>283</v>
      </c>
      <c r="T23" s="405">
        <v>5</v>
      </c>
      <c r="U23" s="405">
        <v>283</v>
      </c>
      <c r="V23" s="405">
        <v>143</v>
      </c>
      <c r="W23" s="405">
        <v>283</v>
      </c>
      <c r="X23" s="405">
        <v>1</v>
      </c>
      <c r="Y23" s="405">
        <v>283</v>
      </c>
    </row>
    <row r="24" spans="1:25">
      <c r="A24" s="45" t="s">
        <v>37</v>
      </c>
      <c r="B24" s="45" t="s">
        <v>133</v>
      </c>
      <c r="C24" s="46">
        <f t="shared" si="2"/>
        <v>0</v>
      </c>
      <c r="D24" s="46">
        <f t="shared" si="3"/>
        <v>43.75</v>
      </c>
      <c r="E24" s="46">
        <f t="shared" si="4"/>
        <v>0</v>
      </c>
      <c r="F24" s="46">
        <f t="shared" si="5"/>
        <v>0</v>
      </c>
      <c r="G24" s="46">
        <f t="shared" si="6"/>
        <v>43.75</v>
      </c>
      <c r="H24" s="46">
        <f t="shared" si="7"/>
        <v>12.5</v>
      </c>
      <c r="I24" s="544"/>
      <c r="J24" s="543"/>
      <c r="K24" s="543"/>
      <c r="L24" s="543"/>
      <c r="M24" s="778"/>
      <c r="N24" s="405">
        <v>0</v>
      </c>
      <c r="O24" s="405">
        <v>16</v>
      </c>
      <c r="P24" s="405">
        <v>7</v>
      </c>
      <c r="Q24" s="405">
        <v>16</v>
      </c>
      <c r="R24" s="405">
        <v>0</v>
      </c>
      <c r="S24" s="405">
        <v>16</v>
      </c>
      <c r="T24" s="405">
        <v>0</v>
      </c>
      <c r="U24" s="405">
        <v>16</v>
      </c>
      <c r="V24" s="405">
        <v>7</v>
      </c>
      <c r="W24" s="405">
        <v>16</v>
      </c>
      <c r="X24" s="405">
        <v>2</v>
      </c>
      <c r="Y24" s="405">
        <v>16</v>
      </c>
    </row>
    <row r="25" spans="1:25">
      <c r="A25" s="51"/>
      <c r="C25" s="34"/>
      <c r="D25" s="34"/>
      <c r="E25" s="34"/>
      <c r="F25" s="34"/>
      <c r="G25" s="34"/>
      <c r="H25" s="34"/>
      <c r="I25" s="34"/>
    </row>
    <row r="26" spans="1:25">
      <c r="A26" s="51"/>
      <c r="C26" s="34"/>
      <c r="D26" s="34"/>
      <c r="E26" s="34"/>
      <c r="F26" s="34"/>
      <c r="G26" s="34"/>
      <c r="H26" s="34"/>
      <c r="I26" s="34"/>
    </row>
    <row r="27" spans="1:25">
      <c r="A27" s="51"/>
      <c r="C27" s="34"/>
      <c r="D27" s="34"/>
      <c r="E27" s="34"/>
      <c r="F27" s="34"/>
      <c r="G27" s="34"/>
      <c r="H27" s="34"/>
      <c r="I27" s="34"/>
    </row>
    <row r="28" spans="1:25">
      <c r="A28" s="51"/>
      <c r="C28" s="34"/>
      <c r="D28" s="34"/>
      <c r="E28" s="34"/>
      <c r="F28" s="34"/>
      <c r="G28" s="34"/>
      <c r="H28" s="34"/>
      <c r="I28" s="34"/>
    </row>
    <row r="29" spans="1:25">
      <c r="A29" s="51"/>
      <c r="C29" s="34"/>
      <c r="D29" s="34"/>
      <c r="E29" s="34"/>
      <c r="F29" s="34"/>
      <c r="G29" s="34"/>
      <c r="H29" s="34"/>
      <c r="I29" s="34"/>
    </row>
    <row r="30" spans="1:25">
      <c r="A30" s="51"/>
      <c r="C30" s="34"/>
      <c r="D30" s="34"/>
      <c r="E30" s="34"/>
      <c r="F30" s="34"/>
      <c r="G30" s="34"/>
      <c r="H30" s="34"/>
      <c r="I30" s="34"/>
    </row>
    <row r="31" spans="1:25">
      <c r="A31" s="51"/>
      <c r="C31" s="34"/>
      <c r="D31" s="34"/>
      <c r="E31" s="34"/>
      <c r="F31" s="34"/>
      <c r="G31" s="34"/>
      <c r="H31" s="34"/>
      <c r="I31" s="34"/>
    </row>
    <row r="32" spans="1:25">
      <c r="A32" s="51"/>
      <c r="C32" s="34"/>
      <c r="D32" s="34"/>
      <c r="E32" s="34"/>
      <c r="F32" s="34"/>
      <c r="G32" s="34"/>
      <c r="H32" s="34"/>
      <c r="I32" s="34"/>
    </row>
    <row r="33" spans="1:9">
      <c r="A33" s="51"/>
      <c r="C33" s="34"/>
      <c r="D33" s="34"/>
      <c r="E33" s="34"/>
      <c r="F33" s="34"/>
      <c r="G33" s="34"/>
      <c r="H33" s="34"/>
      <c r="I33" s="34"/>
    </row>
    <row r="34" spans="1:9">
      <c r="A34" s="51"/>
      <c r="C34" s="34"/>
      <c r="D34" s="34"/>
      <c r="E34" s="34"/>
      <c r="F34" s="34"/>
      <c r="G34" s="34"/>
      <c r="H34" s="34"/>
      <c r="I34" s="34"/>
    </row>
  </sheetData>
  <sheetProtection password="B8D9" sheet="1" objects="1" scenarios="1"/>
  <mergeCells count="8">
    <mergeCell ref="X1:Y1"/>
    <mergeCell ref="V1:W1"/>
    <mergeCell ref="A1:B1"/>
    <mergeCell ref="C1:H1"/>
    <mergeCell ref="N1:O1"/>
    <mergeCell ref="P1:Q1"/>
    <mergeCell ref="R1:S1"/>
    <mergeCell ref="T1:U1"/>
  </mergeCells>
  <pageMargins left="0.70866141732283472" right="0.70866141732283472" top="0.74803149606299213" bottom="0.74803149606299213" header="0.31496062992125984" footer="0.31496062992125984"/>
  <pageSetup paperSize="9" scale="50"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84.xml><?xml version="1.0" encoding="utf-8"?>
<worksheet xmlns="http://schemas.openxmlformats.org/spreadsheetml/2006/main" xmlns:r="http://schemas.openxmlformats.org/officeDocument/2006/relationships">
  <sheetPr codeName="Sheet84">
    <pageSetUpPr fitToPage="1"/>
  </sheetPr>
  <dimension ref="A1:T47"/>
  <sheetViews>
    <sheetView workbookViewId="0"/>
  </sheetViews>
  <sheetFormatPr defaultRowHeight="12.75"/>
  <cols>
    <col min="1" max="1" width="2.7109375" style="676" customWidth="1"/>
    <col min="2" max="16384" width="9.140625" style="676"/>
  </cols>
  <sheetData>
    <row r="1" spans="1:20" s="773" customFormat="1" ht="24.95" customHeight="1">
      <c r="A1" s="773" t="s">
        <v>639</v>
      </c>
      <c r="B1" s="969" t="s">
        <v>857</v>
      </c>
      <c r="C1" s="969"/>
      <c r="D1" s="969"/>
      <c r="E1" s="969"/>
      <c r="F1" s="969"/>
      <c r="G1" s="969"/>
      <c r="H1" s="969"/>
      <c r="I1" s="969"/>
      <c r="J1" s="969"/>
      <c r="K1" s="969"/>
      <c r="L1" s="969"/>
      <c r="M1" s="969"/>
      <c r="N1" s="969"/>
      <c r="O1" s="26"/>
      <c r="P1" s="985" t="s">
        <v>45</v>
      </c>
      <c r="Q1" s="26"/>
      <c r="R1" s="26"/>
      <c r="S1" s="26"/>
      <c r="T1" s="26"/>
    </row>
    <row r="2" spans="1:20" s="773" customFormat="1" ht="12.75" customHeight="1">
      <c r="B2" s="1043"/>
      <c r="C2" s="1043"/>
      <c r="D2" s="1043"/>
      <c r="E2" s="1043"/>
      <c r="F2" s="1043"/>
      <c r="G2" s="1043"/>
      <c r="H2" s="1043"/>
      <c r="I2" s="1043"/>
      <c r="J2" s="1043"/>
      <c r="K2" s="1043"/>
      <c r="L2" s="1043"/>
      <c r="M2" s="1043"/>
      <c r="O2" s="27"/>
      <c r="P2" s="985"/>
      <c r="Q2" s="28"/>
      <c r="R2" s="987"/>
      <c r="S2" s="987"/>
      <c r="T2" s="987"/>
    </row>
    <row r="3" spans="1:20" s="773" customFormat="1" ht="12.75" customHeight="1">
      <c r="B3" s="1043"/>
      <c r="C3" s="1043"/>
      <c r="D3" s="1043"/>
      <c r="E3" s="1043"/>
      <c r="F3" s="1043"/>
      <c r="G3" s="1043"/>
      <c r="H3" s="1043"/>
      <c r="I3" s="1043"/>
      <c r="J3" s="1043"/>
      <c r="K3" s="1043"/>
      <c r="L3" s="1043"/>
      <c r="M3" s="1043"/>
      <c r="O3" s="519"/>
      <c r="P3" s="985"/>
      <c r="Q3" s="29"/>
      <c r="R3" s="772"/>
      <c r="S3" s="772"/>
      <c r="T3" s="772"/>
    </row>
    <row r="4" spans="1:20" s="773" customFormat="1" ht="12.75" customHeight="1">
      <c r="B4" s="1044" t="s">
        <v>729</v>
      </c>
      <c r="C4" s="1044"/>
      <c r="D4" s="1044"/>
      <c r="E4" s="1044"/>
      <c r="F4" s="1044"/>
      <c r="G4" s="1044"/>
      <c r="H4" s="1044"/>
      <c r="I4" s="1044"/>
      <c r="J4" s="1044"/>
      <c r="K4" s="1044"/>
      <c r="L4" s="1044"/>
      <c r="M4" s="1044"/>
      <c r="O4" s="30"/>
      <c r="P4" s="985"/>
      <c r="Q4" s="770"/>
      <c r="R4" s="29"/>
      <c r="S4" s="72"/>
    </row>
    <row r="5" spans="1:20" s="773" customFormat="1" ht="12.75" customHeight="1">
      <c r="B5" s="1044"/>
      <c r="C5" s="1044"/>
      <c r="D5" s="1044"/>
      <c r="E5" s="1044"/>
      <c r="F5" s="1044"/>
      <c r="G5" s="1044"/>
      <c r="H5" s="1044"/>
      <c r="I5" s="1044"/>
      <c r="J5" s="1044"/>
      <c r="K5" s="1044"/>
      <c r="L5" s="1044"/>
      <c r="M5" s="1044"/>
      <c r="N5" s="771"/>
      <c r="O5" s="30"/>
      <c r="P5" s="30"/>
      <c r="Q5" s="770"/>
      <c r="R5" s="29"/>
      <c r="S5" s="72"/>
    </row>
    <row r="6" spans="1:20" s="773" customFormat="1" ht="12.75" customHeight="1">
      <c r="B6" s="1044"/>
      <c r="C6" s="1044"/>
      <c r="D6" s="1044"/>
      <c r="E6" s="1044"/>
      <c r="F6" s="1044"/>
      <c r="G6" s="1044"/>
      <c r="H6" s="1044"/>
      <c r="I6" s="1044"/>
      <c r="J6" s="1044"/>
      <c r="K6" s="1044"/>
      <c r="L6" s="1044"/>
      <c r="M6" s="1044"/>
      <c r="N6" s="771"/>
      <c r="O6" s="30"/>
      <c r="P6" s="835" t="s">
        <v>858</v>
      </c>
      <c r="Q6" s="770"/>
      <c r="R6" s="29"/>
      <c r="S6" s="72"/>
    </row>
    <row r="7" spans="1:20" s="773" customFormat="1">
      <c r="B7" s="1044"/>
      <c r="C7" s="1044"/>
      <c r="D7" s="1044"/>
      <c r="E7" s="1044"/>
      <c r="F7" s="1044"/>
      <c r="G7" s="1044"/>
      <c r="H7" s="1044"/>
      <c r="I7" s="1044"/>
      <c r="J7" s="1044"/>
      <c r="K7" s="1044"/>
      <c r="L7" s="1044"/>
      <c r="M7" s="1044"/>
      <c r="N7" s="775"/>
      <c r="O7" s="30"/>
      <c r="P7" s="30"/>
      <c r="Q7" s="770"/>
      <c r="R7" s="29"/>
      <c r="S7" s="72"/>
    </row>
    <row r="8" spans="1:20" s="773" customFormat="1">
      <c r="B8" s="1044"/>
      <c r="C8" s="1044"/>
      <c r="D8" s="1044"/>
      <c r="E8" s="1044"/>
      <c r="F8" s="1044"/>
      <c r="G8" s="1044"/>
      <c r="H8" s="1044"/>
      <c r="I8" s="1044"/>
      <c r="J8" s="1044"/>
      <c r="K8" s="1044"/>
      <c r="L8" s="1044"/>
      <c r="M8" s="1044"/>
      <c r="N8" s="775"/>
      <c r="O8" s="30"/>
      <c r="P8" s="30"/>
      <c r="Q8" s="770"/>
      <c r="R8" s="29"/>
      <c r="S8" s="72"/>
    </row>
    <row r="9" spans="1:20" s="773" customFormat="1">
      <c r="B9" s="1044"/>
      <c r="C9" s="1044"/>
      <c r="D9" s="1044"/>
      <c r="E9" s="1044"/>
      <c r="F9" s="1044"/>
      <c r="G9" s="1044"/>
      <c r="H9" s="1044"/>
      <c r="I9" s="1044"/>
      <c r="J9" s="1044"/>
      <c r="K9" s="1044"/>
      <c r="L9" s="1044"/>
      <c r="M9" s="1044"/>
      <c r="N9" s="775"/>
      <c r="O9" s="30"/>
      <c r="P9" s="30"/>
      <c r="Q9" s="770"/>
      <c r="R9" s="29"/>
      <c r="S9" s="72"/>
    </row>
    <row r="43" spans="2:14">
      <c r="B43" s="565"/>
      <c r="C43" s="565"/>
      <c r="D43" s="565"/>
      <c r="E43" s="565"/>
      <c r="F43" s="565"/>
      <c r="G43" s="565"/>
      <c r="H43" s="565"/>
      <c r="I43" s="565"/>
      <c r="J43" s="565"/>
      <c r="K43" s="565"/>
      <c r="L43" s="565"/>
      <c r="M43" s="565"/>
    </row>
    <row r="44" spans="2:14" s="773" customFormat="1">
      <c r="B44" s="77" t="s">
        <v>696</v>
      </c>
      <c r="D44" s="34"/>
      <c r="E44" s="34"/>
      <c r="F44" s="34"/>
      <c r="G44" s="34"/>
      <c r="H44" s="34"/>
      <c r="I44" s="34"/>
      <c r="J44" s="769"/>
      <c r="K44" s="769"/>
      <c r="L44" s="769"/>
      <c r="M44" s="769"/>
      <c r="N44" s="769"/>
    </row>
    <row r="45" spans="2:14" s="774" customFormat="1" ht="24.95" customHeight="1">
      <c r="B45" s="972" t="s">
        <v>0</v>
      </c>
      <c r="C45" s="972"/>
      <c r="D45" s="972"/>
      <c r="E45" s="972"/>
      <c r="F45" s="972"/>
      <c r="G45" s="972"/>
      <c r="H45" s="972"/>
      <c r="I45" s="972"/>
      <c r="J45" s="972"/>
      <c r="K45" s="972"/>
      <c r="L45" s="972"/>
      <c r="M45" s="972"/>
      <c r="N45" s="252"/>
    </row>
    <row r="46" spans="2:14" s="773" customFormat="1" ht="31.5" customHeight="1">
      <c r="B46" s="1081" t="s">
        <v>726</v>
      </c>
      <c r="C46" s="1081"/>
      <c r="D46" s="1081"/>
      <c r="E46" s="1081"/>
      <c r="F46" s="1081"/>
      <c r="G46" s="1081"/>
      <c r="H46" s="1081"/>
      <c r="I46" s="1081"/>
      <c r="J46" s="1081"/>
      <c r="K46" s="1081"/>
      <c r="L46" s="1081"/>
      <c r="M46" s="1081"/>
      <c r="N46" s="1081"/>
    </row>
    <row r="47" spans="2:14" s="773" customFormat="1">
      <c r="B47" s="50"/>
      <c r="D47" s="34"/>
      <c r="E47" s="34"/>
      <c r="F47" s="34"/>
      <c r="G47" s="34"/>
      <c r="H47" s="34"/>
      <c r="I47" s="34"/>
      <c r="J47" s="769"/>
      <c r="K47" s="769"/>
      <c r="L47" s="769"/>
      <c r="M47" s="769"/>
      <c r="N47" s="769"/>
    </row>
  </sheetData>
  <sheetProtection password="B8D9" sheet="1" objects="1" scenarios="1"/>
  <mergeCells count="7">
    <mergeCell ref="B46:N46"/>
    <mergeCell ref="B1:N1"/>
    <mergeCell ref="P1:P4"/>
    <mergeCell ref="B2:M3"/>
    <mergeCell ref="R2:T2"/>
    <mergeCell ref="B4:M9"/>
    <mergeCell ref="B45:M45"/>
  </mergeCells>
  <hyperlinks>
    <hyperlink ref="N4" location="'List of Tables &amp; Charts'!A1" display="return to List of Tables &amp; Charts"/>
    <hyperlink ref="P1" location="'List of Tables &amp; Charts'!A1" display="return to List of Tables &amp; Charts"/>
    <hyperlink ref="P6" location="'Chart N5 data'!A1" display="view Chart NN data"/>
  </hyperlinks>
  <pageMargins left="0.70866141732283472" right="0.70866141732283472" top="0.74803149606299213" bottom="0.74803149606299213" header="0.31496062992125984" footer="0.31496062992125984"/>
  <pageSetup paperSize="9" scale="74" orientation="landscape" r:id="rId1"/>
  <headerFooter>
    <oddFooter>&amp;L&amp;8Scottish Stroke Care Audit 2017 National Report
Stroke Services in Scottish Hospitals, Data relating to 2016&amp;R&amp;8© NHS National Services Scotland/Crown Copyright</oddFooter>
  </headerFooter>
  <drawing r:id="rId2"/>
</worksheet>
</file>

<file path=xl/worksheets/sheet85.xml><?xml version="1.0" encoding="utf-8"?>
<worksheet xmlns="http://schemas.openxmlformats.org/spreadsheetml/2006/main" xmlns:r="http://schemas.openxmlformats.org/officeDocument/2006/relationships">
  <sheetPr codeName="Sheet85">
    <pageSetUpPr fitToPage="1"/>
  </sheetPr>
  <dimension ref="A1:Y33"/>
  <sheetViews>
    <sheetView showGridLines="0" workbookViewId="0">
      <selection sqref="A1:B1"/>
    </sheetView>
  </sheetViews>
  <sheetFormatPr defaultRowHeight="12.75"/>
  <cols>
    <col min="1" max="1" width="16.7109375" style="773" customWidth="1"/>
    <col min="2" max="2" width="40.7109375" style="773" customWidth="1"/>
    <col min="3" max="8" width="10.7109375" style="769" customWidth="1"/>
    <col min="9" max="13" width="2.7109375" style="769" customWidth="1"/>
    <col min="14" max="14" width="9.28515625" style="769" customWidth="1"/>
    <col min="15" max="15" width="11.28515625" style="773" customWidth="1"/>
    <col min="16" max="16" width="9.28515625" style="773" customWidth="1"/>
    <col min="17" max="17" width="11.28515625" style="773" customWidth="1"/>
    <col min="18" max="18" width="9.28515625" style="773" customWidth="1"/>
    <col min="19" max="19" width="11.28515625" style="773" customWidth="1"/>
    <col min="20" max="20" width="9.28515625" style="773" customWidth="1"/>
    <col min="21" max="21" width="11.28515625" style="773" customWidth="1"/>
    <col min="22" max="22" width="9.28515625" style="773" customWidth="1"/>
    <col min="23" max="23" width="11.28515625" style="773" customWidth="1"/>
    <col min="24" max="24" width="9.28515625" style="773" customWidth="1"/>
    <col min="25" max="25" width="11.28515625" style="773" customWidth="1"/>
    <col min="26" max="16384" width="9.140625" style="773"/>
  </cols>
  <sheetData>
    <row r="1" spans="1:25" ht="25.5" customHeight="1">
      <c r="A1" s="1091">
        <v>2015</v>
      </c>
      <c r="B1" s="1046"/>
      <c r="C1" s="1062" t="s">
        <v>42</v>
      </c>
      <c r="D1" s="1063"/>
      <c r="E1" s="1063"/>
      <c r="F1" s="1063"/>
      <c r="G1" s="1063"/>
      <c r="H1" s="1064"/>
      <c r="I1" s="79"/>
      <c r="J1" s="79"/>
      <c r="K1" s="79"/>
      <c r="L1" s="79"/>
      <c r="M1" s="79"/>
      <c r="N1" s="1015" t="s">
        <v>716</v>
      </c>
      <c r="O1" s="1017"/>
      <c r="P1" s="1015" t="s">
        <v>717</v>
      </c>
      <c r="Q1" s="1017"/>
      <c r="R1" s="1015" t="s">
        <v>719</v>
      </c>
      <c r="S1" s="1017"/>
      <c r="T1" s="1015" t="s">
        <v>718</v>
      </c>
      <c r="U1" s="1017"/>
      <c r="V1" s="1016" t="s">
        <v>720</v>
      </c>
      <c r="W1" s="1082"/>
      <c r="X1" s="1016" t="s">
        <v>727</v>
      </c>
      <c r="Y1" s="1082"/>
    </row>
    <row r="2" spans="1:25" ht="45" customHeight="1">
      <c r="A2" s="80" t="s">
        <v>24</v>
      </c>
      <c r="B2" s="53" t="s">
        <v>25</v>
      </c>
      <c r="C2" s="40" t="s">
        <v>721</v>
      </c>
      <c r="D2" s="40" t="s">
        <v>722</v>
      </c>
      <c r="E2" s="40" t="s">
        <v>723</v>
      </c>
      <c r="F2" s="81" t="s">
        <v>724</v>
      </c>
      <c r="G2" s="81" t="s">
        <v>725</v>
      </c>
      <c r="H2" s="40" t="s">
        <v>728</v>
      </c>
      <c r="I2" s="82" t="s">
        <v>55</v>
      </c>
      <c r="J2" s="82" t="s">
        <v>168</v>
      </c>
      <c r="K2" s="82" t="s">
        <v>169</v>
      </c>
      <c r="L2" s="82" t="s">
        <v>170</v>
      </c>
      <c r="M2" s="82" t="s">
        <v>274</v>
      </c>
      <c r="N2" s="43" t="s">
        <v>26</v>
      </c>
      <c r="O2" s="43" t="s">
        <v>27</v>
      </c>
      <c r="P2" s="43" t="s">
        <v>26</v>
      </c>
      <c r="Q2" s="43" t="s">
        <v>27</v>
      </c>
      <c r="R2" s="43" t="s">
        <v>26</v>
      </c>
      <c r="S2" s="43" t="s">
        <v>27</v>
      </c>
      <c r="T2" s="43" t="s">
        <v>26</v>
      </c>
      <c r="U2" s="43" t="s">
        <v>27</v>
      </c>
      <c r="V2" s="83" t="s">
        <v>26</v>
      </c>
      <c r="W2" s="65" t="s">
        <v>27</v>
      </c>
      <c r="X2" s="83" t="s">
        <v>26</v>
      </c>
      <c r="Y2" s="65" t="s">
        <v>27</v>
      </c>
    </row>
    <row r="3" spans="1:25">
      <c r="A3" s="45" t="s">
        <v>178</v>
      </c>
      <c r="B3" s="45" t="s">
        <v>178</v>
      </c>
      <c r="C3" s="46">
        <f>N3/O3*100</f>
        <v>21.036814425244177</v>
      </c>
      <c r="D3" s="46">
        <f>P3/Q3*100</f>
        <v>30.939143501126971</v>
      </c>
      <c r="E3" s="46">
        <f>R3/S3*100</f>
        <v>4.3876784372652144</v>
      </c>
      <c r="F3" s="46">
        <f>T3/U3*100</f>
        <v>2.3741547708489859</v>
      </c>
      <c r="G3" s="46">
        <f>V3/W3*100</f>
        <v>40.856498873027796</v>
      </c>
      <c r="H3" s="46">
        <f>X3/Y3*100</f>
        <v>0.40570999248685202</v>
      </c>
      <c r="I3" s="551"/>
      <c r="J3" s="534"/>
      <c r="K3" s="534"/>
      <c r="L3" s="534"/>
      <c r="M3" s="776"/>
      <c r="N3" s="405">
        <f t="shared" ref="N3:Y3" si="0">SUM(N4:N23)</f>
        <v>1400</v>
      </c>
      <c r="O3" s="405">
        <f t="shared" si="0"/>
        <v>6655</v>
      </c>
      <c r="P3" s="405">
        <f t="shared" si="0"/>
        <v>2059</v>
      </c>
      <c r="Q3" s="405">
        <f t="shared" si="0"/>
        <v>6655</v>
      </c>
      <c r="R3" s="405">
        <f t="shared" si="0"/>
        <v>292</v>
      </c>
      <c r="S3" s="405">
        <f t="shared" si="0"/>
        <v>6655</v>
      </c>
      <c r="T3" s="405">
        <f t="shared" si="0"/>
        <v>158</v>
      </c>
      <c r="U3" s="405">
        <f t="shared" si="0"/>
        <v>6655</v>
      </c>
      <c r="V3" s="405">
        <f t="shared" si="0"/>
        <v>2719</v>
      </c>
      <c r="W3" s="405">
        <f t="shared" si="0"/>
        <v>6655</v>
      </c>
      <c r="X3" s="405">
        <f t="shared" si="0"/>
        <v>27</v>
      </c>
      <c r="Y3" s="405">
        <f t="shared" si="0"/>
        <v>6655</v>
      </c>
    </row>
    <row r="4" spans="1:25">
      <c r="A4" s="45" t="s">
        <v>58</v>
      </c>
      <c r="B4" s="45" t="s">
        <v>57</v>
      </c>
      <c r="C4" s="46">
        <f t="shared" ref="C4:C23" si="1">N4/O4*100</f>
        <v>24</v>
      </c>
      <c r="D4" s="46">
        <f t="shared" ref="D4:D23" si="2">P4/Q4*100</f>
        <v>64</v>
      </c>
      <c r="E4" s="46">
        <f t="shared" ref="E4:E23" si="3">R4/S4*100</f>
        <v>4.8</v>
      </c>
      <c r="F4" s="46">
        <f t="shared" ref="F4:F23" si="4">T4/U4*100</f>
        <v>1.6</v>
      </c>
      <c r="G4" s="46">
        <f t="shared" ref="G4:G23" si="5">V4/W4*100</f>
        <v>5.6000000000000005</v>
      </c>
      <c r="H4" s="46">
        <f t="shared" ref="H4:H23" si="6">X4/Y4*100</f>
        <v>0</v>
      </c>
      <c r="I4" s="548"/>
      <c r="J4" s="547"/>
      <c r="K4" s="547"/>
      <c r="L4" s="547"/>
      <c r="M4" s="777"/>
      <c r="N4" s="405">
        <v>30</v>
      </c>
      <c r="O4" s="405">
        <v>125</v>
      </c>
      <c r="P4" s="405">
        <v>80</v>
      </c>
      <c r="Q4" s="405">
        <v>125</v>
      </c>
      <c r="R4" s="405">
        <v>6</v>
      </c>
      <c r="S4" s="405">
        <v>125</v>
      </c>
      <c r="T4" s="405">
        <v>2</v>
      </c>
      <c r="U4" s="405">
        <v>125</v>
      </c>
      <c r="V4" s="405">
        <v>7</v>
      </c>
      <c r="W4" s="405">
        <v>125</v>
      </c>
      <c r="X4" s="405">
        <v>0</v>
      </c>
      <c r="Y4" s="405">
        <v>125</v>
      </c>
    </row>
    <row r="5" spans="1:25">
      <c r="A5" s="45" t="s">
        <v>60</v>
      </c>
      <c r="B5" s="45" t="s">
        <v>61</v>
      </c>
      <c r="C5" s="46">
        <f t="shared" si="1"/>
        <v>22.15909090909091</v>
      </c>
      <c r="D5" s="46">
        <f t="shared" si="2"/>
        <v>67.045454545454547</v>
      </c>
      <c r="E5" s="46">
        <f t="shared" si="3"/>
        <v>7.9545454545454541</v>
      </c>
      <c r="F5" s="46">
        <f t="shared" si="4"/>
        <v>2.2727272727272729</v>
      </c>
      <c r="G5" s="46">
        <f t="shared" si="5"/>
        <v>0.56818181818181823</v>
      </c>
      <c r="H5" s="46">
        <f t="shared" si="6"/>
        <v>0</v>
      </c>
      <c r="I5" s="548"/>
      <c r="J5" s="547"/>
      <c r="K5" s="547"/>
      <c r="L5" s="547"/>
      <c r="M5" s="777"/>
      <c r="N5" s="405">
        <v>39</v>
      </c>
      <c r="O5" s="405">
        <v>176</v>
      </c>
      <c r="P5" s="405">
        <v>118</v>
      </c>
      <c r="Q5" s="405">
        <v>176</v>
      </c>
      <c r="R5" s="405">
        <v>14</v>
      </c>
      <c r="S5" s="405">
        <v>176</v>
      </c>
      <c r="T5" s="405">
        <v>4</v>
      </c>
      <c r="U5" s="405">
        <v>176</v>
      </c>
      <c r="V5" s="405">
        <v>1</v>
      </c>
      <c r="W5" s="405">
        <v>176</v>
      </c>
      <c r="X5" s="405">
        <v>0</v>
      </c>
      <c r="Y5" s="405">
        <v>176</v>
      </c>
    </row>
    <row r="6" spans="1:25">
      <c r="A6" s="45" t="s">
        <v>28</v>
      </c>
      <c r="B6" s="45" t="s">
        <v>63</v>
      </c>
      <c r="C6" s="46">
        <f t="shared" si="1"/>
        <v>15.24822695035461</v>
      </c>
      <c r="D6" s="46">
        <f t="shared" si="2"/>
        <v>33.333333333333329</v>
      </c>
      <c r="E6" s="46">
        <f t="shared" si="3"/>
        <v>0.3546099290780142</v>
      </c>
      <c r="F6" s="46">
        <f t="shared" si="4"/>
        <v>0</v>
      </c>
      <c r="G6" s="46">
        <f t="shared" si="5"/>
        <v>51.063829787234042</v>
      </c>
      <c r="H6" s="46">
        <f t="shared" si="6"/>
        <v>0</v>
      </c>
      <c r="I6" s="548"/>
      <c r="J6" s="547"/>
      <c r="K6" s="547"/>
      <c r="L6" s="547"/>
      <c r="M6" s="777"/>
      <c r="N6" s="405">
        <v>43</v>
      </c>
      <c r="O6" s="405">
        <v>282</v>
      </c>
      <c r="P6" s="405">
        <v>94</v>
      </c>
      <c r="Q6" s="405">
        <v>282</v>
      </c>
      <c r="R6" s="405">
        <v>1</v>
      </c>
      <c r="S6" s="405">
        <v>282</v>
      </c>
      <c r="T6" s="405">
        <v>0</v>
      </c>
      <c r="U6" s="405">
        <v>282</v>
      </c>
      <c r="V6" s="405">
        <v>144</v>
      </c>
      <c r="W6" s="405">
        <v>282</v>
      </c>
      <c r="X6" s="405">
        <v>0</v>
      </c>
      <c r="Y6" s="405">
        <v>282</v>
      </c>
    </row>
    <row r="7" spans="1:25">
      <c r="A7" s="45" t="s">
        <v>65</v>
      </c>
      <c r="B7" s="45" t="s">
        <v>66</v>
      </c>
      <c r="C7" s="46">
        <f t="shared" si="1"/>
        <v>24.079320113314449</v>
      </c>
      <c r="D7" s="46">
        <f t="shared" si="2"/>
        <v>22.946175637393768</v>
      </c>
      <c r="E7" s="46">
        <f t="shared" si="3"/>
        <v>5.6657223796034</v>
      </c>
      <c r="F7" s="46">
        <f t="shared" si="4"/>
        <v>2.2662889518413598</v>
      </c>
      <c r="G7" s="46">
        <f t="shared" si="5"/>
        <v>44.475920679886691</v>
      </c>
      <c r="H7" s="46">
        <f t="shared" si="6"/>
        <v>0.56657223796033995</v>
      </c>
      <c r="I7" s="548"/>
      <c r="J7" s="547"/>
      <c r="K7" s="547"/>
      <c r="L7" s="547"/>
      <c r="M7" s="777"/>
      <c r="N7" s="405">
        <v>85</v>
      </c>
      <c r="O7" s="405">
        <v>353</v>
      </c>
      <c r="P7" s="405">
        <v>81</v>
      </c>
      <c r="Q7" s="405">
        <v>353</v>
      </c>
      <c r="R7" s="405">
        <v>20</v>
      </c>
      <c r="S7" s="405">
        <v>353</v>
      </c>
      <c r="T7" s="405">
        <v>8</v>
      </c>
      <c r="U7" s="405">
        <v>353</v>
      </c>
      <c r="V7" s="405">
        <v>157</v>
      </c>
      <c r="W7" s="405">
        <v>353</v>
      </c>
      <c r="X7" s="405">
        <v>2</v>
      </c>
      <c r="Y7" s="405">
        <v>353</v>
      </c>
    </row>
    <row r="8" spans="1:25">
      <c r="A8" s="45" t="s">
        <v>172</v>
      </c>
      <c r="B8" s="45" t="s">
        <v>173</v>
      </c>
      <c r="C8" s="46">
        <f t="shared" si="1"/>
        <v>17.337461300309599</v>
      </c>
      <c r="D8" s="46">
        <f t="shared" si="2"/>
        <v>31.578947368421051</v>
      </c>
      <c r="E8" s="46">
        <f t="shared" si="3"/>
        <v>4.0247678018575854</v>
      </c>
      <c r="F8" s="46">
        <f t="shared" si="4"/>
        <v>2.7863777089783279</v>
      </c>
      <c r="G8" s="46">
        <f t="shared" si="5"/>
        <v>44.27244582043344</v>
      </c>
      <c r="H8" s="46">
        <f t="shared" si="6"/>
        <v>0</v>
      </c>
      <c r="I8" s="548"/>
      <c r="J8" s="547"/>
      <c r="K8" s="547"/>
      <c r="L8" s="547"/>
      <c r="M8" s="777"/>
      <c r="N8" s="405">
        <v>56</v>
      </c>
      <c r="O8" s="405">
        <v>323</v>
      </c>
      <c r="P8" s="405">
        <v>102</v>
      </c>
      <c r="Q8" s="405">
        <v>323</v>
      </c>
      <c r="R8" s="405">
        <v>13</v>
      </c>
      <c r="S8" s="405">
        <v>323</v>
      </c>
      <c r="T8" s="405">
        <v>9</v>
      </c>
      <c r="U8" s="405">
        <v>323</v>
      </c>
      <c r="V8" s="405">
        <v>143</v>
      </c>
      <c r="W8" s="405">
        <v>323</v>
      </c>
      <c r="X8" s="405">
        <v>0</v>
      </c>
      <c r="Y8" s="405">
        <v>323</v>
      </c>
    </row>
    <row r="9" spans="1:25">
      <c r="A9" s="45" t="s">
        <v>174</v>
      </c>
      <c r="B9" s="45" t="s">
        <v>71</v>
      </c>
      <c r="C9" s="46">
        <f t="shared" si="1"/>
        <v>25.866050808314089</v>
      </c>
      <c r="D9" s="46">
        <f t="shared" si="2"/>
        <v>35.103926096997689</v>
      </c>
      <c r="E9" s="46">
        <f t="shared" si="3"/>
        <v>2.3094688221709005</v>
      </c>
      <c r="F9" s="46">
        <f t="shared" si="4"/>
        <v>1.3856812933025404</v>
      </c>
      <c r="G9" s="46">
        <f t="shared" si="5"/>
        <v>35.334872979214779</v>
      </c>
      <c r="H9" s="46">
        <f t="shared" si="6"/>
        <v>0</v>
      </c>
      <c r="I9" s="548"/>
      <c r="J9" s="547"/>
      <c r="K9" s="547"/>
      <c r="L9" s="547"/>
      <c r="M9" s="777"/>
      <c r="N9" s="405">
        <v>112</v>
      </c>
      <c r="O9" s="405">
        <v>433</v>
      </c>
      <c r="P9" s="405">
        <v>152</v>
      </c>
      <c r="Q9" s="405">
        <v>433</v>
      </c>
      <c r="R9" s="405">
        <v>10</v>
      </c>
      <c r="S9" s="405">
        <v>433</v>
      </c>
      <c r="T9" s="405">
        <v>6</v>
      </c>
      <c r="U9" s="405">
        <v>433</v>
      </c>
      <c r="V9" s="405">
        <v>153</v>
      </c>
      <c r="W9" s="405">
        <v>433</v>
      </c>
      <c r="X9" s="405">
        <v>0</v>
      </c>
      <c r="Y9" s="405">
        <v>433</v>
      </c>
    </row>
    <row r="10" spans="1:25">
      <c r="A10" s="45" t="s">
        <v>183</v>
      </c>
      <c r="B10" s="45" t="s">
        <v>73</v>
      </c>
      <c r="C10" s="46">
        <f t="shared" si="1"/>
        <v>19.951923076923077</v>
      </c>
      <c r="D10" s="46">
        <f t="shared" si="2"/>
        <v>44.711538461538467</v>
      </c>
      <c r="E10" s="46">
        <f t="shared" si="3"/>
        <v>5.2884615384615383</v>
      </c>
      <c r="F10" s="46">
        <f t="shared" si="4"/>
        <v>1.6826923076923077</v>
      </c>
      <c r="G10" s="46">
        <f t="shared" si="5"/>
        <v>28.125</v>
      </c>
      <c r="H10" s="46">
        <f t="shared" si="6"/>
        <v>0.24038461538461539</v>
      </c>
      <c r="I10" s="548"/>
      <c r="J10" s="547"/>
      <c r="K10" s="547"/>
      <c r="L10" s="547"/>
      <c r="M10" s="777"/>
      <c r="N10" s="405">
        <v>83</v>
      </c>
      <c r="O10" s="405">
        <v>416</v>
      </c>
      <c r="P10" s="405">
        <v>186</v>
      </c>
      <c r="Q10" s="405">
        <v>416</v>
      </c>
      <c r="R10" s="405">
        <v>22</v>
      </c>
      <c r="S10" s="405">
        <v>416</v>
      </c>
      <c r="T10" s="405">
        <v>7</v>
      </c>
      <c r="U10" s="405">
        <v>416</v>
      </c>
      <c r="V10" s="405">
        <v>117</v>
      </c>
      <c r="W10" s="405">
        <v>416</v>
      </c>
      <c r="X10" s="405">
        <v>1</v>
      </c>
      <c r="Y10" s="405">
        <v>416</v>
      </c>
    </row>
    <row r="11" spans="1:25">
      <c r="A11" s="45" t="s">
        <v>175</v>
      </c>
      <c r="B11" s="45" t="s">
        <v>75</v>
      </c>
      <c r="C11" s="46">
        <f t="shared" si="1"/>
        <v>24.117647058823529</v>
      </c>
      <c r="D11" s="46">
        <f t="shared" si="2"/>
        <v>25.411764705882351</v>
      </c>
      <c r="E11" s="46">
        <f t="shared" si="3"/>
        <v>3.0588235294117649</v>
      </c>
      <c r="F11" s="46">
        <f t="shared" si="4"/>
        <v>2.3529411764705883</v>
      </c>
      <c r="G11" s="46">
        <f t="shared" si="5"/>
        <v>44.235294117647058</v>
      </c>
      <c r="H11" s="46">
        <f t="shared" si="6"/>
        <v>0.82352941176470595</v>
      </c>
      <c r="I11" s="548"/>
      <c r="J11" s="547"/>
      <c r="K11" s="547"/>
      <c r="L11" s="547"/>
      <c r="M11" s="777"/>
      <c r="N11" s="405">
        <v>205</v>
      </c>
      <c r="O11" s="405">
        <v>850</v>
      </c>
      <c r="P11" s="405">
        <v>216</v>
      </c>
      <c r="Q11" s="405">
        <v>850</v>
      </c>
      <c r="R11" s="405">
        <v>26</v>
      </c>
      <c r="S11" s="405">
        <v>850</v>
      </c>
      <c r="T11" s="405">
        <v>20</v>
      </c>
      <c r="U11" s="405">
        <v>850</v>
      </c>
      <c r="V11" s="405">
        <v>376</v>
      </c>
      <c r="W11" s="405">
        <v>850</v>
      </c>
      <c r="X11" s="405">
        <v>7</v>
      </c>
      <c r="Y11" s="405">
        <v>850</v>
      </c>
    </row>
    <row r="12" spans="1:25">
      <c r="A12" s="45" t="s">
        <v>77</v>
      </c>
      <c r="B12" s="45" t="s">
        <v>78</v>
      </c>
      <c r="C12" s="46">
        <f t="shared" si="1"/>
        <v>21.212121212121211</v>
      </c>
      <c r="D12" s="46">
        <f t="shared" si="2"/>
        <v>57.575757575757578</v>
      </c>
      <c r="E12" s="46">
        <f t="shared" si="3"/>
        <v>3.0303030303030303</v>
      </c>
      <c r="F12" s="46">
        <f t="shared" si="4"/>
        <v>1.5151515151515151</v>
      </c>
      <c r="G12" s="46">
        <f t="shared" si="5"/>
        <v>16.666666666666664</v>
      </c>
      <c r="H12" s="46">
        <f t="shared" si="6"/>
        <v>0</v>
      </c>
      <c r="I12" s="548"/>
      <c r="J12" s="547"/>
      <c r="K12" s="547"/>
      <c r="L12" s="547"/>
      <c r="M12" s="777"/>
      <c r="N12" s="405">
        <v>14</v>
      </c>
      <c r="O12" s="405">
        <v>66</v>
      </c>
      <c r="P12" s="405">
        <v>38</v>
      </c>
      <c r="Q12" s="405">
        <v>66</v>
      </c>
      <c r="R12" s="405">
        <v>2</v>
      </c>
      <c r="S12" s="405">
        <v>66</v>
      </c>
      <c r="T12" s="405">
        <v>1</v>
      </c>
      <c r="U12" s="405">
        <v>66</v>
      </c>
      <c r="V12" s="405">
        <v>11</v>
      </c>
      <c r="W12" s="405">
        <v>66</v>
      </c>
      <c r="X12" s="405">
        <v>0</v>
      </c>
      <c r="Y12" s="405">
        <v>66</v>
      </c>
    </row>
    <row r="13" spans="1:25">
      <c r="A13" s="45" t="s">
        <v>95</v>
      </c>
      <c r="B13" s="45" t="s">
        <v>96</v>
      </c>
      <c r="C13" s="46">
        <f t="shared" si="1"/>
        <v>14.705882352941178</v>
      </c>
      <c r="D13" s="46">
        <f t="shared" si="2"/>
        <v>41.17647058823529</v>
      </c>
      <c r="E13" s="46">
        <f t="shared" si="3"/>
        <v>2.9411764705882351</v>
      </c>
      <c r="F13" s="46">
        <f t="shared" si="4"/>
        <v>0</v>
      </c>
      <c r="G13" s="46">
        <f t="shared" si="5"/>
        <v>30.882352941176471</v>
      </c>
      <c r="H13" s="46">
        <f t="shared" si="6"/>
        <v>10.294117647058822</v>
      </c>
      <c r="I13" s="548"/>
      <c r="J13" s="547"/>
      <c r="K13" s="547"/>
      <c r="L13" s="547"/>
      <c r="M13" s="777"/>
      <c r="N13" s="405">
        <v>10</v>
      </c>
      <c r="O13" s="405">
        <v>68</v>
      </c>
      <c r="P13" s="405">
        <v>28</v>
      </c>
      <c r="Q13" s="405">
        <v>68</v>
      </c>
      <c r="R13" s="405">
        <v>2</v>
      </c>
      <c r="S13" s="405">
        <v>68</v>
      </c>
      <c r="T13" s="405">
        <v>0</v>
      </c>
      <c r="U13" s="405">
        <v>68</v>
      </c>
      <c r="V13" s="405">
        <v>21</v>
      </c>
      <c r="W13" s="405">
        <v>68</v>
      </c>
      <c r="X13" s="405">
        <v>7</v>
      </c>
      <c r="Y13" s="405">
        <v>68</v>
      </c>
    </row>
    <row r="14" spans="1:25">
      <c r="A14" s="45" t="s">
        <v>98</v>
      </c>
      <c r="B14" s="45" t="s">
        <v>99</v>
      </c>
      <c r="C14" s="46">
        <f t="shared" si="1"/>
        <v>33.67768595041322</v>
      </c>
      <c r="D14" s="46">
        <f t="shared" si="2"/>
        <v>24.586776859504134</v>
      </c>
      <c r="E14" s="46">
        <f t="shared" si="3"/>
        <v>4.7520661157024797</v>
      </c>
      <c r="F14" s="46">
        <f t="shared" si="4"/>
        <v>3.9256198347107438</v>
      </c>
      <c r="G14" s="46">
        <f t="shared" si="5"/>
        <v>33.057851239669425</v>
      </c>
      <c r="H14" s="46">
        <f t="shared" si="6"/>
        <v>0</v>
      </c>
      <c r="I14" s="548"/>
      <c r="J14" s="547"/>
      <c r="K14" s="547"/>
      <c r="L14" s="547"/>
      <c r="M14" s="777"/>
      <c r="N14" s="405">
        <v>163</v>
      </c>
      <c r="O14" s="405">
        <v>484</v>
      </c>
      <c r="P14" s="405">
        <v>119</v>
      </c>
      <c r="Q14" s="405">
        <v>484</v>
      </c>
      <c r="R14" s="405">
        <v>23</v>
      </c>
      <c r="S14" s="405">
        <v>484</v>
      </c>
      <c r="T14" s="405">
        <v>19</v>
      </c>
      <c r="U14" s="405">
        <v>484</v>
      </c>
      <c r="V14" s="405">
        <v>160</v>
      </c>
      <c r="W14" s="405">
        <v>484</v>
      </c>
      <c r="X14" s="405">
        <v>0</v>
      </c>
      <c r="Y14" s="405">
        <v>484</v>
      </c>
    </row>
    <row r="15" spans="1:25">
      <c r="A15" s="45" t="s">
        <v>101</v>
      </c>
      <c r="B15" s="45" t="s">
        <v>102</v>
      </c>
      <c r="C15" s="46">
        <f t="shared" si="1"/>
        <v>17.317073170731707</v>
      </c>
      <c r="D15" s="46">
        <f t="shared" si="2"/>
        <v>28.292682926829265</v>
      </c>
      <c r="E15" s="46">
        <f t="shared" si="3"/>
        <v>5.6097560975609762</v>
      </c>
      <c r="F15" s="46">
        <f t="shared" si="4"/>
        <v>3.4146341463414638</v>
      </c>
      <c r="G15" s="46">
        <f t="shared" si="5"/>
        <v>45.365853658536587</v>
      </c>
      <c r="H15" s="46">
        <f t="shared" si="6"/>
        <v>0</v>
      </c>
      <c r="I15" s="548"/>
      <c r="J15" s="547"/>
      <c r="K15" s="547"/>
      <c r="L15" s="547"/>
      <c r="M15" s="777"/>
      <c r="N15" s="405">
        <v>71</v>
      </c>
      <c r="O15" s="405">
        <v>410</v>
      </c>
      <c r="P15" s="405">
        <v>116</v>
      </c>
      <c r="Q15" s="405">
        <v>410</v>
      </c>
      <c r="R15" s="405">
        <v>23</v>
      </c>
      <c r="S15" s="405">
        <v>410</v>
      </c>
      <c r="T15" s="405">
        <v>14</v>
      </c>
      <c r="U15" s="405">
        <v>410</v>
      </c>
      <c r="V15" s="405">
        <v>186</v>
      </c>
      <c r="W15" s="405">
        <v>410</v>
      </c>
      <c r="X15" s="405">
        <v>0</v>
      </c>
      <c r="Y15" s="405">
        <v>410</v>
      </c>
    </row>
    <row r="16" spans="1:25">
      <c r="A16" s="45" t="s">
        <v>104</v>
      </c>
      <c r="B16" s="45" t="s">
        <v>513</v>
      </c>
      <c r="C16" s="46">
        <f t="shared" si="1"/>
        <v>13.522012578616351</v>
      </c>
      <c r="D16" s="46">
        <f t="shared" si="2"/>
        <v>20.125786163522015</v>
      </c>
      <c r="E16" s="46">
        <f t="shared" si="3"/>
        <v>6.2893081761006293</v>
      </c>
      <c r="F16" s="46">
        <f t="shared" si="4"/>
        <v>5.0314465408805038</v>
      </c>
      <c r="G16" s="46">
        <f t="shared" si="5"/>
        <v>55.031446540880502</v>
      </c>
      <c r="H16" s="46">
        <f t="shared" si="6"/>
        <v>0</v>
      </c>
      <c r="I16" s="548"/>
      <c r="J16" s="547"/>
      <c r="K16" s="547"/>
      <c r="L16" s="547"/>
      <c r="M16" s="777"/>
      <c r="N16" s="405">
        <v>43</v>
      </c>
      <c r="O16" s="405">
        <v>318</v>
      </c>
      <c r="P16" s="405">
        <v>64</v>
      </c>
      <c r="Q16" s="405">
        <v>318</v>
      </c>
      <c r="R16" s="405">
        <v>20</v>
      </c>
      <c r="S16" s="405">
        <v>318</v>
      </c>
      <c r="T16" s="405">
        <v>16</v>
      </c>
      <c r="U16" s="405">
        <v>318</v>
      </c>
      <c r="V16" s="405">
        <v>175</v>
      </c>
      <c r="W16" s="405">
        <v>318</v>
      </c>
      <c r="X16" s="405">
        <v>0</v>
      </c>
      <c r="Y16" s="405">
        <v>318</v>
      </c>
    </row>
    <row r="17" spans="1:25">
      <c r="A17" s="45" t="s">
        <v>107</v>
      </c>
      <c r="B17" s="45" t="s">
        <v>106</v>
      </c>
      <c r="C17" s="46">
        <f t="shared" si="1"/>
        <v>21.09375</v>
      </c>
      <c r="D17" s="46">
        <f t="shared" si="2"/>
        <v>15.885416666666666</v>
      </c>
      <c r="E17" s="46">
        <f t="shared" si="3"/>
        <v>4.4270833333333339</v>
      </c>
      <c r="F17" s="46">
        <f t="shared" si="4"/>
        <v>2.864583333333333</v>
      </c>
      <c r="G17" s="46">
        <f t="shared" si="5"/>
        <v>55.46875</v>
      </c>
      <c r="H17" s="46">
        <f t="shared" si="6"/>
        <v>0.26041666666666663</v>
      </c>
      <c r="I17" s="548"/>
      <c r="J17" s="547"/>
      <c r="K17" s="547"/>
      <c r="L17" s="547"/>
      <c r="M17" s="777"/>
      <c r="N17" s="405">
        <v>81</v>
      </c>
      <c r="O17" s="405">
        <v>384</v>
      </c>
      <c r="P17" s="405">
        <v>61</v>
      </c>
      <c r="Q17" s="405">
        <v>384</v>
      </c>
      <c r="R17" s="405">
        <v>17</v>
      </c>
      <c r="S17" s="405">
        <v>384</v>
      </c>
      <c r="T17" s="405">
        <v>11</v>
      </c>
      <c r="U17" s="405">
        <v>384</v>
      </c>
      <c r="V17" s="405">
        <v>213</v>
      </c>
      <c r="W17" s="405">
        <v>384</v>
      </c>
      <c r="X17" s="405">
        <v>1</v>
      </c>
      <c r="Y17" s="405">
        <v>384</v>
      </c>
    </row>
    <row r="18" spans="1:25">
      <c r="A18" s="45" t="s">
        <v>112</v>
      </c>
      <c r="B18" s="45" t="s">
        <v>113</v>
      </c>
      <c r="C18" s="46">
        <f t="shared" si="1"/>
        <v>26.415094339622641</v>
      </c>
      <c r="D18" s="46">
        <f t="shared" si="2"/>
        <v>33.20754716981132</v>
      </c>
      <c r="E18" s="46">
        <f t="shared" si="3"/>
        <v>4.1509433962264151</v>
      </c>
      <c r="F18" s="46">
        <f t="shared" si="4"/>
        <v>1.8867924528301887</v>
      </c>
      <c r="G18" s="46">
        <f t="shared" si="5"/>
        <v>33.20754716981132</v>
      </c>
      <c r="H18" s="46">
        <f t="shared" si="6"/>
        <v>1.1320754716981132</v>
      </c>
      <c r="I18" s="548"/>
      <c r="J18" s="547"/>
      <c r="K18" s="547"/>
      <c r="L18" s="547"/>
      <c r="M18" s="777"/>
      <c r="N18" s="405">
        <v>70</v>
      </c>
      <c r="O18" s="405">
        <v>265</v>
      </c>
      <c r="P18" s="405">
        <v>88</v>
      </c>
      <c r="Q18" s="405">
        <v>265</v>
      </c>
      <c r="R18" s="405">
        <v>11</v>
      </c>
      <c r="S18" s="405">
        <v>265</v>
      </c>
      <c r="T18" s="405">
        <v>5</v>
      </c>
      <c r="U18" s="405">
        <v>265</v>
      </c>
      <c r="V18" s="405">
        <v>88</v>
      </c>
      <c r="W18" s="405">
        <v>265</v>
      </c>
      <c r="X18" s="405">
        <v>3</v>
      </c>
      <c r="Y18" s="405">
        <v>265</v>
      </c>
    </row>
    <row r="19" spans="1:25">
      <c r="A19" s="45" t="s">
        <v>115</v>
      </c>
      <c r="B19" s="45" t="s">
        <v>116</v>
      </c>
      <c r="C19" s="46">
        <f t="shared" si="1"/>
        <v>25.618199802176061</v>
      </c>
      <c r="D19" s="46">
        <f t="shared" si="2"/>
        <v>28.882294757665676</v>
      </c>
      <c r="E19" s="46">
        <f t="shared" si="3"/>
        <v>4.9455984174085064</v>
      </c>
      <c r="F19" s="46">
        <f t="shared" si="4"/>
        <v>1.8793273986152326</v>
      </c>
      <c r="G19" s="46">
        <f t="shared" si="5"/>
        <v>38.674579624134523</v>
      </c>
      <c r="H19" s="46">
        <f t="shared" si="6"/>
        <v>0</v>
      </c>
      <c r="I19" s="548"/>
      <c r="J19" s="547"/>
      <c r="K19" s="547"/>
      <c r="L19" s="547"/>
      <c r="M19" s="777"/>
      <c r="N19" s="405">
        <v>259</v>
      </c>
      <c r="O19" s="405">
        <v>1011</v>
      </c>
      <c r="P19" s="405">
        <v>292</v>
      </c>
      <c r="Q19" s="405">
        <v>1011</v>
      </c>
      <c r="R19" s="405">
        <v>50</v>
      </c>
      <c r="S19" s="405">
        <v>1011</v>
      </c>
      <c r="T19" s="405">
        <v>19</v>
      </c>
      <c r="U19" s="405">
        <v>1011</v>
      </c>
      <c r="V19" s="405">
        <v>391</v>
      </c>
      <c r="W19" s="405">
        <v>1011</v>
      </c>
      <c r="X19" s="405">
        <v>0</v>
      </c>
      <c r="Y19" s="405">
        <v>1011</v>
      </c>
    </row>
    <row r="20" spans="1:25">
      <c r="A20" s="45" t="s">
        <v>118</v>
      </c>
      <c r="B20" s="45" t="s">
        <v>119</v>
      </c>
      <c r="C20" s="46">
        <f t="shared" si="1"/>
        <v>0</v>
      </c>
      <c r="D20" s="46">
        <f t="shared" si="2"/>
        <v>100</v>
      </c>
      <c r="E20" s="46">
        <f t="shared" si="3"/>
        <v>0</v>
      </c>
      <c r="F20" s="46">
        <f t="shared" si="4"/>
        <v>0</v>
      </c>
      <c r="G20" s="46">
        <f t="shared" si="5"/>
        <v>0</v>
      </c>
      <c r="H20" s="46">
        <f t="shared" si="6"/>
        <v>0</v>
      </c>
      <c r="I20" s="548"/>
      <c r="J20" s="547"/>
      <c r="K20" s="547"/>
      <c r="L20" s="547"/>
      <c r="M20" s="777"/>
      <c r="N20" s="405">
        <v>0</v>
      </c>
      <c r="O20" s="405">
        <v>1</v>
      </c>
      <c r="P20" s="405">
        <v>1</v>
      </c>
      <c r="Q20" s="405">
        <v>1</v>
      </c>
      <c r="R20" s="405">
        <v>0</v>
      </c>
      <c r="S20" s="405">
        <v>1</v>
      </c>
      <c r="T20" s="405">
        <v>0</v>
      </c>
      <c r="U20" s="405">
        <v>1</v>
      </c>
      <c r="V20" s="405">
        <v>0</v>
      </c>
      <c r="W20" s="405">
        <v>1</v>
      </c>
      <c r="X20" s="405">
        <v>0</v>
      </c>
      <c r="Y20" s="405">
        <v>1</v>
      </c>
    </row>
    <row r="21" spans="1:25">
      <c r="A21" s="45" t="s">
        <v>124</v>
      </c>
      <c r="B21" s="45" t="s">
        <v>125</v>
      </c>
      <c r="C21" s="46">
        <f t="shared" si="1"/>
        <v>2.8277634961439588</v>
      </c>
      <c r="D21" s="46">
        <f t="shared" si="2"/>
        <v>34.190231362467863</v>
      </c>
      <c r="E21" s="46">
        <f t="shared" si="3"/>
        <v>5.9125964010282779</v>
      </c>
      <c r="F21" s="46">
        <f t="shared" si="4"/>
        <v>3.5989717223650386</v>
      </c>
      <c r="G21" s="46">
        <f t="shared" si="5"/>
        <v>52.699228791773777</v>
      </c>
      <c r="H21" s="46">
        <f t="shared" si="6"/>
        <v>0.77120822622107965</v>
      </c>
      <c r="I21" s="548"/>
      <c r="J21" s="547"/>
      <c r="K21" s="547"/>
      <c r="L21" s="547"/>
      <c r="M21" s="777"/>
      <c r="N21" s="405">
        <v>11</v>
      </c>
      <c r="O21" s="405">
        <v>389</v>
      </c>
      <c r="P21" s="405">
        <v>133</v>
      </c>
      <c r="Q21" s="405">
        <v>389</v>
      </c>
      <c r="R21" s="405">
        <v>23</v>
      </c>
      <c r="S21" s="405">
        <v>389</v>
      </c>
      <c r="T21" s="405">
        <v>14</v>
      </c>
      <c r="U21" s="405">
        <v>389</v>
      </c>
      <c r="V21" s="405">
        <v>205</v>
      </c>
      <c r="W21" s="405">
        <v>389</v>
      </c>
      <c r="X21" s="405">
        <v>3</v>
      </c>
      <c r="Y21" s="405">
        <v>389</v>
      </c>
    </row>
    <row r="22" spans="1:25">
      <c r="A22" s="45" t="s">
        <v>127</v>
      </c>
      <c r="B22" s="45" t="s">
        <v>128</v>
      </c>
      <c r="C22" s="46">
        <f t="shared" si="1"/>
        <v>7.4074074074074066</v>
      </c>
      <c r="D22" s="46">
        <f t="shared" si="2"/>
        <v>29.259259259259256</v>
      </c>
      <c r="E22" s="46">
        <f t="shared" si="3"/>
        <v>2.9629629629629632</v>
      </c>
      <c r="F22" s="46">
        <f t="shared" si="4"/>
        <v>1.1111111111111112</v>
      </c>
      <c r="G22" s="46">
        <f t="shared" si="5"/>
        <v>59.259259259259252</v>
      </c>
      <c r="H22" s="46">
        <f t="shared" si="6"/>
        <v>0</v>
      </c>
      <c r="I22" s="548"/>
      <c r="J22" s="547"/>
      <c r="K22" s="547"/>
      <c r="L22" s="547"/>
      <c r="M22" s="777"/>
      <c r="N22" s="405">
        <v>20</v>
      </c>
      <c r="O22" s="405">
        <v>270</v>
      </c>
      <c r="P22" s="405">
        <v>79</v>
      </c>
      <c r="Q22" s="405">
        <v>270</v>
      </c>
      <c r="R22" s="405">
        <v>8</v>
      </c>
      <c r="S22" s="405">
        <v>270</v>
      </c>
      <c r="T22" s="405">
        <v>3</v>
      </c>
      <c r="U22" s="405">
        <v>270</v>
      </c>
      <c r="V22" s="405">
        <v>160</v>
      </c>
      <c r="W22" s="405">
        <v>270</v>
      </c>
      <c r="X22" s="405">
        <v>0</v>
      </c>
      <c r="Y22" s="405">
        <v>270</v>
      </c>
    </row>
    <row r="23" spans="1:25">
      <c r="A23" s="45" t="s">
        <v>37</v>
      </c>
      <c r="B23" s="45" t="s">
        <v>133</v>
      </c>
      <c r="C23" s="46">
        <f t="shared" si="1"/>
        <v>16.129032258064516</v>
      </c>
      <c r="D23" s="46">
        <f t="shared" si="2"/>
        <v>35.483870967741936</v>
      </c>
      <c r="E23" s="46">
        <f t="shared" si="3"/>
        <v>3.225806451612903</v>
      </c>
      <c r="F23" s="46">
        <f t="shared" si="4"/>
        <v>0</v>
      </c>
      <c r="G23" s="46">
        <f t="shared" si="5"/>
        <v>35.483870967741936</v>
      </c>
      <c r="H23" s="46">
        <f t="shared" si="6"/>
        <v>9.67741935483871</v>
      </c>
      <c r="I23" s="544"/>
      <c r="J23" s="543"/>
      <c r="K23" s="543"/>
      <c r="L23" s="543"/>
      <c r="M23" s="778"/>
      <c r="N23" s="405">
        <v>5</v>
      </c>
      <c r="O23" s="405">
        <v>31</v>
      </c>
      <c r="P23" s="405">
        <v>11</v>
      </c>
      <c r="Q23" s="405">
        <v>31</v>
      </c>
      <c r="R23" s="405">
        <v>1</v>
      </c>
      <c r="S23" s="405">
        <v>31</v>
      </c>
      <c r="T23" s="405">
        <v>0</v>
      </c>
      <c r="U23" s="405">
        <v>31</v>
      </c>
      <c r="V23" s="405">
        <v>11</v>
      </c>
      <c r="W23" s="405">
        <v>31</v>
      </c>
      <c r="X23" s="405">
        <v>3</v>
      </c>
      <c r="Y23" s="405">
        <v>31</v>
      </c>
    </row>
    <row r="24" spans="1:25">
      <c r="A24" s="51"/>
      <c r="C24" s="34"/>
      <c r="D24" s="34"/>
      <c r="E24" s="34"/>
      <c r="F24" s="34"/>
      <c r="G24" s="34"/>
      <c r="H24" s="34"/>
      <c r="I24" s="34"/>
    </row>
    <row r="25" spans="1:25">
      <c r="A25" s="51"/>
      <c r="C25" s="34"/>
      <c r="D25" s="34"/>
      <c r="E25" s="34"/>
      <c r="F25" s="34"/>
      <c r="G25" s="34"/>
      <c r="H25" s="34"/>
      <c r="I25" s="34"/>
    </row>
    <row r="26" spans="1:25">
      <c r="A26" s="51"/>
      <c r="C26" s="34"/>
      <c r="D26" s="34"/>
      <c r="E26" s="34"/>
      <c r="F26" s="34"/>
      <c r="G26" s="34"/>
      <c r="H26" s="34"/>
      <c r="I26" s="34"/>
    </row>
    <row r="27" spans="1:25">
      <c r="A27" s="51"/>
      <c r="C27" s="34"/>
      <c r="D27" s="34"/>
      <c r="E27" s="34"/>
      <c r="F27" s="34"/>
      <c r="G27" s="34"/>
      <c r="H27" s="34"/>
      <c r="I27" s="34"/>
    </row>
    <row r="28" spans="1:25">
      <c r="A28" s="51"/>
      <c r="C28" s="34"/>
      <c r="D28" s="34"/>
      <c r="E28" s="34"/>
      <c r="F28" s="34"/>
      <c r="G28" s="34"/>
      <c r="H28" s="34"/>
      <c r="I28" s="34"/>
    </row>
    <row r="29" spans="1:25">
      <c r="A29" s="51"/>
      <c r="C29" s="34"/>
      <c r="D29" s="34"/>
      <c r="E29" s="34"/>
      <c r="F29" s="34"/>
      <c r="G29" s="34"/>
      <c r="H29" s="34"/>
      <c r="I29" s="34"/>
    </row>
    <row r="30" spans="1:25">
      <c r="A30" s="51"/>
      <c r="C30" s="34"/>
      <c r="D30" s="34"/>
      <c r="E30" s="34"/>
      <c r="F30" s="34"/>
      <c r="G30" s="34"/>
      <c r="H30" s="34"/>
      <c r="I30" s="34"/>
    </row>
    <row r="31" spans="1:25">
      <c r="A31" s="51"/>
      <c r="C31" s="34"/>
      <c r="D31" s="34"/>
      <c r="E31" s="34"/>
      <c r="F31" s="34"/>
      <c r="G31" s="34"/>
      <c r="H31" s="34"/>
      <c r="I31" s="34"/>
    </row>
    <row r="32" spans="1:25" s="769" customFormat="1">
      <c r="A32" s="51"/>
      <c r="B32" s="773"/>
      <c r="C32" s="34"/>
      <c r="D32" s="34"/>
      <c r="E32" s="34"/>
      <c r="F32" s="34"/>
      <c r="G32" s="34"/>
      <c r="H32" s="34"/>
      <c r="I32" s="34"/>
      <c r="O32" s="773"/>
      <c r="P32" s="773"/>
      <c r="Q32" s="773"/>
      <c r="R32" s="773"/>
      <c r="S32" s="773"/>
      <c r="T32" s="773"/>
      <c r="U32" s="773"/>
      <c r="V32" s="773"/>
      <c r="W32" s="773"/>
      <c r="X32" s="773"/>
      <c r="Y32" s="773"/>
    </row>
    <row r="33" spans="1:25" s="769" customFormat="1">
      <c r="A33" s="51"/>
      <c r="B33" s="773"/>
      <c r="C33" s="34"/>
      <c r="D33" s="34"/>
      <c r="E33" s="34"/>
      <c r="F33" s="34"/>
      <c r="G33" s="34"/>
      <c r="H33" s="34"/>
      <c r="I33" s="34"/>
      <c r="O33" s="773"/>
      <c r="P33" s="773"/>
      <c r="Q33" s="773"/>
      <c r="R33" s="773"/>
      <c r="S33" s="773"/>
      <c r="T33" s="773"/>
      <c r="U33" s="773"/>
      <c r="V33" s="773"/>
      <c r="W33" s="773"/>
      <c r="X33" s="773"/>
      <c r="Y33" s="773"/>
    </row>
  </sheetData>
  <sheetProtection password="B8D9" sheet="1" objects="1" scenarios="1"/>
  <mergeCells count="8">
    <mergeCell ref="V1:W1"/>
    <mergeCell ref="X1:Y1"/>
    <mergeCell ref="A1:B1"/>
    <mergeCell ref="C1:H1"/>
    <mergeCell ref="N1:O1"/>
    <mergeCell ref="P1:Q1"/>
    <mergeCell ref="R1:S1"/>
    <mergeCell ref="T1:U1"/>
  </mergeCells>
  <pageMargins left="0.70866141732283472" right="0.70866141732283472" top="0.74803149606299213" bottom="0.74803149606299213" header="0.31496062992125984" footer="0.31496062992125984"/>
  <pageSetup paperSize="9" scale="50" orientation="landscape" r:id="rId1"/>
  <headerFooter>
    <oddFooter>&amp;L&amp;8Scottish Stroke Care Audit 2017 National Report
Stroke Services in Scottish Hospitals, Data relating to 2016&amp;R&amp;8© NHS National Services Scotland/Crown Copyright</oddFooter>
  </headerFooter>
</worksheet>
</file>

<file path=xl/worksheets/sheet9.xml><?xml version="1.0" encoding="utf-8"?>
<worksheet xmlns="http://schemas.openxmlformats.org/spreadsheetml/2006/main" xmlns:r="http://schemas.openxmlformats.org/officeDocument/2006/relationships">
  <sheetPr codeName="Sheet16">
    <pageSetUpPr fitToPage="1"/>
  </sheetPr>
  <dimension ref="B1:I25"/>
  <sheetViews>
    <sheetView workbookViewId="0"/>
  </sheetViews>
  <sheetFormatPr defaultRowHeight="12.75"/>
  <cols>
    <col min="1" max="1" width="1.7109375" style="445" customWidth="1"/>
    <col min="2" max="2" width="26.42578125" style="445" customWidth="1"/>
    <col min="3" max="3" width="41.5703125" style="445" customWidth="1"/>
    <col min="4" max="5" width="10.7109375" style="445" customWidth="1"/>
    <col min="6" max="6" width="10.7109375" style="473" customWidth="1"/>
    <col min="7" max="7" width="10.7109375" style="445" customWidth="1"/>
    <col min="8" max="8" width="54.28515625" style="445" customWidth="1"/>
    <col min="9" max="10" width="10.7109375" style="445" customWidth="1"/>
    <col min="11" max="16384" width="9.140625" style="445"/>
  </cols>
  <sheetData>
    <row r="1" spans="2:9" ht="12.75" customHeight="1">
      <c r="B1" s="969" t="s">
        <v>654</v>
      </c>
      <c r="C1" s="969"/>
      <c r="D1" s="969"/>
    </row>
    <row r="2" spans="2:9">
      <c r="B2" s="969"/>
      <c r="C2" s="969"/>
      <c r="D2" s="969"/>
    </row>
    <row r="3" spans="2:9">
      <c r="B3" s="444"/>
      <c r="C3" s="444"/>
      <c r="D3" s="444"/>
      <c r="E3" s="444"/>
      <c r="F3" s="471"/>
      <c r="G3" s="444"/>
      <c r="H3" s="444"/>
    </row>
    <row r="4" spans="2:9">
      <c r="B4" s="970" t="s">
        <v>45</v>
      </c>
      <c r="C4" s="970"/>
      <c r="D4" s="970"/>
    </row>
    <row r="5" spans="2:9" ht="39.950000000000003" customHeight="1">
      <c r="B5" s="367" t="s">
        <v>137</v>
      </c>
      <c r="C5" s="446" t="s">
        <v>325</v>
      </c>
      <c r="D5" s="449" t="s">
        <v>178</v>
      </c>
      <c r="E5" s="449" t="s">
        <v>471</v>
      </c>
      <c r="F5" s="449" t="s">
        <v>519</v>
      </c>
      <c r="G5" s="449" t="s">
        <v>472</v>
      </c>
      <c r="H5" s="450" t="s">
        <v>473</v>
      </c>
      <c r="I5" s="451"/>
    </row>
    <row r="6" spans="2:9" ht="25.5">
      <c r="B6" s="447" t="s">
        <v>33</v>
      </c>
      <c r="C6" s="447" t="s">
        <v>57</v>
      </c>
      <c r="D6" s="190">
        <v>37</v>
      </c>
      <c r="E6" s="190">
        <v>33</v>
      </c>
      <c r="F6" s="474">
        <f>E6/VLOOKUP(B6,'Table 4 (2016)'!$B$6:$D$20,3,FALSE)*100000</f>
        <v>8.9054404145077726</v>
      </c>
      <c r="G6" s="190">
        <f>D6-E6</f>
        <v>4</v>
      </c>
      <c r="H6" s="190" t="s">
        <v>483</v>
      </c>
    </row>
    <row r="7" spans="2:9">
      <c r="B7" s="447" t="s">
        <v>31</v>
      </c>
      <c r="C7" s="447" t="s">
        <v>64</v>
      </c>
      <c r="D7" s="190">
        <v>22</v>
      </c>
      <c r="E7" s="190">
        <v>22</v>
      </c>
      <c r="F7" s="474">
        <f>E7/VLOOKUP(B7,'Table 4 (2016)'!$B$6:$D$20,3,FALSE)*100000</f>
        <v>14.713750668806849</v>
      </c>
      <c r="G7" s="190">
        <f t="shared" ref="G7:G16" si="0">D7-E7</f>
        <v>0</v>
      </c>
      <c r="H7" s="190"/>
    </row>
    <row r="8" spans="2:9">
      <c r="B8" s="447" t="s">
        <v>30</v>
      </c>
      <c r="C8" s="447" t="s">
        <v>479</v>
      </c>
      <c r="D8" s="190">
        <v>5</v>
      </c>
      <c r="E8" s="190">
        <v>5</v>
      </c>
      <c r="F8" s="474">
        <f>E8/VLOOKUP(B8,'Table 4 (2016)'!$B$6:$D$20,3,FALSE)*100000</f>
        <v>1.3501471660410984</v>
      </c>
      <c r="G8" s="190">
        <f t="shared" si="0"/>
        <v>0</v>
      </c>
      <c r="H8" s="190"/>
    </row>
    <row r="9" spans="2:9">
      <c r="B9" s="447" t="s">
        <v>35</v>
      </c>
      <c r="C9" s="447" t="s">
        <v>191</v>
      </c>
      <c r="D9" s="190">
        <v>26</v>
      </c>
      <c r="E9" s="190">
        <v>25</v>
      </c>
      <c r="F9" s="474">
        <f>E9/VLOOKUP(B9,'Table 4 (2016)'!$B$6:$D$20,3,FALSE)*100000</f>
        <v>8.2107199159222279</v>
      </c>
      <c r="G9" s="190">
        <f t="shared" si="0"/>
        <v>1</v>
      </c>
      <c r="H9" s="190" t="s">
        <v>29</v>
      </c>
    </row>
    <row r="10" spans="2:9">
      <c r="B10" s="447" t="s">
        <v>34</v>
      </c>
      <c r="C10" s="447" t="s">
        <v>74</v>
      </c>
      <c r="D10" s="190">
        <v>36</v>
      </c>
      <c r="E10" s="190">
        <v>34</v>
      </c>
      <c r="F10" s="474">
        <f>E10/VLOOKUP(B10,'Table 4 (2016)'!$B$6:$D$20,3,FALSE)*100000</f>
        <v>5.7813297058323414</v>
      </c>
      <c r="G10" s="190">
        <f t="shared" si="0"/>
        <v>2</v>
      </c>
      <c r="H10" s="190" t="s">
        <v>656</v>
      </c>
    </row>
    <row r="11" spans="2:9" ht="25.5">
      <c r="B11" s="447" t="s">
        <v>40</v>
      </c>
      <c r="C11" s="447" t="s">
        <v>482</v>
      </c>
      <c r="D11" s="190">
        <v>100</v>
      </c>
      <c r="E11" s="190">
        <v>82</v>
      </c>
      <c r="F11" s="474">
        <f>E11/VLOOKUP(B11,'Table 4 (2016)'!$B$6:$D$20,3,FALSE)*100000</f>
        <v>7.0606266736698897</v>
      </c>
      <c r="G11" s="190">
        <f t="shared" si="0"/>
        <v>18</v>
      </c>
      <c r="H11" s="190" t="s">
        <v>657</v>
      </c>
    </row>
    <row r="12" spans="2:9" ht="25.5">
      <c r="B12" s="447" t="s">
        <v>36</v>
      </c>
      <c r="C12" s="447" t="s">
        <v>99</v>
      </c>
      <c r="D12" s="190">
        <v>27</v>
      </c>
      <c r="E12" s="190">
        <v>24</v>
      </c>
      <c r="F12" s="474">
        <f>E12/VLOOKUP(B12,'Table 4 (2016)'!$B$6:$D$20,3,FALSE)*100000</f>
        <v>7.4557315936626276</v>
      </c>
      <c r="G12" s="190">
        <f t="shared" si="0"/>
        <v>3</v>
      </c>
      <c r="H12" s="190" t="s">
        <v>483</v>
      </c>
    </row>
    <row r="13" spans="2:9" ht="25.5">
      <c r="B13" s="447" t="s">
        <v>29</v>
      </c>
      <c r="C13" s="447" t="s">
        <v>102</v>
      </c>
      <c r="D13" s="190">
        <v>50</v>
      </c>
      <c r="E13" s="190">
        <v>48</v>
      </c>
      <c r="F13" s="474">
        <f>E13/VLOOKUP(B13,'Table 4 (2016)'!$B$6:$D$20,3,FALSE)*100000</f>
        <v>7.3116117534158942</v>
      </c>
      <c r="G13" s="190">
        <f t="shared" si="0"/>
        <v>2</v>
      </c>
      <c r="H13" s="190" t="s">
        <v>475</v>
      </c>
    </row>
    <row r="14" spans="2:9">
      <c r="B14" s="447" t="s">
        <v>38</v>
      </c>
      <c r="C14" s="447" t="s">
        <v>192</v>
      </c>
      <c r="D14" s="190">
        <v>58</v>
      </c>
      <c r="E14" s="190">
        <v>45</v>
      </c>
      <c r="F14" s="474">
        <f>E14/VLOOKUP(B14,'Table 4 (2016)'!$B$6:$D$20,3,FALSE)*100000</f>
        <v>5.1136363636363633</v>
      </c>
      <c r="G14" s="190">
        <f t="shared" si="0"/>
        <v>13</v>
      </c>
      <c r="H14" s="190" t="s">
        <v>658</v>
      </c>
    </row>
    <row r="15" spans="2:9">
      <c r="B15" s="447" t="s">
        <v>32</v>
      </c>
      <c r="C15" s="447" t="s">
        <v>125</v>
      </c>
      <c r="D15" s="190">
        <v>26</v>
      </c>
      <c r="E15" s="190">
        <v>20</v>
      </c>
      <c r="F15" s="474">
        <f>E15/VLOOKUP(B15,'Table 4 (2016)'!$B$6:$D$20,3,FALSE)*100000</f>
        <v>4.813825306279635</v>
      </c>
      <c r="G15" s="190">
        <f t="shared" si="0"/>
        <v>6</v>
      </c>
      <c r="H15" s="190" t="s">
        <v>30</v>
      </c>
    </row>
    <row r="16" spans="2:9">
      <c r="B16" s="448" t="s">
        <v>134</v>
      </c>
      <c r="C16" s="448" t="s">
        <v>134</v>
      </c>
      <c r="D16" s="427">
        <f>SUM(D6:D15)</f>
        <v>387</v>
      </c>
      <c r="E16" s="427">
        <f>SUM(E6:E15)</f>
        <v>338</v>
      </c>
      <c r="F16" s="475">
        <f>E16/VLOOKUP(B16,'Table 4 (2016)'!$B$6:$D$20,3,FALSE)*100000</f>
        <v>6.2538161230040528</v>
      </c>
      <c r="G16" s="427">
        <f t="shared" si="0"/>
        <v>49</v>
      </c>
      <c r="H16" s="190"/>
    </row>
    <row r="17" spans="2:8">
      <c r="B17" s="194"/>
      <c r="C17" s="194"/>
      <c r="D17" s="192"/>
      <c r="E17" s="192"/>
      <c r="F17" s="192"/>
      <c r="G17" s="192"/>
      <c r="H17" s="192"/>
    </row>
    <row r="18" spans="2:8">
      <c r="B18" s="195" t="s">
        <v>511</v>
      </c>
      <c r="C18" s="195"/>
      <c r="D18" s="368"/>
      <c r="E18" s="368"/>
      <c r="F18" s="368"/>
      <c r="G18" s="368"/>
      <c r="H18" s="368"/>
    </row>
    <row r="19" spans="2:8" ht="15">
      <c r="B19" s="955" t="s">
        <v>655</v>
      </c>
      <c r="C19" s="955"/>
      <c r="D19" s="971"/>
      <c r="E19" s="971"/>
      <c r="F19" s="971"/>
      <c r="G19" s="971"/>
    </row>
    <row r="20" spans="2:8" ht="24.95" customHeight="1">
      <c r="B20" s="972" t="s">
        <v>739</v>
      </c>
      <c r="C20" s="972"/>
      <c r="D20" s="972"/>
      <c r="E20" s="972"/>
      <c r="F20" s="972"/>
      <c r="G20" s="972"/>
      <c r="H20" s="972"/>
    </row>
    <row r="21" spans="2:8" ht="12.75" customHeight="1">
      <c r="B21" s="943" t="s">
        <v>740</v>
      </c>
      <c r="C21" s="943"/>
      <c r="D21" s="943"/>
      <c r="E21" s="943"/>
      <c r="F21" s="943"/>
      <c r="G21" s="943"/>
      <c r="H21" s="943"/>
    </row>
    <row r="22" spans="2:8">
      <c r="B22" s="943"/>
      <c r="C22" s="943"/>
      <c r="D22" s="943"/>
      <c r="E22" s="943"/>
      <c r="F22" s="943"/>
      <c r="G22" s="943"/>
      <c r="H22" s="943"/>
    </row>
    <row r="23" spans="2:8" ht="12.75" customHeight="1">
      <c r="B23" s="565"/>
      <c r="C23" s="565"/>
      <c r="D23" s="565"/>
      <c r="E23" s="565"/>
      <c r="F23" s="565"/>
      <c r="G23" s="565"/>
      <c r="H23" s="565"/>
    </row>
    <row r="24" spans="2:8">
      <c r="B24" s="565"/>
      <c r="C24" s="565"/>
      <c r="D24" s="565"/>
      <c r="E24" s="565"/>
      <c r="F24" s="565"/>
      <c r="G24" s="565"/>
      <c r="H24" s="565"/>
    </row>
    <row r="25" spans="2:8">
      <c r="B25" s="472"/>
      <c r="C25" s="472"/>
      <c r="D25" s="472"/>
      <c r="E25" s="472"/>
      <c r="F25" s="472"/>
      <c r="G25" s="472"/>
      <c r="H25" s="472"/>
    </row>
  </sheetData>
  <sheetProtection password="B8D9" sheet="1" objects="1" scenarios="1"/>
  <sortState ref="B7:G16">
    <sortCondition ref="B7:B16"/>
    <sortCondition ref="C7:C16"/>
  </sortState>
  <mergeCells count="5">
    <mergeCell ref="B21:H22"/>
    <mergeCell ref="B1:D2"/>
    <mergeCell ref="B4:D4"/>
    <mergeCell ref="B19:G19"/>
    <mergeCell ref="B20:H20"/>
  </mergeCells>
  <hyperlinks>
    <hyperlink ref="B4" location="'List of Tables &amp; Charts'!A1" display="return to List of Tables &amp; Charts"/>
  </hyperlinks>
  <pageMargins left="0.74803149606299213" right="0.74803149606299213" top="0.98425196850393704" bottom="0.98425196850393704" header="0.51181102362204722" footer="0.51181102362204722"/>
  <pageSetup paperSize="9" scale="77" orientation="landscape" r:id="rId1"/>
  <headerFooter alignWithMargins="0">
    <oddFooter>&amp;L&amp;8Scottish Stroke Care Audit 2017 National Report
Stroke Services in Scottish Hospitals, Data relating to 2016&amp;R&amp;8© NHS National Services Scotland/Crown Copyright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3</vt:i4>
      </vt:variant>
    </vt:vector>
  </HeadingPairs>
  <TitlesOfParts>
    <vt:vector size="88" baseType="lpstr">
      <vt:lpstr>List of Tables &amp; Charts</vt:lpstr>
      <vt:lpstr>Tables 1a 1b 1c combined</vt:lpstr>
      <vt:lpstr>Tables 1a 1b 1c extra detail</vt:lpstr>
      <vt:lpstr>Table 2</vt:lpstr>
      <vt:lpstr>Table 3</vt:lpstr>
      <vt:lpstr>Table 4 (2016)</vt:lpstr>
      <vt:lpstr>Table 4 (2015)</vt:lpstr>
      <vt:lpstr>Table 5</vt:lpstr>
      <vt:lpstr>Table 6 (2016)</vt:lpstr>
      <vt:lpstr>Table 6 (2015)</vt:lpstr>
      <vt:lpstr>Table M0</vt:lpstr>
      <vt:lpstr>Table M1</vt:lpstr>
      <vt:lpstr>Table M2</vt:lpstr>
      <vt:lpstr>Table N2</vt:lpstr>
      <vt:lpstr>Chart 1b</vt:lpstr>
      <vt:lpstr>Chart 1b DATA</vt:lpstr>
      <vt:lpstr>Chart 1b (final diag)</vt:lpstr>
      <vt:lpstr>Chart 1b DATA (final diag)</vt:lpstr>
      <vt:lpstr>Chart 1c</vt:lpstr>
      <vt:lpstr>Chart 1c DATA</vt:lpstr>
      <vt:lpstr>Chart 1c (final diag)</vt:lpstr>
      <vt:lpstr>Chart 1c DATA (final diag)</vt:lpstr>
      <vt:lpstr>Chart 2a</vt:lpstr>
      <vt:lpstr>Chart 2a DATA</vt:lpstr>
      <vt:lpstr>Chart 2b</vt:lpstr>
      <vt:lpstr>Chart 2b DATA</vt:lpstr>
      <vt:lpstr>Chart 2c</vt:lpstr>
      <vt:lpstr>Chart 2c DATA</vt:lpstr>
      <vt:lpstr>Chart 2d</vt:lpstr>
      <vt:lpstr>Chart 2d DATA</vt:lpstr>
      <vt:lpstr>Chart 3 (2016)</vt:lpstr>
      <vt:lpstr>Chart 3 (2016) DATA</vt:lpstr>
      <vt:lpstr>Chart 4 (2016)</vt:lpstr>
      <vt:lpstr>Chart 4 (2016) DATA</vt:lpstr>
      <vt:lpstr>Chart 4 (2015)</vt:lpstr>
      <vt:lpstr>Chart 4 (2015) DATA</vt:lpstr>
      <vt:lpstr>Chart 5 (2016)</vt:lpstr>
      <vt:lpstr>Chart 5 (2016) DATA</vt:lpstr>
      <vt:lpstr>Chart 5 (2015)</vt:lpstr>
      <vt:lpstr>Chart 5 (2015) DATA</vt:lpstr>
      <vt:lpstr>Chart 6</vt:lpstr>
      <vt:lpstr>Chart 6 DATA</vt:lpstr>
      <vt:lpstr>Chart 7 (2016)</vt:lpstr>
      <vt:lpstr>Chart 7 (2016) DATA</vt:lpstr>
      <vt:lpstr>Chart 7 (2015)</vt:lpstr>
      <vt:lpstr>Chart 7 (2015) DATA</vt:lpstr>
      <vt:lpstr>Chart 8</vt:lpstr>
      <vt:lpstr>Chart 9</vt:lpstr>
      <vt:lpstr>Chart 9 DATA</vt:lpstr>
      <vt:lpstr>Chart 10</vt:lpstr>
      <vt:lpstr>Chart 10 (2015)</vt:lpstr>
      <vt:lpstr>Chart 11</vt:lpstr>
      <vt:lpstr>Chart 12</vt:lpstr>
      <vt:lpstr>Chart 13 (2016)</vt:lpstr>
      <vt:lpstr>Chart 13 (2016) DATA</vt:lpstr>
      <vt:lpstr>Chart 13 (2015)</vt:lpstr>
      <vt:lpstr>Chart 13 (2015) DATA</vt:lpstr>
      <vt:lpstr>Chart 14a (2016)</vt:lpstr>
      <vt:lpstr>Chart 14a (2016) DATA</vt:lpstr>
      <vt:lpstr>Chart 14a (2015)</vt:lpstr>
      <vt:lpstr>Chart 14a (2015) DATA</vt:lpstr>
      <vt:lpstr>Chart 15 (2016)</vt:lpstr>
      <vt:lpstr>Chart 15 (2015)</vt:lpstr>
      <vt:lpstr>Chart 16a</vt:lpstr>
      <vt:lpstr>Chart 16b</vt:lpstr>
      <vt:lpstr>Chart 17a</vt:lpstr>
      <vt:lpstr>Chart 17a DATA</vt:lpstr>
      <vt:lpstr>Chart 17c</vt:lpstr>
      <vt:lpstr>Chart 17c DATA</vt:lpstr>
      <vt:lpstr>Chart 17d</vt:lpstr>
      <vt:lpstr>Chart 17d DATA</vt:lpstr>
      <vt:lpstr>Chart N1</vt:lpstr>
      <vt:lpstr>Chart N1data</vt:lpstr>
      <vt:lpstr>Chart N2</vt:lpstr>
      <vt:lpstr>Chart N2 data</vt:lpstr>
      <vt:lpstr>Chart N2 (2015)</vt:lpstr>
      <vt:lpstr>Chart N2 (2015) data</vt:lpstr>
      <vt:lpstr>Poisson sub 100</vt:lpstr>
      <vt:lpstr>Chart N3</vt:lpstr>
      <vt:lpstr>Chart N4</vt:lpstr>
      <vt:lpstr>Chart N4 data</vt:lpstr>
      <vt:lpstr>Chart N5</vt:lpstr>
      <vt:lpstr>Chart N5 data</vt:lpstr>
      <vt:lpstr>Chart N5 (2015)</vt:lpstr>
      <vt:lpstr>Chart N5 (2015) data</vt:lpstr>
      <vt:lpstr>'Chart 1c DATA (final diag)'!Hospitals</vt:lpstr>
      <vt:lpstr>Hospitals</vt:lpstr>
      <vt:lpstr>'Table 2'!Print_Titles</vt:lpstr>
    </vt:vector>
  </TitlesOfParts>
  <Company>NHS NSS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Perkins</dc:creator>
  <cp:lastModifiedBy>davidm13</cp:lastModifiedBy>
  <cp:lastPrinted>2017-06-30T09:03:11Z</cp:lastPrinted>
  <dcterms:created xsi:type="dcterms:W3CDTF">2014-04-11T06:41:55Z</dcterms:created>
  <dcterms:modified xsi:type="dcterms:W3CDTF">2017-07-06T13:26:14Z</dcterms:modified>
</cp:coreProperties>
</file>