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39.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charts/chart34.xml" ContentType="application/vnd.openxmlformats-officedocument.drawingml.char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Default Extension="emf" ContentType="image/x-emf"/>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35.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charts/chart36.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27.xml" ContentType="application/vnd.openxmlformats-officedocument.drawing+xml"/>
  <Override PartName="/xl/drawings/drawing16.xml" ContentType="application/vnd.openxmlformats-officedocument.drawing+xml"/>
  <Override PartName="/xl/drawings/drawing34.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6015" windowWidth="15480" windowHeight="6060"/>
  </bookViews>
  <sheets>
    <sheet name="List of Tables &amp; Charts" sheetId="35" r:id="rId1"/>
    <sheet name="Tables 1a 1b 1c combined" sheetId="148" r:id="rId2"/>
    <sheet name="Tables 1a 1b 1c extra detail" sheetId="106" r:id="rId3"/>
    <sheet name="Table 2" sheetId="37" r:id="rId4"/>
    <sheet name="Table 3" sheetId="40" r:id="rId5"/>
    <sheet name="Table 4 (2015)" sheetId="81" r:id="rId6"/>
    <sheet name="Table 4 (2014)" sheetId="41" r:id="rId7"/>
    <sheet name="Table 5" sheetId="42" r:id="rId8"/>
    <sheet name="Table 6 (2015)" sheetId="133" r:id="rId9"/>
    <sheet name="Table 6 (2014)" sheetId="134" r:id="rId10"/>
    <sheet name="Chart 1a" sheetId="111" r:id="rId11"/>
    <sheet name="Chart 1a DATA" sheetId="110" r:id="rId12"/>
    <sheet name="Chart 1a (final diagnosis)" sheetId="146" r:id="rId13"/>
    <sheet name="Chart 1a DATA (final diagnosis)" sheetId="147" r:id="rId14"/>
    <sheet name="Chart 1b" sheetId="57" r:id="rId15"/>
    <sheet name="Chart 1b DATA" sheetId="58" r:id="rId16"/>
    <sheet name="Chart 1b (final diag)" sheetId="142" r:id="rId17"/>
    <sheet name="Chart 1b DATA (final diag)" sheetId="143" r:id="rId18"/>
    <sheet name="Chart 1c" sheetId="59" r:id="rId19"/>
    <sheet name="Chart 1c DATA" sheetId="60" r:id="rId20"/>
    <sheet name="Chart 1c (final diag)" sheetId="179" r:id="rId21"/>
    <sheet name="Chart 1c DATA (final diag)" sheetId="178" r:id="rId22"/>
    <sheet name="Chart 2a" sheetId="61" r:id="rId23"/>
    <sheet name="Chart 2a DATA" sheetId="62" r:id="rId24"/>
    <sheet name="Chart 2b" sheetId="63" r:id="rId25"/>
    <sheet name="Chart 2b DATA" sheetId="64" r:id="rId26"/>
    <sheet name="Chart 2c" sheetId="65" r:id="rId27"/>
    <sheet name="Chart 2c DATA" sheetId="66" r:id="rId28"/>
    <sheet name="Chart 2d" sheetId="67" r:id="rId29"/>
    <sheet name="Chart 2d DATA" sheetId="68" r:id="rId30"/>
    <sheet name="Chart 3 (2015)" sheetId="149" r:id="rId31"/>
    <sheet name="Chart 3 (2015) DATA" sheetId="150" r:id="rId32"/>
    <sheet name="Chart 3 (2014)" sheetId="159" r:id="rId33"/>
    <sheet name="Chart 3 (2014) DATA" sheetId="160" r:id="rId34"/>
    <sheet name="Chart 4 (2015)" sheetId="151" r:id="rId35"/>
    <sheet name="Chart 4 (2015) DATA" sheetId="152" r:id="rId36"/>
    <sheet name="Chart 4 (2014)" sheetId="161" r:id="rId37"/>
    <sheet name="Chart 4 (2014) DATA" sheetId="162" r:id="rId38"/>
    <sheet name="Chart 5 (2015)" sheetId="153" r:id="rId39"/>
    <sheet name="Chart 5 (2015) DATA" sheetId="154" r:id="rId40"/>
    <sheet name="Chart 5 (2014)" sheetId="163" r:id="rId41"/>
    <sheet name="Chart 5 (2014) DATA" sheetId="164" r:id="rId42"/>
    <sheet name="Chart 6" sheetId="24" r:id="rId43"/>
    <sheet name="Chart 6 DATA" sheetId="25" r:id="rId44"/>
    <sheet name="Chart 7 (2015)" sheetId="157" r:id="rId45"/>
    <sheet name="Chart 7 (2015) DATA" sheetId="158" r:id="rId46"/>
    <sheet name="Chart 7 (2014)" sheetId="165" r:id="rId47"/>
    <sheet name="Chart 7 (2014) DATA" sheetId="166" r:id="rId48"/>
    <sheet name="Chart 8" sheetId="88" r:id="rId49"/>
    <sheet name="Chart 9" sheetId="185" r:id="rId50"/>
    <sheet name="Chart 9 DATA" sheetId="186" r:id="rId51"/>
    <sheet name="Chart 10 (2015)" sheetId="130" r:id="rId52"/>
    <sheet name="Chart 10 (2014)" sheetId="141" r:id="rId53"/>
    <sheet name="Chart 11" sheetId="56" r:id="rId54"/>
    <sheet name="Chart 12" sheetId="54" r:id="rId55"/>
    <sheet name="Chart 13 (2015)" sheetId="180" r:id="rId56"/>
    <sheet name="Chart 13 (2015) DATA" sheetId="181" r:id="rId57"/>
    <sheet name="Chart 13 (2014)(revised)" sheetId="183" r:id="rId58"/>
    <sheet name="Chart 13 (2014) DATA (revised)" sheetId="184" r:id="rId59"/>
    <sheet name="Chart 14a (2015)" sheetId="174" r:id="rId60"/>
    <sheet name="Chart 14a (2015) DATA" sheetId="172" r:id="rId61"/>
    <sheet name="Chart 14a (2014)" sheetId="176" r:id="rId62"/>
    <sheet name="Chart 14a (2014) DATA" sheetId="175" r:id="rId63"/>
    <sheet name="Chart 14b" sheetId="144" r:id="rId64"/>
    <sheet name="Chart 14b DATA" sheetId="145" r:id="rId65"/>
    <sheet name="Chart 15 (2015)" sheetId="136" r:id="rId66"/>
    <sheet name="Chart 15 (2014)" sheetId="177" r:id="rId67"/>
    <sheet name="Chart 16a" sheetId="103" r:id="rId68"/>
    <sheet name="Chart 16b" sheetId="112" r:id="rId69"/>
    <sheet name="Chart 17a" sheetId="113" r:id="rId70"/>
    <sheet name="Chart 17a DATA" sheetId="114" r:id="rId71"/>
    <sheet name="Chart 17b" sheetId="115" r:id="rId72"/>
    <sheet name="Chart 17b DATA" sheetId="116" r:id="rId73"/>
    <sheet name="Chart 17c" sheetId="117" r:id="rId74"/>
    <sheet name="Chart 17c DATA" sheetId="118" r:id="rId75"/>
    <sheet name="Chart 17d" sheetId="119" r:id="rId76"/>
    <sheet name="Chart 17d DATA" sheetId="120" r:id="rId77"/>
    <sheet name="Chart 17e" sheetId="129" r:id="rId78"/>
    <sheet name="Chart 17e DATA" sheetId="125" r:id="rId79"/>
    <sheet name="Poisson sub 100" sheetId="89" state="hidden" r:id="rId80"/>
  </sheets>
  <definedNames>
    <definedName name="_xlnm._FilterDatabase" localSheetId="52" hidden="1">'Chart 10 (2014)'!$B$45:$O$73</definedName>
    <definedName name="_xlnm._FilterDatabase" localSheetId="51" hidden="1">'Chart 10 (2015)'!$B$47:$O$75</definedName>
    <definedName name="_xlnm._FilterDatabase" localSheetId="54" hidden="1">'Chart 12'!$B$41:$I$42</definedName>
    <definedName name="_xlnm._FilterDatabase" localSheetId="58" hidden="1">'Chart 13 (2014) DATA (revised)'!$A$1:$V$2</definedName>
    <definedName name="_xlnm._FilterDatabase" localSheetId="56" hidden="1">'Chart 13 (2015) DATA'!$A$1:$V$2</definedName>
    <definedName name="_xlnm._FilterDatabase" localSheetId="70" hidden="1">'Chart 17a DATA'!#REF!</definedName>
    <definedName name="_xlnm._FilterDatabase" localSheetId="72" hidden="1">'Chart 17b DATA'!#REF!</definedName>
    <definedName name="_xlnm._FilterDatabase" localSheetId="74" hidden="1">'Chart 17c DATA'!#REF!</definedName>
    <definedName name="_xlnm._FilterDatabase" localSheetId="76" hidden="1">'Chart 17d DATA'!#REF!</definedName>
    <definedName name="_xlnm._FilterDatabase" localSheetId="78" hidden="1">'Chart 17e DATA'!#REF!</definedName>
    <definedName name="_xlnm._FilterDatabase" localSheetId="11" hidden="1">'Chart 1a DATA'!#REF!</definedName>
    <definedName name="_xlnm._FilterDatabase" localSheetId="13" hidden="1">'Chart 1a DATA (final diagnosis)'!$A$2:$P$18</definedName>
    <definedName name="_xlnm._FilterDatabase" localSheetId="29" hidden="1">'Chart 2d DATA'!$A$1:$T$2</definedName>
    <definedName name="_xlnm._FilterDatabase" localSheetId="33" hidden="1">'Chart 3 (2014) DATA'!$A$1:$R$2</definedName>
    <definedName name="_xlnm._FilterDatabase" localSheetId="31" hidden="1">'Chart 3 (2015) DATA'!$A$1:$R$2</definedName>
    <definedName name="_xlnm._FilterDatabase" localSheetId="37" hidden="1">'Chart 4 (2014) DATA'!$A$1:$Z$2</definedName>
    <definedName name="_xlnm._FilterDatabase" localSheetId="35" hidden="1">'Chart 4 (2015) DATA'!$A$1:$Z$2</definedName>
    <definedName name="_xlnm._FilterDatabase" localSheetId="41" hidden="1">'Chart 5 (2014) DATA'!$A$1:$R$2</definedName>
    <definedName name="_xlnm._FilterDatabase" localSheetId="39" hidden="1">'Chart 5 (2015) DATA'!$A$1:$R$2</definedName>
    <definedName name="Hospitals" localSheetId="21">'Chart 1c DATA (final diag)'!$V$37:$X$69</definedName>
    <definedName name="Hospitals">'Chart 1c DATA'!$V$3:$X$35</definedName>
    <definedName name="_xlnm.Print_Titles" localSheetId="3">'Table 2'!$3:$3</definedName>
  </definedNames>
  <calcPr calcId="125725"/>
</workbook>
</file>

<file path=xl/calcChain.xml><?xml version="1.0" encoding="utf-8"?>
<calcChain xmlns="http://schemas.openxmlformats.org/spreadsheetml/2006/main">
  <c r="O30" i="186"/>
  <c r="Q30" s="1"/>
  <c r="D30"/>
  <c r="O29"/>
  <c r="Q29" s="1"/>
  <c r="D29"/>
  <c r="O28"/>
  <c r="Q28" s="1"/>
  <c r="D28"/>
  <c r="O27"/>
  <c r="S27" s="1"/>
  <c r="D27"/>
  <c r="O26"/>
  <c r="Q26" s="1"/>
  <c r="D26"/>
  <c r="O25"/>
  <c r="R25" s="1"/>
  <c r="D25"/>
  <c r="O24"/>
  <c r="Q24" s="1"/>
  <c r="D24"/>
  <c r="O23"/>
  <c r="Q23" s="1"/>
  <c r="D23"/>
  <c r="O20"/>
  <c r="Q20" s="1"/>
  <c r="D20"/>
  <c r="O22"/>
  <c r="Q22" s="1"/>
  <c r="D22"/>
  <c r="O19"/>
  <c r="Q19" s="1"/>
  <c r="D19"/>
  <c r="O18"/>
  <c r="Q18" s="1"/>
  <c r="D18"/>
  <c r="O17"/>
  <c r="T17" s="1"/>
  <c r="D17"/>
  <c r="O21"/>
  <c r="Q21" s="1"/>
  <c r="D21"/>
  <c r="O16"/>
  <c r="Q16" s="1"/>
  <c r="D16"/>
  <c r="O15"/>
  <c r="Q15" s="1"/>
  <c r="D15"/>
  <c r="O14"/>
  <c r="Q14" s="1"/>
  <c r="D14"/>
  <c r="O13"/>
  <c r="Q13" s="1"/>
  <c r="D13"/>
  <c r="O12"/>
  <c r="Q12" s="1"/>
  <c r="D12"/>
  <c r="O11"/>
  <c r="Q11" s="1"/>
  <c r="D11"/>
  <c r="O10"/>
  <c r="Q10" s="1"/>
  <c r="D10"/>
  <c r="O9"/>
  <c r="Q9" s="1"/>
  <c r="D9"/>
  <c r="O8"/>
  <c r="Q8" s="1"/>
  <c r="D8"/>
  <c r="O7"/>
  <c r="Q7" s="1"/>
  <c r="D7"/>
  <c r="O6"/>
  <c r="Q6" s="1"/>
  <c r="D6"/>
  <c r="O5"/>
  <c r="Q5" s="1"/>
  <c r="D5"/>
  <c r="O4"/>
  <c r="R4" s="1"/>
  <c r="D4"/>
  <c r="O3"/>
  <c r="D3"/>
  <c r="S4" l="1"/>
  <c r="T5"/>
  <c r="T6"/>
  <c r="T7"/>
  <c r="T8"/>
  <c r="T9"/>
  <c r="T10"/>
  <c r="T11"/>
  <c r="T12"/>
  <c r="T13"/>
  <c r="T14"/>
  <c r="T15"/>
  <c r="T16"/>
  <c r="T21"/>
  <c r="T18"/>
  <c r="T19"/>
  <c r="T22"/>
  <c r="T20"/>
  <c r="T23"/>
  <c r="T24"/>
  <c r="T26"/>
  <c r="T27"/>
  <c r="J27" s="1"/>
  <c r="T28"/>
  <c r="T29"/>
  <c r="T30"/>
  <c r="S17"/>
  <c r="J17" s="1"/>
  <c r="T25"/>
  <c r="Q4"/>
  <c r="S5"/>
  <c r="S6"/>
  <c r="S7"/>
  <c r="S8"/>
  <c r="S9"/>
  <c r="S10"/>
  <c r="S11"/>
  <c r="S12"/>
  <c r="S13"/>
  <c r="S14"/>
  <c r="S15"/>
  <c r="S16"/>
  <c r="S21"/>
  <c r="S18"/>
  <c r="S19"/>
  <c r="S22"/>
  <c r="S20"/>
  <c r="S23"/>
  <c r="S24"/>
  <c r="S26"/>
  <c r="S28"/>
  <c r="S29"/>
  <c r="S30"/>
  <c r="R17"/>
  <c r="S25"/>
  <c r="A27"/>
  <c r="T4"/>
  <c r="T3" s="1"/>
  <c r="R5"/>
  <c r="I5" s="1"/>
  <c r="R6"/>
  <c r="I6" s="1"/>
  <c r="F6" s="1"/>
  <c r="R7"/>
  <c r="I7" s="1"/>
  <c r="R8"/>
  <c r="I8" s="1"/>
  <c r="R9"/>
  <c r="I9" s="1"/>
  <c r="R10"/>
  <c r="I10" s="1"/>
  <c r="F10" s="1"/>
  <c r="R11"/>
  <c r="I11" s="1"/>
  <c r="F11" s="1"/>
  <c r="R12"/>
  <c r="I12" s="1"/>
  <c r="F12" s="1"/>
  <c r="R13"/>
  <c r="I13" s="1"/>
  <c r="R14"/>
  <c r="I14" s="1"/>
  <c r="R15"/>
  <c r="I15" s="1"/>
  <c r="F15" s="1"/>
  <c r="R16"/>
  <c r="I16" s="1"/>
  <c r="F16" s="1"/>
  <c r="R21"/>
  <c r="I21" s="1"/>
  <c r="F21" s="1"/>
  <c r="R18"/>
  <c r="I18" s="1"/>
  <c r="R19"/>
  <c r="I19" s="1"/>
  <c r="F19" s="1"/>
  <c r="R22"/>
  <c r="I22" s="1"/>
  <c r="E22" s="1"/>
  <c r="R20"/>
  <c r="I20" s="1"/>
  <c r="F20" s="1"/>
  <c r="R23"/>
  <c r="I23" s="1"/>
  <c r="R24"/>
  <c r="I24" s="1"/>
  <c r="F24" s="1"/>
  <c r="R26"/>
  <c r="I26" s="1"/>
  <c r="F26" s="1"/>
  <c r="R27"/>
  <c r="R28"/>
  <c r="I28" s="1"/>
  <c r="R29"/>
  <c r="I29" s="1"/>
  <c r="F29" s="1"/>
  <c r="R30"/>
  <c r="I30" s="1"/>
  <c r="F30" s="1"/>
  <c r="Q25"/>
  <c r="B25" s="1"/>
  <c r="A3"/>
  <c r="A4"/>
  <c r="Q27"/>
  <c r="B27" s="1"/>
  <c r="Q17"/>
  <c r="B17" s="1"/>
  <c r="J25"/>
  <c r="G25" s="1"/>
  <c r="E30"/>
  <c r="E19"/>
  <c r="E26"/>
  <c r="E11"/>
  <c r="E16"/>
  <c r="E21"/>
  <c r="F22"/>
  <c r="E20"/>
  <c r="E12"/>
  <c r="L7"/>
  <c r="A8"/>
  <c r="M8"/>
  <c r="L11"/>
  <c r="A12"/>
  <c r="M12"/>
  <c r="L15"/>
  <c r="A16"/>
  <c r="M16"/>
  <c r="A19"/>
  <c r="M19"/>
  <c r="A24"/>
  <c r="M24"/>
  <c r="A28"/>
  <c r="L4"/>
  <c r="A5"/>
  <c r="M5"/>
  <c r="L8"/>
  <c r="A9"/>
  <c r="M9"/>
  <c r="L12"/>
  <c r="A13"/>
  <c r="M13"/>
  <c r="L16"/>
  <c r="A21"/>
  <c r="M21"/>
  <c r="L19"/>
  <c r="A22"/>
  <c r="M22"/>
  <c r="L24"/>
  <c r="A25"/>
  <c r="M25"/>
  <c r="A29"/>
  <c r="M29"/>
  <c r="L5"/>
  <c r="A6"/>
  <c r="L9"/>
  <c r="A10"/>
  <c r="L13"/>
  <c r="A14"/>
  <c r="L21"/>
  <c r="A17"/>
  <c r="M17"/>
  <c r="L22"/>
  <c r="A20"/>
  <c r="M20"/>
  <c r="H25"/>
  <c r="L25"/>
  <c r="A26"/>
  <c r="M26"/>
  <c r="L29"/>
  <c r="A30"/>
  <c r="M30"/>
  <c r="A7"/>
  <c r="M7"/>
  <c r="A11"/>
  <c r="M11"/>
  <c r="L14"/>
  <c r="A15"/>
  <c r="M15"/>
  <c r="L17"/>
  <c r="A18"/>
  <c r="L20"/>
  <c r="A23"/>
  <c r="M23"/>
  <c r="L26"/>
  <c r="M27"/>
  <c r="V31" i="184"/>
  <c r="R31" a="1"/>
  <c r="R31" s="1"/>
  <c r="P31" a="1"/>
  <c r="P31" s="1"/>
  <c r="M31"/>
  <c r="J31"/>
  <c r="T31"/>
  <c r="E31"/>
  <c r="V30"/>
  <c r="P30" a="1"/>
  <c r="P30" s="1"/>
  <c r="L30"/>
  <c r="J30"/>
  <c r="T30"/>
  <c r="E30"/>
  <c r="T29"/>
  <c r="P29" a="1"/>
  <c r="P29" s="1"/>
  <c r="L29"/>
  <c r="M29"/>
  <c r="N29"/>
  <c r="R29" a="1"/>
  <c r="R29" s="1"/>
  <c r="E29"/>
  <c r="H29"/>
  <c r="T28"/>
  <c r="R28" a="1"/>
  <c r="R28" s="1"/>
  <c r="M28"/>
  <c r="N28"/>
  <c r="V28"/>
  <c r="E28"/>
  <c r="V27"/>
  <c r="R27" a="1"/>
  <c r="R27" s="1"/>
  <c r="P27" a="1"/>
  <c r="P27" s="1"/>
  <c r="N27"/>
  <c r="M27"/>
  <c r="J27"/>
  <c r="T27"/>
  <c r="E27"/>
  <c r="V26"/>
  <c r="P26" a="1"/>
  <c r="P26" s="1"/>
  <c r="L26"/>
  <c r="J26"/>
  <c r="T26"/>
  <c r="E26"/>
  <c r="V25"/>
  <c r="T25"/>
  <c r="P25" a="1"/>
  <c r="P25" s="1"/>
  <c r="L25"/>
  <c r="M25"/>
  <c r="N25"/>
  <c r="R25" a="1"/>
  <c r="R25" s="1"/>
  <c r="E25"/>
  <c r="H25"/>
  <c r="T24"/>
  <c r="R24" a="1"/>
  <c r="R24" s="1"/>
  <c r="M24"/>
  <c r="L24"/>
  <c r="N24"/>
  <c r="V24"/>
  <c r="E24"/>
  <c r="V23"/>
  <c r="T23"/>
  <c r="R23" a="1"/>
  <c r="R23" s="1"/>
  <c r="P23" a="1"/>
  <c r="P23" s="1"/>
  <c r="N23"/>
  <c r="M23"/>
  <c r="J23"/>
  <c r="H23"/>
  <c r="E23"/>
  <c r="V22"/>
  <c r="P22" a="1"/>
  <c r="P22" s="1"/>
  <c r="L22"/>
  <c r="T22"/>
  <c r="J22"/>
  <c r="V21"/>
  <c r="T21"/>
  <c r="P21" a="1"/>
  <c r="P21" s="1"/>
  <c r="L21"/>
  <c r="M21"/>
  <c r="N21"/>
  <c r="R21" a="1"/>
  <c r="R21" s="1"/>
  <c r="E21"/>
  <c r="H21"/>
  <c r="T20"/>
  <c r="R20" a="1"/>
  <c r="R20" s="1"/>
  <c r="P20" a="1"/>
  <c r="P20" s="1"/>
  <c r="M20"/>
  <c r="L20"/>
  <c r="N20"/>
  <c r="V20"/>
  <c r="E20"/>
  <c r="V19"/>
  <c r="T19"/>
  <c r="R19" a="1"/>
  <c r="R19" s="1"/>
  <c r="P19" a="1"/>
  <c r="P19" s="1"/>
  <c r="N19"/>
  <c r="M19"/>
  <c r="J19"/>
  <c r="H19"/>
  <c r="E19"/>
  <c r="V18"/>
  <c r="T18"/>
  <c r="P18" a="1"/>
  <c r="P18" s="1"/>
  <c r="L18"/>
  <c r="N18"/>
  <c r="R18" a="1"/>
  <c r="R18" s="1"/>
  <c r="E18"/>
  <c r="V17"/>
  <c r="T17"/>
  <c r="R17" a="1"/>
  <c r="R17" s="1"/>
  <c r="P17" a="1"/>
  <c r="P17" s="1"/>
  <c r="L17"/>
  <c r="M17"/>
  <c r="N17"/>
  <c r="E17"/>
  <c r="H17"/>
  <c r="T16"/>
  <c r="R16" a="1"/>
  <c r="R16" s="1"/>
  <c r="P16" a="1"/>
  <c r="P16" s="1"/>
  <c r="M16"/>
  <c r="L16"/>
  <c r="N16"/>
  <c r="V16"/>
  <c r="E16"/>
  <c r="R15" a="1"/>
  <c r="R15" s="1"/>
  <c r="P15" a="1"/>
  <c r="P15" s="1"/>
  <c r="N15"/>
  <c r="M15"/>
  <c r="J15"/>
  <c r="T15"/>
  <c r="E15"/>
  <c r="V14"/>
  <c r="T14"/>
  <c r="P14" a="1"/>
  <c r="P14" s="1"/>
  <c r="L14"/>
  <c r="N14"/>
  <c r="R14" a="1"/>
  <c r="R14" s="1"/>
  <c r="E14"/>
  <c r="V13"/>
  <c r="T13"/>
  <c r="R13" a="1"/>
  <c r="R13" s="1"/>
  <c r="P13" a="1"/>
  <c r="P13" s="1"/>
  <c r="L13"/>
  <c r="M13"/>
  <c r="N13"/>
  <c r="E13"/>
  <c r="H13"/>
  <c r="T12"/>
  <c r="R12" a="1"/>
  <c r="R12" s="1"/>
  <c r="P12" a="1"/>
  <c r="P12" s="1"/>
  <c r="M12"/>
  <c r="L12"/>
  <c r="N12"/>
  <c r="V12"/>
  <c r="E12"/>
  <c r="V11"/>
  <c r="R11" a="1"/>
  <c r="R11" s="1"/>
  <c r="P11" a="1"/>
  <c r="P11" s="1"/>
  <c r="N11"/>
  <c r="M11"/>
  <c r="J11"/>
  <c r="T11"/>
  <c r="E11"/>
  <c r="V10"/>
  <c r="T10"/>
  <c r="P10" a="1"/>
  <c r="P10" s="1"/>
  <c r="L10"/>
  <c r="N10"/>
  <c r="R10" a="1"/>
  <c r="R10" s="1"/>
  <c r="J10"/>
  <c r="T9"/>
  <c r="P9" a="1"/>
  <c r="P9" s="1"/>
  <c r="L9"/>
  <c r="M9"/>
  <c r="N9"/>
  <c r="R9" a="1"/>
  <c r="R9" s="1"/>
  <c r="E9"/>
  <c r="H9"/>
  <c r="T8"/>
  <c r="R8" a="1"/>
  <c r="R8" s="1"/>
  <c r="M8"/>
  <c r="L8"/>
  <c r="N8"/>
  <c r="V8"/>
  <c r="E8"/>
  <c r="V7"/>
  <c r="R7" a="1"/>
  <c r="R7" s="1"/>
  <c r="P7" a="1"/>
  <c r="P7" s="1"/>
  <c r="N7"/>
  <c r="M7"/>
  <c r="J7"/>
  <c r="T7"/>
  <c r="E7"/>
  <c r="V6"/>
  <c r="T6"/>
  <c r="P6" a="1"/>
  <c r="P6" s="1"/>
  <c r="L6"/>
  <c r="N6"/>
  <c r="R6" a="1"/>
  <c r="R6" s="1"/>
  <c r="E6"/>
  <c r="T5"/>
  <c r="R5" a="1"/>
  <c r="R5" s="1"/>
  <c r="L5"/>
  <c r="M5"/>
  <c r="N5"/>
  <c r="V5"/>
  <c r="E5"/>
  <c r="H5"/>
  <c r="T4"/>
  <c r="R4" a="1"/>
  <c r="R4" s="1"/>
  <c r="P4" a="1"/>
  <c r="P4" s="1"/>
  <c r="M4"/>
  <c r="L4"/>
  <c r="N4"/>
  <c r="V4"/>
  <c r="E4"/>
  <c r="U3"/>
  <c r="S3"/>
  <c r="Q3"/>
  <c r="R3" s="1" a="1"/>
  <c r="O3"/>
  <c r="P3" s="1" a="1"/>
  <c r="K3"/>
  <c r="M3" s="1"/>
  <c r="I3"/>
  <c r="N3" s="1"/>
  <c r="G3"/>
  <c r="T3" s="1"/>
  <c r="E3"/>
  <c r="D3"/>
  <c r="C3"/>
  <c r="V31" i="181"/>
  <c r="T31"/>
  <c r="P31" a="1"/>
  <c r="P31" s="1"/>
  <c r="M31"/>
  <c r="N31"/>
  <c r="R31" a="1"/>
  <c r="R31" s="1"/>
  <c r="V30"/>
  <c r="T30"/>
  <c r="P30" a="1"/>
  <c r="P30" s="1"/>
  <c r="M30"/>
  <c r="L30"/>
  <c r="N30"/>
  <c r="R30" a="1"/>
  <c r="R30" s="1"/>
  <c r="V29"/>
  <c r="T29"/>
  <c r="P29" a="1"/>
  <c r="P29" s="1"/>
  <c r="M29"/>
  <c r="N29"/>
  <c r="R29" a="1"/>
  <c r="R29" s="1"/>
  <c r="V28"/>
  <c r="T28"/>
  <c r="P28" a="1"/>
  <c r="P28" s="1"/>
  <c r="M28"/>
  <c r="L28"/>
  <c r="N28"/>
  <c r="R28" a="1"/>
  <c r="R28" s="1"/>
  <c r="V27"/>
  <c r="T27"/>
  <c r="P27" a="1"/>
  <c r="P27" s="1"/>
  <c r="M27"/>
  <c r="N27"/>
  <c r="R27" a="1"/>
  <c r="R27" s="1"/>
  <c r="V26"/>
  <c r="T26"/>
  <c r="P26" a="1"/>
  <c r="P26" s="1"/>
  <c r="M26"/>
  <c r="L26"/>
  <c r="N26"/>
  <c r="R26" a="1"/>
  <c r="R26" s="1"/>
  <c r="V25"/>
  <c r="T25"/>
  <c r="P25" a="1"/>
  <c r="P25" s="1"/>
  <c r="M25"/>
  <c r="N25"/>
  <c r="R25" a="1"/>
  <c r="R25" s="1"/>
  <c r="V24"/>
  <c r="T24"/>
  <c r="P24" a="1"/>
  <c r="P24" s="1"/>
  <c r="M24"/>
  <c r="L24"/>
  <c r="N24"/>
  <c r="R24" a="1"/>
  <c r="R24" s="1"/>
  <c r="V23"/>
  <c r="T23"/>
  <c r="R23" a="1"/>
  <c r="R23" s="1"/>
  <c r="P23" a="1"/>
  <c r="P23" s="1"/>
  <c r="M23"/>
  <c r="N23"/>
  <c r="H23"/>
  <c r="V22"/>
  <c r="T22"/>
  <c r="R22" a="1"/>
  <c r="R22" s="1"/>
  <c r="P22" a="1"/>
  <c r="P22" s="1"/>
  <c r="M22"/>
  <c r="L22"/>
  <c r="N22"/>
  <c r="H22"/>
  <c r="V21"/>
  <c r="T21"/>
  <c r="P21" a="1"/>
  <c r="P21" s="1"/>
  <c r="M21"/>
  <c r="N21"/>
  <c r="R21" a="1"/>
  <c r="R21" s="1"/>
  <c r="V20"/>
  <c r="T20"/>
  <c r="P20" a="1"/>
  <c r="P20" s="1"/>
  <c r="M20"/>
  <c r="L20"/>
  <c r="N20"/>
  <c r="R20" a="1"/>
  <c r="R20" s="1"/>
  <c r="V19"/>
  <c r="T19"/>
  <c r="P19" a="1"/>
  <c r="P19" s="1"/>
  <c r="M19"/>
  <c r="N19"/>
  <c r="R19" a="1"/>
  <c r="R19" s="1"/>
  <c r="V18"/>
  <c r="T18"/>
  <c r="P18" a="1"/>
  <c r="P18" s="1"/>
  <c r="M18"/>
  <c r="L18"/>
  <c r="N18"/>
  <c r="H18"/>
  <c r="V17"/>
  <c r="T17"/>
  <c r="P17" a="1"/>
  <c r="P17" s="1"/>
  <c r="L17"/>
  <c r="N17"/>
  <c r="R17" a="1"/>
  <c r="R17" s="1"/>
  <c r="V16"/>
  <c r="T16"/>
  <c r="P16" a="1"/>
  <c r="P16" s="1"/>
  <c r="M16"/>
  <c r="L16"/>
  <c r="N16"/>
  <c r="H16"/>
  <c r="V15"/>
  <c r="T15"/>
  <c r="P15" a="1"/>
  <c r="P15" s="1"/>
  <c r="M15"/>
  <c r="N15"/>
  <c r="R15" a="1"/>
  <c r="R15" s="1"/>
  <c r="V14"/>
  <c r="T14"/>
  <c r="P14" a="1"/>
  <c r="P14" s="1"/>
  <c r="M14"/>
  <c r="L14"/>
  <c r="N14"/>
  <c r="R14" a="1"/>
  <c r="R14" s="1"/>
  <c r="V13"/>
  <c r="T13"/>
  <c r="P13" a="1"/>
  <c r="P13" s="1"/>
  <c r="L13"/>
  <c r="N13"/>
  <c r="R13" a="1"/>
  <c r="R13" s="1"/>
  <c r="V12"/>
  <c r="T12"/>
  <c r="P12" a="1"/>
  <c r="P12" s="1"/>
  <c r="M12"/>
  <c r="L12"/>
  <c r="N12"/>
  <c r="H12"/>
  <c r="V11"/>
  <c r="T11"/>
  <c r="P11" a="1"/>
  <c r="P11" s="1"/>
  <c r="M11"/>
  <c r="N11"/>
  <c r="R11" a="1"/>
  <c r="R11" s="1"/>
  <c r="V10"/>
  <c r="T10"/>
  <c r="P10" a="1"/>
  <c r="P10" s="1"/>
  <c r="M10"/>
  <c r="L10"/>
  <c r="N10"/>
  <c r="R10" a="1"/>
  <c r="R10" s="1"/>
  <c r="V9"/>
  <c r="T9"/>
  <c r="P9" a="1"/>
  <c r="P9" s="1"/>
  <c r="L9"/>
  <c r="N9"/>
  <c r="R9" a="1"/>
  <c r="R9" s="1"/>
  <c r="V8"/>
  <c r="T8"/>
  <c r="P8" a="1"/>
  <c r="P8" s="1"/>
  <c r="M8"/>
  <c r="L8"/>
  <c r="N8"/>
  <c r="H8"/>
  <c r="V7"/>
  <c r="T7"/>
  <c r="P7" a="1"/>
  <c r="P7" s="1"/>
  <c r="M7"/>
  <c r="N7"/>
  <c r="R7" a="1"/>
  <c r="R7" s="1"/>
  <c r="V6"/>
  <c r="T6"/>
  <c r="P6" a="1"/>
  <c r="P6" s="1"/>
  <c r="M6"/>
  <c r="L6"/>
  <c r="N6"/>
  <c r="R6" a="1"/>
  <c r="R6" s="1"/>
  <c r="V5"/>
  <c r="T5"/>
  <c r="P5" a="1"/>
  <c r="P5" s="1"/>
  <c r="M5"/>
  <c r="N5"/>
  <c r="R5" a="1"/>
  <c r="R5" s="1"/>
  <c r="V4"/>
  <c r="T4"/>
  <c r="P4" a="1"/>
  <c r="P4" s="1"/>
  <c r="M4"/>
  <c r="L4"/>
  <c r="I3"/>
  <c r="R4" a="1"/>
  <c r="R4" s="1"/>
  <c r="U3"/>
  <c r="V3" s="1"/>
  <c r="Q3"/>
  <c r="O3"/>
  <c r="P3" s="1" a="1"/>
  <c r="P3" s="1"/>
  <c r="K3"/>
  <c r="L3" s="1"/>
  <c r="G3"/>
  <c r="R3" s="1" a="1"/>
  <c r="R3" s="1"/>
  <c r="E31"/>
  <c r="E30"/>
  <c r="E29"/>
  <c r="E28"/>
  <c r="E27"/>
  <c r="E26"/>
  <c r="E25"/>
  <c r="E24"/>
  <c r="E23"/>
  <c r="E22"/>
  <c r="E21"/>
  <c r="E20"/>
  <c r="E19"/>
  <c r="E18"/>
  <c r="E17"/>
  <c r="E16"/>
  <c r="E15"/>
  <c r="E14"/>
  <c r="E13"/>
  <c r="E12"/>
  <c r="E11"/>
  <c r="E10"/>
  <c r="E9"/>
  <c r="E8"/>
  <c r="E7"/>
  <c r="E6"/>
  <c r="E5"/>
  <c r="E4"/>
  <c r="D3"/>
  <c r="E3" s="1"/>
  <c r="C3"/>
  <c r="O31" i="68"/>
  <c r="O30"/>
  <c r="O29"/>
  <c r="O28"/>
  <c r="O27"/>
  <c r="O26"/>
  <c r="O25"/>
  <c r="O24"/>
  <c r="O23"/>
  <c r="O22"/>
  <c r="O21"/>
  <c r="O20"/>
  <c r="O19"/>
  <c r="O18"/>
  <c r="O17"/>
  <c r="O16"/>
  <c r="O15"/>
  <c r="O14"/>
  <c r="O13"/>
  <c r="O12"/>
  <c r="O11"/>
  <c r="O10"/>
  <c r="O9"/>
  <c r="O8"/>
  <c r="O7"/>
  <c r="O6"/>
  <c r="O5"/>
  <c r="O4"/>
  <c r="O3"/>
  <c r="O32" i="66"/>
  <c r="O31"/>
  <c r="O30"/>
  <c r="O29"/>
  <c r="O28"/>
  <c r="O27"/>
  <c r="O26"/>
  <c r="O25"/>
  <c r="O24"/>
  <c r="O23"/>
  <c r="O22"/>
  <c r="O21"/>
  <c r="O20"/>
  <c r="O19"/>
  <c r="O18"/>
  <c r="O17"/>
  <c r="O16"/>
  <c r="O15"/>
  <c r="O14"/>
  <c r="O13"/>
  <c r="O12"/>
  <c r="O11"/>
  <c r="O10"/>
  <c r="O9"/>
  <c r="O8"/>
  <c r="O7"/>
  <c r="O6"/>
  <c r="O5"/>
  <c r="O4"/>
  <c r="O3"/>
  <c r="R3" i="186" l="1"/>
  <c r="L30"/>
  <c r="B4"/>
  <c r="Q3"/>
  <c r="B3" s="1"/>
  <c r="E24"/>
  <c r="E29"/>
  <c r="N25"/>
  <c r="J30"/>
  <c r="J26"/>
  <c r="J22"/>
  <c r="J16"/>
  <c r="J12"/>
  <c r="J8"/>
  <c r="S3"/>
  <c r="J3" s="1"/>
  <c r="H17"/>
  <c r="G17"/>
  <c r="E13"/>
  <c r="F13"/>
  <c r="F9"/>
  <c r="E9"/>
  <c r="F5"/>
  <c r="E5"/>
  <c r="N26"/>
  <c r="C26"/>
  <c r="N22"/>
  <c r="C22"/>
  <c r="N16"/>
  <c r="C16"/>
  <c r="N12"/>
  <c r="C12"/>
  <c r="C8"/>
  <c r="N8"/>
  <c r="L28"/>
  <c r="L27"/>
  <c r="L23"/>
  <c r="E6"/>
  <c r="E15"/>
  <c r="C25"/>
  <c r="K25" s="1"/>
  <c r="I27"/>
  <c r="I17"/>
  <c r="J29"/>
  <c r="J24"/>
  <c r="J19"/>
  <c r="J15"/>
  <c r="J11"/>
  <c r="J7"/>
  <c r="B21"/>
  <c r="B18"/>
  <c r="N27"/>
  <c r="I4"/>
  <c r="B26"/>
  <c r="B16"/>
  <c r="B9"/>
  <c r="F28"/>
  <c r="E28"/>
  <c r="F23"/>
  <c r="E23"/>
  <c r="F18"/>
  <c r="E18"/>
  <c r="F14"/>
  <c r="E14"/>
  <c r="N28"/>
  <c r="C28"/>
  <c r="N20"/>
  <c r="C20"/>
  <c r="N21"/>
  <c r="C21"/>
  <c r="K21" s="1"/>
  <c r="N13"/>
  <c r="C13"/>
  <c r="C9"/>
  <c r="N9"/>
  <c r="C5"/>
  <c r="N5"/>
  <c r="M4"/>
  <c r="C4"/>
  <c r="K4" s="1"/>
  <c r="B22"/>
  <c r="I25"/>
  <c r="C27"/>
  <c r="K27" s="1"/>
  <c r="B8"/>
  <c r="B28"/>
  <c r="B6"/>
  <c r="E7"/>
  <c r="F7"/>
  <c r="N29"/>
  <c r="C29"/>
  <c r="C23"/>
  <c r="N23"/>
  <c r="N18"/>
  <c r="C18"/>
  <c r="K18" s="1"/>
  <c r="N14"/>
  <c r="C14"/>
  <c r="N10"/>
  <c r="C10"/>
  <c r="N6"/>
  <c r="C6"/>
  <c r="N17"/>
  <c r="C17"/>
  <c r="K17" s="1"/>
  <c r="H27"/>
  <c r="G27"/>
  <c r="M18"/>
  <c r="L10"/>
  <c r="M14"/>
  <c r="M10"/>
  <c r="M6"/>
  <c r="M28"/>
  <c r="J20"/>
  <c r="J21"/>
  <c r="J13"/>
  <c r="J9"/>
  <c r="J5"/>
  <c r="B23"/>
  <c r="B7"/>
  <c r="B5"/>
  <c r="B12"/>
  <c r="B30"/>
  <c r="B20"/>
  <c r="B10"/>
  <c r="F8"/>
  <c r="E8"/>
  <c r="N4"/>
  <c r="J4"/>
  <c r="N30"/>
  <c r="C30"/>
  <c r="K30" s="1"/>
  <c r="N24"/>
  <c r="C24"/>
  <c r="N19"/>
  <c r="C19"/>
  <c r="N15"/>
  <c r="C15"/>
  <c r="N11"/>
  <c r="C11"/>
  <c r="C7"/>
  <c r="K7" s="1"/>
  <c r="N7"/>
  <c r="L6"/>
  <c r="L18"/>
  <c r="E10"/>
  <c r="J28"/>
  <c r="J23"/>
  <c r="J18"/>
  <c r="J14"/>
  <c r="J10"/>
  <c r="J6"/>
  <c r="B29"/>
  <c r="B13"/>
  <c r="B15"/>
  <c r="B19"/>
  <c r="B11"/>
  <c r="B24"/>
  <c r="B14"/>
  <c r="P3" i="184"/>
  <c r="V3"/>
  <c r="J3"/>
  <c r="R3"/>
  <c r="H3"/>
  <c r="L3"/>
  <c r="J5"/>
  <c r="M6"/>
  <c r="H7"/>
  <c r="L7"/>
  <c r="J9"/>
  <c r="M10"/>
  <c r="H11"/>
  <c r="L11"/>
  <c r="J13"/>
  <c r="M14"/>
  <c r="H15"/>
  <c r="L15"/>
  <c r="V15"/>
  <c r="J17"/>
  <c r="M18"/>
  <c r="L19"/>
  <c r="J21"/>
  <c r="M22"/>
  <c r="L23"/>
  <c r="J25"/>
  <c r="M26"/>
  <c r="H27"/>
  <c r="L27"/>
  <c r="J29"/>
  <c r="M30"/>
  <c r="H31"/>
  <c r="L31"/>
  <c r="J4"/>
  <c r="H6"/>
  <c r="J8"/>
  <c r="H10"/>
  <c r="J12"/>
  <c r="H14"/>
  <c r="J16"/>
  <c r="H18"/>
  <c r="J20"/>
  <c r="H22"/>
  <c r="J24"/>
  <c r="H26"/>
  <c r="J28"/>
  <c r="H30"/>
  <c r="P5" a="1"/>
  <c r="P5" s="1"/>
  <c r="V9"/>
  <c r="R22" a="1"/>
  <c r="R22" s="1"/>
  <c r="R26" a="1"/>
  <c r="R26" s="1"/>
  <c r="V29"/>
  <c r="R30" a="1"/>
  <c r="R30" s="1"/>
  <c r="N31"/>
  <c r="H4"/>
  <c r="J6"/>
  <c r="H8"/>
  <c r="P8" a="1"/>
  <c r="P8" s="1"/>
  <c r="E10"/>
  <c r="H12"/>
  <c r="J14"/>
  <c r="H16"/>
  <c r="J18"/>
  <c r="H20"/>
  <c r="E22"/>
  <c r="N22"/>
  <c r="H24"/>
  <c r="P24" a="1"/>
  <c r="P24" s="1"/>
  <c r="N26"/>
  <c r="H28"/>
  <c r="L28"/>
  <c r="P28" a="1"/>
  <c r="P28" s="1"/>
  <c r="N30"/>
  <c r="N3" i="181"/>
  <c r="J3"/>
  <c r="M3"/>
  <c r="S3"/>
  <c r="T3" s="1"/>
  <c r="R8" a="1"/>
  <c r="R8" s="1"/>
  <c r="M9"/>
  <c r="R12" a="1"/>
  <c r="R12" s="1"/>
  <c r="M13"/>
  <c r="R16" a="1"/>
  <c r="R16" s="1"/>
  <c r="M17"/>
  <c r="R18" a="1"/>
  <c r="R18" s="1"/>
  <c r="H3"/>
  <c r="J4"/>
  <c r="N4"/>
  <c r="H5"/>
  <c r="L5"/>
  <c r="J6"/>
  <c r="H7"/>
  <c r="L7"/>
  <c r="J8"/>
  <c r="H9"/>
  <c r="J10"/>
  <c r="H11"/>
  <c r="L11"/>
  <c r="J12"/>
  <c r="H13"/>
  <c r="J14"/>
  <c r="H15"/>
  <c r="L15"/>
  <c r="J16"/>
  <c r="H17"/>
  <c r="J18"/>
  <c r="H19"/>
  <c r="L19"/>
  <c r="J20"/>
  <c r="H21"/>
  <c r="L21"/>
  <c r="J22"/>
  <c r="L23"/>
  <c r="J24"/>
  <c r="H25"/>
  <c r="L25"/>
  <c r="J26"/>
  <c r="H27"/>
  <c r="L27"/>
  <c r="J28"/>
  <c r="H29"/>
  <c r="L29"/>
  <c r="J30"/>
  <c r="H31"/>
  <c r="L31"/>
  <c r="H4"/>
  <c r="J5"/>
  <c r="H6"/>
  <c r="J7"/>
  <c r="J9"/>
  <c r="H10"/>
  <c r="J11"/>
  <c r="J13"/>
  <c r="H14"/>
  <c r="J15"/>
  <c r="J17"/>
  <c r="J19"/>
  <c r="H20"/>
  <c r="J21"/>
  <c r="J23"/>
  <c r="H24"/>
  <c r="J25"/>
  <c r="H26"/>
  <c r="J27"/>
  <c r="H28"/>
  <c r="J29"/>
  <c r="H30"/>
  <c r="J31"/>
  <c r="O32" i="64"/>
  <c r="O31"/>
  <c r="O30"/>
  <c r="O29"/>
  <c r="O28"/>
  <c r="O27"/>
  <c r="O26"/>
  <c r="O25"/>
  <c r="O24"/>
  <c r="O23"/>
  <c r="O22"/>
  <c r="O21"/>
  <c r="O20"/>
  <c r="O19"/>
  <c r="O18"/>
  <c r="O17"/>
  <c r="O16"/>
  <c r="O15"/>
  <c r="O14"/>
  <c r="O13"/>
  <c r="O12"/>
  <c r="O11"/>
  <c r="O10"/>
  <c r="O9"/>
  <c r="O8"/>
  <c r="O7"/>
  <c r="O6"/>
  <c r="O5"/>
  <c r="O4"/>
  <c r="O3"/>
  <c r="T3" i="178"/>
  <c r="S3"/>
  <c r="R3"/>
  <c r="Q3"/>
  <c r="O32"/>
  <c r="A32" s="1"/>
  <c r="N32"/>
  <c r="J32"/>
  <c r="G32" s="1"/>
  <c r="I32"/>
  <c r="F32" s="1"/>
  <c r="C32"/>
  <c r="B32"/>
  <c r="O30"/>
  <c r="A30" s="1"/>
  <c r="N30"/>
  <c r="J30"/>
  <c r="G30" s="1"/>
  <c r="I30"/>
  <c r="F30" s="1"/>
  <c r="C30"/>
  <c r="B30"/>
  <c r="O31"/>
  <c r="A31" s="1"/>
  <c r="N31"/>
  <c r="J31"/>
  <c r="G31" s="1"/>
  <c r="I31"/>
  <c r="F31" s="1"/>
  <c r="C31"/>
  <c r="B31"/>
  <c r="O29"/>
  <c r="A29" s="1"/>
  <c r="N29"/>
  <c r="J29"/>
  <c r="G29" s="1"/>
  <c r="I29"/>
  <c r="F29" s="1"/>
  <c r="C29"/>
  <c r="B29"/>
  <c r="O27"/>
  <c r="A27" s="1"/>
  <c r="N27"/>
  <c r="J27"/>
  <c r="G27" s="1"/>
  <c r="I27"/>
  <c r="E27" s="1"/>
  <c r="C27"/>
  <c r="B27"/>
  <c r="O26"/>
  <c r="A26" s="1"/>
  <c r="N26"/>
  <c r="J26"/>
  <c r="G26" s="1"/>
  <c r="I26"/>
  <c r="E26" s="1"/>
  <c r="C26"/>
  <c r="B26"/>
  <c r="O28"/>
  <c r="A28" s="1"/>
  <c r="N28"/>
  <c r="J28"/>
  <c r="G28" s="1"/>
  <c r="I28"/>
  <c r="E28" s="1"/>
  <c r="C28"/>
  <c r="B28"/>
  <c r="O24"/>
  <c r="A24" s="1"/>
  <c r="N24"/>
  <c r="J24"/>
  <c r="G24" s="1"/>
  <c r="I24"/>
  <c r="F24" s="1"/>
  <c r="C24"/>
  <c r="B24"/>
  <c r="O23"/>
  <c r="A23" s="1"/>
  <c r="N23"/>
  <c r="J23"/>
  <c r="G23" s="1"/>
  <c r="I23"/>
  <c r="E23" s="1"/>
  <c r="C23"/>
  <c r="B23"/>
  <c r="O25"/>
  <c r="A25" s="1"/>
  <c r="N25"/>
  <c r="J25"/>
  <c r="G25" s="1"/>
  <c r="I25"/>
  <c r="F25" s="1"/>
  <c r="C25"/>
  <c r="B25"/>
  <c r="O22"/>
  <c r="A22" s="1"/>
  <c r="N22"/>
  <c r="J22"/>
  <c r="G22" s="1"/>
  <c r="I22"/>
  <c r="F22" s="1"/>
  <c r="C22"/>
  <c r="B22"/>
  <c r="O9"/>
  <c r="A9" s="1"/>
  <c r="N9"/>
  <c r="J9"/>
  <c r="G9" s="1"/>
  <c r="I9"/>
  <c r="F9" s="1"/>
  <c r="C9"/>
  <c r="B9"/>
  <c r="O21"/>
  <c r="A21" s="1"/>
  <c r="N21"/>
  <c r="J21"/>
  <c r="G21" s="1"/>
  <c r="I21"/>
  <c r="E21" s="1"/>
  <c r="C21"/>
  <c r="B21"/>
  <c r="O10"/>
  <c r="A10" s="1"/>
  <c r="N10"/>
  <c r="J10"/>
  <c r="G10" s="1"/>
  <c r="I10"/>
  <c r="F10" s="1"/>
  <c r="C10"/>
  <c r="B10"/>
  <c r="O18"/>
  <c r="A18" s="1"/>
  <c r="N18"/>
  <c r="J18"/>
  <c r="G18" s="1"/>
  <c r="I18"/>
  <c r="E18" s="1"/>
  <c r="C18"/>
  <c r="B18"/>
  <c r="O15"/>
  <c r="A15" s="1"/>
  <c r="N15"/>
  <c r="J15"/>
  <c r="G15" s="1"/>
  <c r="I15"/>
  <c r="F15" s="1"/>
  <c r="C15"/>
  <c r="B15"/>
  <c r="O19"/>
  <c r="A19" s="1"/>
  <c r="N19"/>
  <c r="J19"/>
  <c r="G19" s="1"/>
  <c r="I19"/>
  <c r="E19" s="1"/>
  <c r="C19"/>
  <c r="B19"/>
  <c r="O14"/>
  <c r="A14" s="1"/>
  <c r="N14"/>
  <c r="J14"/>
  <c r="G14" s="1"/>
  <c r="I14"/>
  <c r="F14" s="1"/>
  <c r="C14"/>
  <c r="B14"/>
  <c r="O20"/>
  <c r="A20" s="1"/>
  <c r="N20"/>
  <c r="J20"/>
  <c r="G20" s="1"/>
  <c r="I20"/>
  <c r="E20" s="1"/>
  <c r="C20"/>
  <c r="B20"/>
  <c r="O13"/>
  <c r="A13" s="1"/>
  <c r="N13"/>
  <c r="J13"/>
  <c r="G13" s="1"/>
  <c r="I13"/>
  <c r="F13" s="1"/>
  <c r="C13"/>
  <c r="B13"/>
  <c r="O17"/>
  <c r="A17" s="1"/>
  <c r="N17"/>
  <c r="J17"/>
  <c r="G17" s="1"/>
  <c r="I17"/>
  <c r="E17" s="1"/>
  <c r="C17"/>
  <c r="B17"/>
  <c r="O11"/>
  <c r="A11" s="1"/>
  <c r="N11"/>
  <c r="J11"/>
  <c r="G11" s="1"/>
  <c r="I11"/>
  <c r="F11" s="1"/>
  <c r="C11"/>
  <c r="B11"/>
  <c r="O8"/>
  <c r="A8" s="1"/>
  <c r="N8"/>
  <c r="J8"/>
  <c r="G8" s="1"/>
  <c r="I8"/>
  <c r="E8" s="1"/>
  <c r="C8"/>
  <c r="B8"/>
  <c r="O16"/>
  <c r="A16" s="1"/>
  <c r="N16"/>
  <c r="J16"/>
  <c r="G16" s="1"/>
  <c r="I16"/>
  <c r="F16" s="1"/>
  <c r="C16"/>
  <c r="B16"/>
  <c r="O12"/>
  <c r="A12" s="1"/>
  <c r="N12"/>
  <c r="J12"/>
  <c r="G12" s="1"/>
  <c r="I12"/>
  <c r="E12" s="1"/>
  <c r="C12"/>
  <c r="B12"/>
  <c r="O6"/>
  <c r="A6" s="1"/>
  <c r="N6"/>
  <c r="J6"/>
  <c r="G6" s="1"/>
  <c r="I6"/>
  <c r="F6" s="1"/>
  <c r="C6"/>
  <c r="B6"/>
  <c r="O5"/>
  <c r="A5" s="1"/>
  <c r="N5"/>
  <c r="J5"/>
  <c r="G5" s="1"/>
  <c r="I5"/>
  <c r="E5" s="1"/>
  <c r="F5"/>
  <c r="C5"/>
  <c r="B5"/>
  <c r="O4"/>
  <c r="A4" s="1"/>
  <c r="N4"/>
  <c r="J4"/>
  <c r="G4" s="1"/>
  <c r="I4"/>
  <c r="F4" s="1"/>
  <c r="C4"/>
  <c r="B4"/>
  <c r="O7"/>
  <c r="A7" s="1"/>
  <c r="N7"/>
  <c r="J7"/>
  <c r="G7" s="1"/>
  <c r="I7"/>
  <c r="E7" s="1"/>
  <c r="C7"/>
  <c r="B7"/>
  <c r="O3"/>
  <c r="J3"/>
  <c r="G3" s="1"/>
  <c r="C3"/>
  <c r="D9" i="148"/>
  <c r="D11"/>
  <c r="D12"/>
  <c r="D13"/>
  <c r="D14"/>
  <c r="D15"/>
  <c r="D16"/>
  <c r="D17"/>
  <c r="D18"/>
  <c r="D19"/>
  <c r="D20"/>
  <c r="D21"/>
  <c r="D22"/>
  <c r="D23"/>
  <c r="D24"/>
  <c r="N74" i="177"/>
  <c r="M74"/>
  <c r="L74"/>
  <c r="I74"/>
  <c r="H74"/>
  <c r="N73"/>
  <c r="M73"/>
  <c r="L73"/>
  <c r="I73"/>
  <c r="H73"/>
  <c r="N72"/>
  <c r="M72"/>
  <c r="L72"/>
  <c r="I72"/>
  <c r="H72"/>
  <c r="N71"/>
  <c r="M71"/>
  <c r="L71"/>
  <c r="I71"/>
  <c r="H71"/>
  <c r="N70"/>
  <c r="M70"/>
  <c r="L70"/>
  <c r="I70"/>
  <c r="H70"/>
  <c r="N69"/>
  <c r="M69"/>
  <c r="L69"/>
  <c r="I69"/>
  <c r="H69"/>
  <c r="N68"/>
  <c r="M68"/>
  <c r="L68"/>
  <c r="I68"/>
  <c r="H68"/>
  <c r="N67"/>
  <c r="M67"/>
  <c r="L67"/>
  <c r="I67"/>
  <c r="H67"/>
  <c r="N66"/>
  <c r="M66"/>
  <c r="L66"/>
  <c r="I66"/>
  <c r="H66"/>
  <c r="N65"/>
  <c r="M65"/>
  <c r="L65"/>
  <c r="I65"/>
  <c r="H65"/>
  <c r="N64"/>
  <c r="M64"/>
  <c r="L64"/>
  <c r="I64"/>
  <c r="H64"/>
  <c r="N63"/>
  <c r="M63"/>
  <c r="L63"/>
  <c r="I63"/>
  <c r="H63"/>
  <c r="N62"/>
  <c r="M62"/>
  <c r="L62"/>
  <c r="I62"/>
  <c r="H62"/>
  <c r="N61"/>
  <c r="M61"/>
  <c r="L61"/>
  <c r="I61"/>
  <c r="H61"/>
  <c r="N60"/>
  <c r="M60"/>
  <c r="L60"/>
  <c r="I60"/>
  <c r="H60"/>
  <c r="N59"/>
  <c r="M59"/>
  <c r="L59"/>
  <c r="I59"/>
  <c r="H59"/>
  <c r="N58"/>
  <c r="M58"/>
  <c r="L58"/>
  <c r="I58"/>
  <c r="H58"/>
  <c r="N57"/>
  <c r="M57"/>
  <c r="L57"/>
  <c r="I57"/>
  <c r="H57"/>
  <c r="N56"/>
  <c r="M56"/>
  <c r="L56"/>
  <c r="I56"/>
  <c r="H56"/>
  <c r="N55"/>
  <c r="M55"/>
  <c r="L55"/>
  <c r="I55"/>
  <c r="H55"/>
  <c r="N54"/>
  <c r="M54"/>
  <c r="L54"/>
  <c r="I54"/>
  <c r="H54"/>
  <c r="N53"/>
  <c r="M53"/>
  <c r="L53"/>
  <c r="I53"/>
  <c r="H53"/>
  <c r="N52"/>
  <c r="M52"/>
  <c r="L52"/>
  <c r="I52"/>
  <c r="H52"/>
  <c r="N51"/>
  <c r="M51"/>
  <c r="L51"/>
  <c r="I51"/>
  <c r="H51"/>
  <c r="N50"/>
  <c r="M50"/>
  <c r="L50"/>
  <c r="I50"/>
  <c r="H50"/>
  <c r="N49"/>
  <c r="M49"/>
  <c r="L49"/>
  <c r="I49"/>
  <c r="H49"/>
  <c r="N48"/>
  <c r="M48"/>
  <c r="L48"/>
  <c r="I48"/>
  <c r="H48"/>
  <c r="N47"/>
  <c r="L47"/>
  <c r="K47"/>
  <c r="M47" s="1"/>
  <c r="J47"/>
  <c r="G47"/>
  <c r="I47" s="1"/>
  <c r="F47"/>
  <c r="E47"/>
  <c r="D47"/>
  <c r="H47" s="1"/>
  <c r="M3" i="175"/>
  <c r="H50"/>
  <c r="G50"/>
  <c r="F50"/>
  <c r="E50"/>
  <c r="D50"/>
  <c r="C50"/>
  <c r="H49"/>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G35"/>
  <c r="E35"/>
  <c r="C35"/>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H6"/>
  <c r="G6"/>
  <c r="F6"/>
  <c r="E6"/>
  <c r="D6"/>
  <c r="C6"/>
  <c r="H5"/>
  <c r="G5"/>
  <c r="F5"/>
  <c r="E5"/>
  <c r="D5"/>
  <c r="C5"/>
  <c r="H4"/>
  <c r="G4"/>
  <c r="F4"/>
  <c r="E4"/>
  <c r="R3"/>
  <c r="Q3"/>
  <c r="P3"/>
  <c r="O3"/>
  <c r="N3"/>
  <c r="G3" i="186" l="1"/>
  <c r="H3"/>
  <c r="G12"/>
  <c r="H12"/>
  <c r="H30"/>
  <c r="G30"/>
  <c r="I3"/>
  <c r="G8"/>
  <c r="H8"/>
  <c r="H26"/>
  <c r="G26"/>
  <c r="K29"/>
  <c r="N3"/>
  <c r="M3"/>
  <c r="C3"/>
  <c r="K3" s="1"/>
  <c r="L3"/>
  <c r="G22"/>
  <c r="H22"/>
  <c r="G16"/>
  <c r="H16"/>
  <c r="G5"/>
  <c r="H5"/>
  <c r="H20"/>
  <c r="G20"/>
  <c r="G18"/>
  <c r="H18"/>
  <c r="G21"/>
  <c r="H21"/>
  <c r="G19"/>
  <c r="H19"/>
  <c r="E27"/>
  <c r="F27"/>
  <c r="K11"/>
  <c r="K19"/>
  <c r="K6"/>
  <c r="K14"/>
  <c r="K28"/>
  <c r="K8"/>
  <c r="G15"/>
  <c r="H15"/>
  <c r="F17"/>
  <c r="E17"/>
  <c r="K5"/>
  <c r="K16"/>
  <c r="K26"/>
  <c r="G13"/>
  <c r="H13"/>
  <c r="H10"/>
  <c r="G10"/>
  <c r="G28"/>
  <c r="H28"/>
  <c r="G4"/>
  <c r="H4"/>
  <c r="G9"/>
  <c r="H9"/>
  <c r="E25"/>
  <c r="F25"/>
  <c r="G11"/>
  <c r="H11"/>
  <c r="G29"/>
  <c r="H29"/>
  <c r="K15"/>
  <c r="K24"/>
  <c r="K10"/>
  <c r="K13"/>
  <c r="K20"/>
  <c r="H14"/>
  <c r="G14"/>
  <c r="H6"/>
  <c r="G6"/>
  <c r="G23"/>
  <c r="H23"/>
  <c r="E4"/>
  <c r="F4"/>
  <c r="G7"/>
  <c r="H7"/>
  <c r="G24"/>
  <c r="H24"/>
  <c r="K23"/>
  <c r="K9"/>
  <c r="K12"/>
  <c r="K22"/>
  <c r="K7" i="178"/>
  <c r="E4"/>
  <c r="K8"/>
  <c r="K32"/>
  <c r="H28"/>
  <c r="K31"/>
  <c r="K6"/>
  <c r="K30"/>
  <c r="H12"/>
  <c r="E22"/>
  <c r="E32"/>
  <c r="K4"/>
  <c r="K5"/>
  <c r="K12"/>
  <c r="E11"/>
  <c r="H17"/>
  <c r="E13"/>
  <c r="H20"/>
  <c r="F18"/>
  <c r="F28"/>
  <c r="F20"/>
  <c r="E14"/>
  <c r="K18"/>
  <c r="K23"/>
  <c r="H5"/>
  <c r="E6"/>
  <c r="H31"/>
  <c r="E30"/>
  <c r="K17"/>
  <c r="K13"/>
  <c r="K20"/>
  <c r="K19"/>
  <c r="H22"/>
  <c r="E25"/>
  <c r="K26"/>
  <c r="K27"/>
  <c r="K29"/>
  <c r="H18"/>
  <c r="F8"/>
  <c r="E10"/>
  <c r="F21"/>
  <c r="F26"/>
  <c r="F27"/>
  <c r="H7"/>
  <c r="I3"/>
  <c r="F3" s="1"/>
  <c r="B3"/>
  <c r="K3" s="1"/>
  <c r="N3"/>
  <c r="F7"/>
  <c r="E16"/>
  <c r="F19"/>
  <c r="H21"/>
  <c r="E9"/>
  <c r="F23"/>
  <c r="E24"/>
  <c r="K28"/>
  <c r="H27"/>
  <c r="E29"/>
  <c r="E31"/>
  <c r="H32"/>
  <c r="F12"/>
  <c r="F17"/>
  <c r="E15"/>
  <c r="K16"/>
  <c r="H8"/>
  <c r="K15"/>
  <c r="K9"/>
  <c r="K22"/>
  <c r="K24"/>
  <c r="K11"/>
  <c r="K14"/>
  <c r="H19"/>
  <c r="K10"/>
  <c r="K21"/>
  <c r="K25"/>
  <c r="H23"/>
  <c r="M32"/>
  <c r="L30"/>
  <c r="L7"/>
  <c r="L16"/>
  <c r="L17"/>
  <c r="L15"/>
  <c r="L21"/>
  <c r="L24"/>
  <c r="L27"/>
  <c r="L14"/>
  <c r="L18"/>
  <c r="A3"/>
  <c r="L4"/>
  <c r="L12"/>
  <c r="L13"/>
  <c r="L19"/>
  <c r="L9"/>
  <c r="L23"/>
  <c r="L29"/>
  <c r="L32"/>
  <c r="L6"/>
  <c r="L8"/>
  <c r="L25"/>
  <c r="L28"/>
  <c r="L3"/>
  <c r="L5"/>
  <c r="L11"/>
  <c r="L20"/>
  <c r="L10"/>
  <c r="L22"/>
  <c r="L26"/>
  <c r="L31"/>
  <c r="M3"/>
  <c r="M4"/>
  <c r="M6"/>
  <c r="M16"/>
  <c r="M11"/>
  <c r="M13"/>
  <c r="M14"/>
  <c r="M15"/>
  <c r="M10"/>
  <c r="M9"/>
  <c r="M25"/>
  <c r="M24"/>
  <c r="M26"/>
  <c r="M29"/>
  <c r="M30"/>
  <c r="H4"/>
  <c r="H16"/>
  <c r="H13"/>
  <c r="H15"/>
  <c r="H9"/>
  <c r="H26"/>
  <c r="H29"/>
  <c r="H3"/>
  <c r="H6"/>
  <c r="H11"/>
  <c r="H14"/>
  <c r="H10"/>
  <c r="H25"/>
  <c r="H24"/>
  <c r="H30"/>
  <c r="M7"/>
  <c r="M5"/>
  <c r="M12"/>
  <c r="M8"/>
  <c r="M17"/>
  <c r="M20"/>
  <c r="M19"/>
  <c r="M18"/>
  <c r="M21"/>
  <c r="M22"/>
  <c r="M23"/>
  <c r="M28"/>
  <c r="M27"/>
  <c r="M31"/>
  <c r="H3" i="175"/>
  <c r="F3"/>
  <c r="E3"/>
  <c r="D4"/>
  <c r="C4"/>
  <c r="D3"/>
  <c r="C3"/>
  <c r="G3"/>
  <c r="H50" i="172"/>
  <c r="G50"/>
  <c r="F50"/>
  <c r="E50"/>
  <c r="D50"/>
  <c r="C50"/>
  <c r="H49"/>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G35"/>
  <c r="E35"/>
  <c r="C35"/>
  <c r="R3"/>
  <c r="Q3"/>
  <c r="H3" s="1"/>
  <c r="P3"/>
  <c r="O3"/>
  <c r="E3" s="1"/>
  <c r="N3"/>
  <c r="M3"/>
  <c r="D3" s="1"/>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H6"/>
  <c r="G6"/>
  <c r="F6"/>
  <c r="E6"/>
  <c r="D6"/>
  <c r="C6"/>
  <c r="H5"/>
  <c r="G5"/>
  <c r="F5"/>
  <c r="E5"/>
  <c r="D5"/>
  <c r="C5"/>
  <c r="H4"/>
  <c r="G4"/>
  <c r="F4"/>
  <c r="E4"/>
  <c r="D4"/>
  <c r="C4"/>
  <c r="F3" i="186" l="1"/>
  <c r="E3"/>
  <c r="E3" i="178"/>
  <c r="C3" i="172"/>
  <c r="G3"/>
  <c r="F3"/>
  <c r="C28" i="166"/>
  <c r="G4"/>
  <c r="G22"/>
  <c r="F22"/>
  <c r="J22" s="1"/>
  <c r="E22"/>
  <c r="D22"/>
  <c r="C22"/>
  <c r="D41"/>
  <c r="C41"/>
  <c r="D40"/>
  <c r="C40"/>
  <c r="D39"/>
  <c r="C39"/>
  <c r="D38"/>
  <c r="C38"/>
  <c r="D37"/>
  <c r="C37"/>
  <c r="D36"/>
  <c r="C36"/>
  <c r="D35"/>
  <c r="C35"/>
  <c r="D34"/>
  <c r="C34"/>
  <c r="D33"/>
  <c r="C33"/>
  <c r="D32"/>
  <c r="C32"/>
  <c r="D31"/>
  <c r="C31"/>
  <c r="D30"/>
  <c r="C30"/>
  <c r="D29"/>
  <c r="C29"/>
  <c r="G27"/>
  <c r="E27"/>
  <c r="C26"/>
  <c r="G23"/>
  <c r="F23"/>
  <c r="K23" s="1"/>
  <c r="E23"/>
  <c r="D23"/>
  <c r="C23"/>
  <c r="G21"/>
  <c r="F21"/>
  <c r="K21" s="1"/>
  <c r="E21"/>
  <c r="D21"/>
  <c r="C21"/>
  <c r="G20"/>
  <c r="F20"/>
  <c r="E20"/>
  <c r="D20"/>
  <c r="C20"/>
  <c r="G19"/>
  <c r="F19"/>
  <c r="J19" s="1"/>
  <c r="E19"/>
  <c r="D19"/>
  <c r="C19"/>
  <c r="G18"/>
  <c r="F18"/>
  <c r="K18" s="1"/>
  <c r="E18"/>
  <c r="D18"/>
  <c r="C18"/>
  <c r="G17"/>
  <c r="F17"/>
  <c r="K17" s="1"/>
  <c r="E17"/>
  <c r="D17"/>
  <c r="C17"/>
  <c r="G16"/>
  <c r="F16"/>
  <c r="K16" s="1"/>
  <c r="E16"/>
  <c r="D16"/>
  <c r="C16"/>
  <c r="G15"/>
  <c r="F15"/>
  <c r="E15"/>
  <c r="D15"/>
  <c r="C15"/>
  <c r="G14"/>
  <c r="F14"/>
  <c r="K14" s="1"/>
  <c r="E14"/>
  <c r="D14"/>
  <c r="C14"/>
  <c r="G13"/>
  <c r="F13"/>
  <c r="K13" s="1"/>
  <c r="E13"/>
  <c r="D13"/>
  <c r="C13"/>
  <c r="G12"/>
  <c r="F12"/>
  <c r="E12"/>
  <c r="D12"/>
  <c r="C12"/>
  <c r="G11"/>
  <c r="F11"/>
  <c r="K11" s="1"/>
  <c r="E11"/>
  <c r="D11"/>
  <c r="C11"/>
  <c r="G10"/>
  <c r="F10"/>
  <c r="K10" s="1"/>
  <c r="E10"/>
  <c r="D10"/>
  <c r="C10"/>
  <c r="G9"/>
  <c r="F9"/>
  <c r="K9" s="1"/>
  <c r="E9"/>
  <c r="I9" s="1"/>
  <c r="D9"/>
  <c r="C9"/>
  <c r="G8"/>
  <c r="F8"/>
  <c r="J8" s="1"/>
  <c r="E8"/>
  <c r="D8"/>
  <c r="C8"/>
  <c r="G7"/>
  <c r="F7"/>
  <c r="E7"/>
  <c r="D7"/>
  <c r="C7"/>
  <c r="G6"/>
  <c r="F6"/>
  <c r="K6" s="1"/>
  <c r="E6"/>
  <c r="D6"/>
  <c r="C6"/>
  <c r="G5"/>
  <c r="F5"/>
  <c r="K5" s="1"/>
  <c r="E5"/>
  <c r="I5" s="1"/>
  <c r="D5"/>
  <c r="C5"/>
  <c r="F4"/>
  <c r="K4" s="1"/>
  <c r="E4"/>
  <c r="V3"/>
  <c r="U3"/>
  <c r="T3"/>
  <c r="S3"/>
  <c r="R3"/>
  <c r="Q3"/>
  <c r="P3"/>
  <c r="O3"/>
  <c r="N3"/>
  <c r="M3"/>
  <c r="G4" i="164"/>
  <c r="H49"/>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G34"/>
  <c r="E34"/>
  <c r="C34"/>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J22" s="1"/>
  <c r="F22"/>
  <c r="E22"/>
  <c r="D22"/>
  <c r="C22"/>
  <c r="H21"/>
  <c r="G21"/>
  <c r="F21"/>
  <c r="E21"/>
  <c r="I21" s="1"/>
  <c r="D21"/>
  <c r="C21"/>
  <c r="H20"/>
  <c r="G20"/>
  <c r="J20" s="1"/>
  <c r="F20"/>
  <c r="E20"/>
  <c r="D20"/>
  <c r="C20"/>
  <c r="H19"/>
  <c r="G19"/>
  <c r="F19"/>
  <c r="E19"/>
  <c r="I19" s="1"/>
  <c r="D19"/>
  <c r="C19"/>
  <c r="H18"/>
  <c r="G18"/>
  <c r="J18" s="1"/>
  <c r="F18"/>
  <c r="E18"/>
  <c r="D18"/>
  <c r="C18"/>
  <c r="H17"/>
  <c r="G17"/>
  <c r="F17"/>
  <c r="E17"/>
  <c r="I17" s="1"/>
  <c r="D17"/>
  <c r="C17"/>
  <c r="H16"/>
  <c r="G16"/>
  <c r="J16" s="1"/>
  <c r="F16"/>
  <c r="E16"/>
  <c r="D16"/>
  <c r="C16"/>
  <c r="H15"/>
  <c r="G15"/>
  <c r="F15"/>
  <c r="E15"/>
  <c r="I15" s="1"/>
  <c r="D15"/>
  <c r="C15"/>
  <c r="H14"/>
  <c r="G14"/>
  <c r="J14" s="1"/>
  <c r="F14"/>
  <c r="E14"/>
  <c r="D14"/>
  <c r="C14"/>
  <c r="H13"/>
  <c r="G13"/>
  <c r="F13"/>
  <c r="E13"/>
  <c r="I13" s="1"/>
  <c r="D13"/>
  <c r="C13"/>
  <c r="H12"/>
  <c r="G12"/>
  <c r="J12" s="1"/>
  <c r="F12"/>
  <c r="E12"/>
  <c r="D12"/>
  <c r="C12"/>
  <c r="H11"/>
  <c r="G11"/>
  <c r="F11"/>
  <c r="E11"/>
  <c r="I11" s="1"/>
  <c r="D11"/>
  <c r="C11"/>
  <c r="H10"/>
  <c r="G10"/>
  <c r="J10" s="1"/>
  <c r="F10"/>
  <c r="E10"/>
  <c r="D10"/>
  <c r="C10"/>
  <c r="H9"/>
  <c r="G9"/>
  <c r="F9"/>
  <c r="E9"/>
  <c r="D9"/>
  <c r="C9"/>
  <c r="H8"/>
  <c r="G8"/>
  <c r="J8" s="1"/>
  <c r="F8"/>
  <c r="E8"/>
  <c r="D8"/>
  <c r="C8"/>
  <c r="H7"/>
  <c r="G7"/>
  <c r="F7"/>
  <c r="E7"/>
  <c r="I7" s="1"/>
  <c r="D7"/>
  <c r="C7"/>
  <c r="H6"/>
  <c r="G6"/>
  <c r="F6"/>
  <c r="E6"/>
  <c r="D6"/>
  <c r="C6"/>
  <c r="H5"/>
  <c r="G5"/>
  <c r="F5"/>
  <c r="E5"/>
  <c r="D5"/>
  <c r="C5"/>
  <c r="H4"/>
  <c r="F4"/>
  <c r="D4"/>
  <c r="C4"/>
  <c r="R3"/>
  <c r="Q3"/>
  <c r="P3"/>
  <c r="O3"/>
  <c r="N3"/>
  <c r="D3" s="1"/>
  <c r="M3"/>
  <c r="H49" i="162"/>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H36"/>
  <c r="G36"/>
  <c r="F36"/>
  <c r="E36"/>
  <c r="D36"/>
  <c r="C36"/>
  <c r="H31"/>
  <c r="G31"/>
  <c r="F31"/>
  <c r="E31"/>
  <c r="D31"/>
  <c r="C31"/>
  <c r="H30"/>
  <c r="G30"/>
  <c r="F30"/>
  <c r="E30"/>
  <c r="D30"/>
  <c r="C30"/>
  <c r="H29"/>
  <c r="G29"/>
  <c r="F29"/>
  <c r="E29"/>
  <c r="D29"/>
  <c r="C29"/>
  <c r="H28"/>
  <c r="G28"/>
  <c r="K28" s="1"/>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L19" s="1"/>
  <c r="D19"/>
  <c r="C19"/>
  <c r="H18"/>
  <c r="G18"/>
  <c r="F18"/>
  <c r="E18"/>
  <c r="D18"/>
  <c r="C18"/>
  <c r="H17"/>
  <c r="G17"/>
  <c r="K17" s="1"/>
  <c r="F17"/>
  <c r="E17"/>
  <c r="D17"/>
  <c r="C17"/>
  <c r="H16"/>
  <c r="G16"/>
  <c r="M16" s="1"/>
  <c r="F16"/>
  <c r="E16"/>
  <c r="D16"/>
  <c r="C16"/>
  <c r="H15"/>
  <c r="G15"/>
  <c r="M15" s="1"/>
  <c r="F15"/>
  <c r="E15"/>
  <c r="D15"/>
  <c r="C15"/>
  <c r="H14"/>
  <c r="G14"/>
  <c r="F14"/>
  <c r="E14"/>
  <c r="D14"/>
  <c r="C14"/>
  <c r="H13"/>
  <c r="G13"/>
  <c r="F13"/>
  <c r="E13"/>
  <c r="D13"/>
  <c r="C13"/>
  <c r="H12"/>
  <c r="G12"/>
  <c r="F12"/>
  <c r="J12" s="1"/>
  <c r="E12"/>
  <c r="D12"/>
  <c r="C12"/>
  <c r="H11"/>
  <c r="G11"/>
  <c r="F11"/>
  <c r="E11"/>
  <c r="D11"/>
  <c r="C11"/>
  <c r="H10"/>
  <c r="G10"/>
  <c r="F10"/>
  <c r="E10"/>
  <c r="D10"/>
  <c r="M10" s="1"/>
  <c r="C10"/>
  <c r="H9"/>
  <c r="G9"/>
  <c r="F9"/>
  <c r="E9"/>
  <c r="D9"/>
  <c r="C9"/>
  <c r="H8"/>
  <c r="G8"/>
  <c r="F8"/>
  <c r="E8"/>
  <c r="D8"/>
  <c r="C8"/>
  <c r="H7"/>
  <c r="G7"/>
  <c r="F7"/>
  <c r="E7"/>
  <c r="D7"/>
  <c r="C7"/>
  <c r="H6"/>
  <c r="G6"/>
  <c r="F6"/>
  <c r="E6"/>
  <c r="D6"/>
  <c r="C6"/>
  <c r="H5"/>
  <c r="G5"/>
  <c r="F5"/>
  <c r="E5"/>
  <c r="D5"/>
  <c r="C5"/>
  <c r="H4"/>
  <c r="G4"/>
  <c r="F4"/>
  <c r="E4"/>
  <c r="D4"/>
  <c r="C4"/>
  <c r="Z3"/>
  <c r="Y3"/>
  <c r="X3"/>
  <c r="W3"/>
  <c r="V3"/>
  <c r="U3"/>
  <c r="T3"/>
  <c r="S3"/>
  <c r="R3"/>
  <c r="Q3"/>
  <c r="P3"/>
  <c r="O3"/>
  <c r="H50" i="160"/>
  <c r="G50"/>
  <c r="F50"/>
  <c r="E50"/>
  <c r="D50"/>
  <c r="C50"/>
  <c r="H49"/>
  <c r="G49"/>
  <c r="F49"/>
  <c r="E49"/>
  <c r="D49"/>
  <c r="C49"/>
  <c r="H48"/>
  <c r="G48"/>
  <c r="F48"/>
  <c r="E48"/>
  <c r="D48"/>
  <c r="C48"/>
  <c r="H47"/>
  <c r="G47"/>
  <c r="F47"/>
  <c r="E47"/>
  <c r="D47"/>
  <c r="C47"/>
  <c r="H46"/>
  <c r="G46"/>
  <c r="F46"/>
  <c r="E46"/>
  <c r="D46"/>
  <c r="C46"/>
  <c r="H45"/>
  <c r="G45"/>
  <c r="F45"/>
  <c r="E45"/>
  <c r="D45"/>
  <c r="C45"/>
  <c r="H44"/>
  <c r="G44"/>
  <c r="F44"/>
  <c r="E44"/>
  <c r="D44"/>
  <c r="C44"/>
  <c r="H43"/>
  <c r="G43"/>
  <c r="F43"/>
  <c r="E43"/>
  <c r="D43"/>
  <c r="C43"/>
  <c r="H42"/>
  <c r="G42"/>
  <c r="F42"/>
  <c r="E42"/>
  <c r="D42"/>
  <c r="C42"/>
  <c r="H41"/>
  <c r="G41"/>
  <c r="F41"/>
  <c r="E41"/>
  <c r="D41"/>
  <c r="C41"/>
  <c r="H40"/>
  <c r="G40"/>
  <c r="F40"/>
  <c r="E40"/>
  <c r="D40"/>
  <c r="C40"/>
  <c r="H39"/>
  <c r="G39"/>
  <c r="F39"/>
  <c r="E39"/>
  <c r="D39"/>
  <c r="C39"/>
  <c r="H38"/>
  <c r="G38"/>
  <c r="F38"/>
  <c r="E38"/>
  <c r="D38"/>
  <c r="C38"/>
  <c r="H37"/>
  <c r="G37"/>
  <c r="F37"/>
  <c r="E37"/>
  <c r="D37"/>
  <c r="C37"/>
  <c r="G35"/>
  <c r="E35"/>
  <c r="C35"/>
  <c r="H32"/>
  <c r="G32"/>
  <c r="F32"/>
  <c r="E32"/>
  <c r="D32"/>
  <c r="C32"/>
  <c r="H31"/>
  <c r="G31"/>
  <c r="F31"/>
  <c r="E31"/>
  <c r="D31"/>
  <c r="C31"/>
  <c r="H30"/>
  <c r="G30"/>
  <c r="J30" s="1"/>
  <c r="F30"/>
  <c r="E30"/>
  <c r="D30"/>
  <c r="C30"/>
  <c r="H29"/>
  <c r="G29"/>
  <c r="F29"/>
  <c r="E29"/>
  <c r="I29" s="1"/>
  <c r="D29"/>
  <c r="C29"/>
  <c r="H28"/>
  <c r="G28"/>
  <c r="J28" s="1"/>
  <c r="F28"/>
  <c r="E28"/>
  <c r="D28"/>
  <c r="C28"/>
  <c r="H27"/>
  <c r="G27"/>
  <c r="F27"/>
  <c r="E27"/>
  <c r="I27" s="1"/>
  <c r="D27"/>
  <c r="C27"/>
  <c r="H26"/>
  <c r="G26"/>
  <c r="J26" s="1"/>
  <c r="F26"/>
  <c r="E26"/>
  <c r="D26"/>
  <c r="C26"/>
  <c r="H25"/>
  <c r="G25"/>
  <c r="F25"/>
  <c r="E25"/>
  <c r="I25" s="1"/>
  <c r="D25"/>
  <c r="C25"/>
  <c r="H24"/>
  <c r="G24"/>
  <c r="J24" s="1"/>
  <c r="F24"/>
  <c r="E24"/>
  <c r="D24"/>
  <c r="C24"/>
  <c r="H23"/>
  <c r="G23"/>
  <c r="F23"/>
  <c r="E23"/>
  <c r="I23" s="1"/>
  <c r="D23"/>
  <c r="C23"/>
  <c r="H22"/>
  <c r="G22"/>
  <c r="J22" s="1"/>
  <c r="F22"/>
  <c r="E22"/>
  <c r="D22"/>
  <c r="C22"/>
  <c r="H21"/>
  <c r="G21"/>
  <c r="F21"/>
  <c r="E21"/>
  <c r="I21" s="1"/>
  <c r="D21"/>
  <c r="C21"/>
  <c r="H20"/>
  <c r="G20"/>
  <c r="J20" s="1"/>
  <c r="F20"/>
  <c r="E20"/>
  <c r="D20"/>
  <c r="C20"/>
  <c r="H19"/>
  <c r="G19"/>
  <c r="F19"/>
  <c r="E19"/>
  <c r="I19" s="1"/>
  <c r="D19"/>
  <c r="C19"/>
  <c r="H18"/>
  <c r="G18"/>
  <c r="J18" s="1"/>
  <c r="F18"/>
  <c r="E18"/>
  <c r="D18"/>
  <c r="C18"/>
  <c r="H17"/>
  <c r="G17"/>
  <c r="F17"/>
  <c r="E17"/>
  <c r="I17" s="1"/>
  <c r="D17"/>
  <c r="C17"/>
  <c r="H16"/>
  <c r="G16"/>
  <c r="J16" s="1"/>
  <c r="F16"/>
  <c r="E16"/>
  <c r="D16"/>
  <c r="C16"/>
  <c r="H15"/>
  <c r="G15"/>
  <c r="F15"/>
  <c r="E15"/>
  <c r="I15" s="1"/>
  <c r="D15"/>
  <c r="C15"/>
  <c r="H14"/>
  <c r="G14"/>
  <c r="J14" s="1"/>
  <c r="F14"/>
  <c r="E14"/>
  <c r="D14"/>
  <c r="C14"/>
  <c r="H13"/>
  <c r="G13"/>
  <c r="F13"/>
  <c r="E13"/>
  <c r="I13" s="1"/>
  <c r="D13"/>
  <c r="C13"/>
  <c r="H12"/>
  <c r="G12"/>
  <c r="J12" s="1"/>
  <c r="F12"/>
  <c r="E12"/>
  <c r="D12"/>
  <c r="C12"/>
  <c r="H11"/>
  <c r="G11"/>
  <c r="F11"/>
  <c r="E11"/>
  <c r="D11"/>
  <c r="C11"/>
  <c r="H10"/>
  <c r="G10"/>
  <c r="F10"/>
  <c r="E10"/>
  <c r="D10"/>
  <c r="C10"/>
  <c r="H9"/>
  <c r="G9"/>
  <c r="F9"/>
  <c r="E9"/>
  <c r="I9" s="1"/>
  <c r="D9"/>
  <c r="C9"/>
  <c r="H8"/>
  <c r="G8"/>
  <c r="J8" s="1"/>
  <c r="F8"/>
  <c r="E8"/>
  <c r="D8"/>
  <c r="C8"/>
  <c r="H7"/>
  <c r="G7"/>
  <c r="F7"/>
  <c r="E7"/>
  <c r="D7"/>
  <c r="C7"/>
  <c r="H6"/>
  <c r="G6"/>
  <c r="F6"/>
  <c r="E6"/>
  <c r="D6"/>
  <c r="C6"/>
  <c r="H5"/>
  <c r="G5"/>
  <c r="F5"/>
  <c r="E5"/>
  <c r="I5" s="1"/>
  <c r="D5"/>
  <c r="C5"/>
  <c r="H4"/>
  <c r="G4"/>
  <c r="F4"/>
  <c r="E4"/>
  <c r="D4"/>
  <c r="C4"/>
  <c r="R3"/>
  <c r="Q3"/>
  <c r="P3"/>
  <c r="O3"/>
  <c r="N3"/>
  <c r="M3"/>
  <c r="M3" i="158"/>
  <c r="E3" s="1"/>
  <c r="N3"/>
  <c r="O3"/>
  <c r="P3"/>
  <c r="Q3"/>
  <c r="R3"/>
  <c r="S3"/>
  <c r="T3"/>
  <c r="U3"/>
  <c r="F3" s="1"/>
  <c r="V3"/>
  <c r="G3" s="1"/>
  <c r="C4"/>
  <c r="H4" s="1"/>
  <c r="D4"/>
  <c r="E4"/>
  <c r="J4" s="1"/>
  <c r="F4"/>
  <c r="G4"/>
  <c r="I4"/>
  <c r="K4"/>
  <c r="C5"/>
  <c r="D5"/>
  <c r="I5" s="1"/>
  <c r="E5"/>
  <c r="F5"/>
  <c r="K5" s="1"/>
  <c r="G5"/>
  <c r="H5"/>
  <c r="J5"/>
  <c r="C6"/>
  <c r="D6"/>
  <c r="E6"/>
  <c r="J6" s="1"/>
  <c r="F6"/>
  <c r="G6"/>
  <c r="H6"/>
  <c r="I6"/>
  <c r="K6"/>
  <c r="C7"/>
  <c r="D7"/>
  <c r="I7" s="1"/>
  <c r="E7"/>
  <c r="F7"/>
  <c r="K7" s="1"/>
  <c r="G7"/>
  <c r="H7"/>
  <c r="J7"/>
  <c r="C8"/>
  <c r="H8" s="1"/>
  <c r="D8"/>
  <c r="E8"/>
  <c r="J8" s="1"/>
  <c r="F8"/>
  <c r="G8"/>
  <c r="I8"/>
  <c r="K8"/>
  <c r="C9"/>
  <c r="D9"/>
  <c r="I9" s="1"/>
  <c r="E9"/>
  <c r="F9"/>
  <c r="K9" s="1"/>
  <c r="G9"/>
  <c r="H9"/>
  <c r="J9"/>
  <c r="C10"/>
  <c r="D10"/>
  <c r="E10"/>
  <c r="J10" s="1"/>
  <c r="F10"/>
  <c r="G10"/>
  <c r="H10"/>
  <c r="I10"/>
  <c r="K10"/>
  <c r="C11"/>
  <c r="D11"/>
  <c r="I11" s="1"/>
  <c r="E11"/>
  <c r="F11"/>
  <c r="G11"/>
  <c r="H11"/>
  <c r="J11"/>
  <c r="K11"/>
  <c r="C12"/>
  <c r="H12" s="1"/>
  <c r="D12"/>
  <c r="E12"/>
  <c r="F12"/>
  <c r="G12"/>
  <c r="I12"/>
  <c r="J12"/>
  <c r="K12"/>
  <c r="C13"/>
  <c r="D13"/>
  <c r="E13"/>
  <c r="F13"/>
  <c r="K13" s="1"/>
  <c r="G13"/>
  <c r="H13"/>
  <c r="I13"/>
  <c r="J13"/>
  <c r="C14"/>
  <c r="D14"/>
  <c r="E14"/>
  <c r="J14" s="1"/>
  <c r="F14"/>
  <c r="G14"/>
  <c r="H14"/>
  <c r="I14"/>
  <c r="K14"/>
  <c r="C15"/>
  <c r="D15"/>
  <c r="E15"/>
  <c r="F15"/>
  <c r="G15"/>
  <c r="H15"/>
  <c r="I15"/>
  <c r="J15"/>
  <c r="K15"/>
  <c r="C16"/>
  <c r="D16"/>
  <c r="E16"/>
  <c r="F16"/>
  <c r="G16"/>
  <c r="H16"/>
  <c r="I16"/>
  <c r="J16"/>
  <c r="K16"/>
  <c r="C17"/>
  <c r="D17"/>
  <c r="E17"/>
  <c r="F17"/>
  <c r="G17"/>
  <c r="H17"/>
  <c r="I17"/>
  <c r="J17"/>
  <c r="K17"/>
  <c r="C18"/>
  <c r="D18"/>
  <c r="E18"/>
  <c r="F18"/>
  <c r="G18"/>
  <c r="H18"/>
  <c r="I18"/>
  <c r="J18"/>
  <c r="K18"/>
  <c r="C19"/>
  <c r="D19"/>
  <c r="E19"/>
  <c r="F19"/>
  <c r="G19"/>
  <c r="H19"/>
  <c r="I19"/>
  <c r="J19"/>
  <c r="K19"/>
  <c r="C20"/>
  <c r="D20"/>
  <c r="E20"/>
  <c r="F20"/>
  <c r="G20"/>
  <c r="H20"/>
  <c r="I20"/>
  <c r="J20"/>
  <c r="K20"/>
  <c r="C21"/>
  <c r="D21"/>
  <c r="E21"/>
  <c r="F21"/>
  <c r="G21"/>
  <c r="H21"/>
  <c r="I21"/>
  <c r="J21"/>
  <c r="K21"/>
  <c r="C22"/>
  <c r="D22"/>
  <c r="E22"/>
  <c r="F22"/>
  <c r="G22"/>
  <c r="H22"/>
  <c r="I22"/>
  <c r="J22"/>
  <c r="K22"/>
  <c r="C25"/>
  <c r="E26"/>
  <c r="G26"/>
  <c r="C27"/>
  <c r="D27"/>
  <c r="M27" s="1"/>
  <c r="C28"/>
  <c r="D28"/>
  <c r="M28" s="1"/>
  <c r="C29"/>
  <c r="D29"/>
  <c r="M29" s="1"/>
  <c r="C30"/>
  <c r="D30"/>
  <c r="M30" s="1"/>
  <c r="C31"/>
  <c r="D31"/>
  <c r="M31" s="1"/>
  <c r="C32"/>
  <c r="D32"/>
  <c r="M32" s="1"/>
  <c r="C33"/>
  <c r="D33"/>
  <c r="M33" s="1"/>
  <c r="C34"/>
  <c r="D34"/>
  <c r="M34" s="1"/>
  <c r="C35"/>
  <c r="D35"/>
  <c r="M35" s="1"/>
  <c r="C36"/>
  <c r="D36"/>
  <c r="M36" s="1"/>
  <c r="C37"/>
  <c r="D37"/>
  <c r="C38"/>
  <c r="D38"/>
  <c r="C39"/>
  <c r="D39"/>
  <c r="M39" s="1"/>
  <c r="C40"/>
  <c r="D40"/>
  <c r="M40" s="1"/>
  <c r="M3" i="154"/>
  <c r="C3" s="1"/>
  <c r="N3"/>
  <c r="D3" s="1"/>
  <c r="O3"/>
  <c r="E3" s="1"/>
  <c r="I3" s="1"/>
  <c r="P3"/>
  <c r="F3" s="1"/>
  <c r="Q3"/>
  <c r="R3"/>
  <c r="H3" s="1"/>
  <c r="C4"/>
  <c r="I4" s="1"/>
  <c r="D4"/>
  <c r="E4"/>
  <c r="F4"/>
  <c r="G4"/>
  <c r="H4"/>
  <c r="J4"/>
  <c r="C5"/>
  <c r="I5" s="1"/>
  <c r="D5"/>
  <c r="E5"/>
  <c r="F5"/>
  <c r="G5"/>
  <c r="H5"/>
  <c r="J5"/>
  <c r="C6"/>
  <c r="I6" s="1"/>
  <c r="D6"/>
  <c r="E6"/>
  <c r="F6"/>
  <c r="G6"/>
  <c r="H6"/>
  <c r="J6"/>
  <c r="C7"/>
  <c r="I7" s="1"/>
  <c r="D7"/>
  <c r="E7"/>
  <c r="F7"/>
  <c r="G7"/>
  <c r="H7"/>
  <c r="J7"/>
  <c r="C8"/>
  <c r="I8" s="1"/>
  <c r="D8"/>
  <c r="E8"/>
  <c r="F8"/>
  <c r="G8"/>
  <c r="H8"/>
  <c r="J8"/>
  <c r="C9"/>
  <c r="I9" s="1"/>
  <c r="D9"/>
  <c r="E9"/>
  <c r="F9"/>
  <c r="G9"/>
  <c r="H9"/>
  <c r="J9"/>
  <c r="C10"/>
  <c r="I10" s="1"/>
  <c r="D10"/>
  <c r="E10"/>
  <c r="F10"/>
  <c r="G10"/>
  <c r="H10"/>
  <c r="J10"/>
  <c r="C11"/>
  <c r="I11" s="1"/>
  <c r="D11"/>
  <c r="E11"/>
  <c r="F11"/>
  <c r="G11"/>
  <c r="H11"/>
  <c r="J11"/>
  <c r="C12"/>
  <c r="I12" s="1"/>
  <c r="D12"/>
  <c r="E12"/>
  <c r="F12"/>
  <c r="G12"/>
  <c r="H12"/>
  <c r="J12"/>
  <c r="C13"/>
  <c r="I13" s="1"/>
  <c r="D13"/>
  <c r="E13"/>
  <c r="F13"/>
  <c r="G13"/>
  <c r="H13"/>
  <c r="J13"/>
  <c r="C14"/>
  <c r="I14" s="1"/>
  <c r="D14"/>
  <c r="E14"/>
  <c r="F14"/>
  <c r="G14"/>
  <c r="H14"/>
  <c r="J14"/>
  <c r="C15"/>
  <c r="I15" s="1"/>
  <c r="D15"/>
  <c r="E15"/>
  <c r="F15"/>
  <c r="G15"/>
  <c r="H15"/>
  <c r="J15"/>
  <c r="C16"/>
  <c r="I16" s="1"/>
  <c r="D16"/>
  <c r="E16"/>
  <c r="F16"/>
  <c r="G16"/>
  <c r="H16"/>
  <c r="J16"/>
  <c r="C17"/>
  <c r="I17" s="1"/>
  <c r="D17"/>
  <c r="E17"/>
  <c r="F17"/>
  <c r="G17"/>
  <c r="H17"/>
  <c r="J17"/>
  <c r="C18"/>
  <c r="I18" s="1"/>
  <c r="D18"/>
  <c r="E18"/>
  <c r="F18"/>
  <c r="G18"/>
  <c r="H18"/>
  <c r="J18"/>
  <c r="C19"/>
  <c r="I19" s="1"/>
  <c r="D19"/>
  <c r="E19"/>
  <c r="F19"/>
  <c r="G19"/>
  <c r="H19"/>
  <c r="J19"/>
  <c r="C20"/>
  <c r="I20" s="1"/>
  <c r="D20"/>
  <c r="E20"/>
  <c r="F20"/>
  <c r="G20"/>
  <c r="H20"/>
  <c r="J20"/>
  <c r="C21"/>
  <c r="I21" s="1"/>
  <c r="D21"/>
  <c r="E21"/>
  <c r="F21"/>
  <c r="G21"/>
  <c r="H21"/>
  <c r="J21"/>
  <c r="C22"/>
  <c r="I22" s="1"/>
  <c r="D22"/>
  <c r="E22"/>
  <c r="F22"/>
  <c r="G22"/>
  <c r="H22"/>
  <c r="J22"/>
  <c r="C23"/>
  <c r="I23" s="1"/>
  <c r="D23"/>
  <c r="E23"/>
  <c r="F23"/>
  <c r="G23"/>
  <c r="H23"/>
  <c r="J23"/>
  <c r="C24"/>
  <c r="I24" s="1"/>
  <c r="D24"/>
  <c r="E24"/>
  <c r="F24"/>
  <c r="G24"/>
  <c r="H24"/>
  <c r="J24"/>
  <c r="C25"/>
  <c r="I25" s="1"/>
  <c r="D25"/>
  <c r="E25"/>
  <c r="F25"/>
  <c r="G25"/>
  <c r="H25"/>
  <c r="J25"/>
  <c r="C26"/>
  <c r="I26" s="1"/>
  <c r="D26"/>
  <c r="E26"/>
  <c r="F26"/>
  <c r="G26"/>
  <c r="H26"/>
  <c r="J26"/>
  <c r="C27"/>
  <c r="I27" s="1"/>
  <c r="D27"/>
  <c r="E27"/>
  <c r="F27"/>
  <c r="G27"/>
  <c r="H27"/>
  <c r="J27"/>
  <c r="C28"/>
  <c r="I28" s="1"/>
  <c r="D28"/>
  <c r="E28"/>
  <c r="F28"/>
  <c r="G28"/>
  <c r="H28"/>
  <c r="J28"/>
  <c r="C29"/>
  <c r="I29" s="1"/>
  <c r="D29"/>
  <c r="E29"/>
  <c r="F29"/>
  <c r="G29"/>
  <c r="H29"/>
  <c r="J29"/>
  <c r="C30"/>
  <c r="I30" s="1"/>
  <c r="D30"/>
  <c r="E30"/>
  <c r="F30"/>
  <c r="G30"/>
  <c r="H30"/>
  <c r="J30"/>
  <c r="C31"/>
  <c r="I31" s="1"/>
  <c r="D31"/>
  <c r="E31"/>
  <c r="F31"/>
  <c r="G31"/>
  <c r="H31"/>
  <c r="J31"/>
  <c r="C34"/>
  <c r="E34"/>
  <c r="G34"/>
  <c r="C36"/>
  <c r="D36"/>
  <c r="E36"/>
  <c r="F36"/>
  <c r="G36"/>
  <c r="H36"/>
  <c r="C37"/>
  <c r="D37"/>
  <c r="E37"/>
  <c r="F37"/>
  <c r="G37"/>
  <c r="H37"/>
  <c r="C38"/>
  <c r="D38"/>
  <c r="E38"/>
  <c r="F38"/>
  <c r="G38"/>
  <c r="H38"/>
  <c r="C39"/>
  <c r="D39"/>
  <c r="E39"/>
  <c r="F39"/>
  <c r="G39"/>
  <c r="H39"/>
  <c r="C40"/>
  <c r="D40"/>
  <c r="E40"/>
  <c r="F40"/>
  <c r="G40"/>
  <c r="H40"/>
  <c r="C41"/>
  <c r="D41"/>
  <c r="E41"/>
  <c r="F41"/>
  <c r="G41"/>
  <c r="H41"/>
  <c r="C42"/>
  <c r="D42"/>
  <c r="E42"/>
  <c r="F42"/>
  <c r="G42"/>
  <c r="H42"/>
  <c r="C43"/>
  <c r="D43"/>
  <c r="E43"/>
  <c r="F43"/>
  <c r="G43"/>
  <c r="H43"/>
  <c r="C44"/>
  <c r="D44"/>
  <c r="E44"/>
  <c r="F44"/>
  <c r="G44"/>
  <c r="H44"/>
  <c r="C45"/>
  <c r="D45"/>
  <c r="E45"/>
  <c r="F45"/>
  <c r="G45"/>
  <c r="H45"/>
  <c r="C46"/>
  <c r="D46"/>
  <c r="E46"/>
  <c r="F46"/>
  <c r="G46"/>
  <c r="H46"/>
  <c r="C47"/>
  <c r="D47"/>
  <c r="E47"/>
  <c r="F47"/>
  <c r="G47"/>
  <c r="H47"/>
  <c r="C48"/>
  <c r="D48"/>
  <c r="E48"/>
  <c r="F48"/>
  <c r="G48"/>
  <c r="H48"/>
  <c r="C49"/>
  <c r="D49"/>
  <c r="E49"/>
  <c r="F49"/>
  <c r="G49"/>
  <c r="H49"/>
  <c r="E3" i="152"/>
  <c r="O3"/>
  <c r="C3" s="1"/>
  <c r="P3"/>
  <c r="Q3"/>
  <c r="D3" s="1"/>
  <c r="I3" s="1"/>
  <c r="R3"/>
  <c r="S3"/>
  <c r="T3"/>
  <c r="U3"/>
  <c r="F3" s="1"/>
  <c r="J3" s="1"/>
  <c r="V3"/>
  <c r="W3"/>
  <c r="G3" s="1"/>
  <c r="X3"/>
  <c r="Y3"/>
  <c r="H3" s="1"/>
  <c r="Z3"/>
  <c r="C4"/>
  <c r="D4"/>
  <c r="E4"/>
  <c r="J4" s="1"/>
  <c r="F4"/>
  <c r="K4" s="1"/>
  <c r="G4"/>
  <c r="H4"/>
  <c r="I4"/>
  <c r="M4"/>
  <c r="C5"/>
  <c r="D5"/>
  <c r="E5"/>
  <c r="F5"/>
  <c r="K5" s="1"/>
  <c r="G5"/>
  <c r="M5" s="1"/>
  <c r="H5"/>
  <c r="I5"/>
  <c r="J5"/>
  <c r="C6"/>
  <c r="D6"/>
  <c r="E6"/>
  <c r="F6"/>
  <c r="K6" s="1"/>
  <c r="G6"/>
  <c r="M6" s="1"/>
  <c r="H6"/>
  <c r="I6"/>
  <c r="J6"/>
  <c r="C7"/>
  <c r="D7"/>
  <c r="E7"/>
  <c r="F7"/>
  <c r="K7" s="1"/>
  <c r="G7"/>
  <c r="M7" s="1"/>
  <c r="H7"/>
  <c r="I7"/>
  <c r="J7"/>
  <c r="C8"/>
  <c r="D8"/>
  <c r="E8"/>
  <c r="F8"/>
  <c r="K8" s="1"/>
  <c r="G8"/>
  <c r="M8" s="1"/>
  <c r="H8"/>
  <c r="I8"/>
  <c r="J8"/>
  <c r="C9"/>
  <c r="D9"/>
  <c r="E9"/>
  <c r="F9"/>
  <c r="K9" s="1"/>
  <c r="G9"/>
  <c r="M9" s="1"/>
  <c r="H9"/>
  <c r="I9"/>
  <c r="J9"/>
  <c r="C10"/>
  <c r="D10"/>
  <c r="E10"/>
  <c r="F10"/>
  <c r="K10" s="1"/>
  <c r="G10"/>
  <c r="M10" s="1"/>
  <c r="H10"/>
  <c r="I10"/>
  <c r="J10"/>
  <c r="C11"/>
  <c r="D11"/>
  <c r="E11"/>
  <c r="F11"/>
  <c r="K11" s="1"/>
  <c r="G11"/>
  <c r="H11"/>
  <c r="I11"/>
  <c r="J11"/>
  <c r="L11"/>
  <c r="M11"/>
  <c r="C12"/>
  <c r="D12"/>
  <c r="E12"/>
  <c r="F12"/>
  <c r="K12" s="1"/>
  <c r="G12"/>
  <c r="H12"/>
  <c r="I12"/>
  <c r="J12"/>
  <c r="L12"/>
  <c r="M12"/>
  <c r="C13"/>
  <c r="D13"/>
  <c r="E13"/>
  <c r="F13"/>
  <c r="K13" s="1"/>
  <c r="G13"/>
  <c r="M13" s="1"/>
  <c r="H13"/>
  <c r="I13"/>
  <c r="J13"/>
  <c r="L13"/>
  <c r="C14"/>
  <c r="D14"/>
  <c r="I14" s="1"/>
  <c r="E14"/>
  <c r="F14"/>
  <c r="K14" s="1"/>
  <c r="G14"/>
  <c r="M14" s="1"/>
  <c r="H14"/>
  <c r="J14"/>
  <c r="L14"/>
  <c r="C15"/>
  <c r="D15"/>
  <c r="I15" s="1"/>
  <c r="E15"/>
  <c r="F15"/>
  <c r="K15" s="1"/>
  <c r="G15"/>
  <c r="M15" s="1"/>
  <c r="H15"/>
  <c r="J15"/>
  <c r="L15"/>
  <c r="C16"/>
  <c r="D16"/>
  <c r="I16" s="1"/>
  <c r="E16"/>
  <c r="F16"/>
  <c r="K16" s="1"/>
  <c r="G16"/>
  <c r="M16" s="1"/>
  <c r="H16"/>
  <c r="J16"/>
  <c r="L16"/>
  <c r="C17"/>
  <c r="D17"/>
  <c r="I17" s="1"/>
  <c r="E17"/>
  <c r="F17"/>
  <c r="K17" s="1"/>
  <c r="G17"/>
  <c r="M17" s="1"/>
  <c r="H17"/>
  <c r="J17"/>
  <c r="L17"/>
  <c r="C18"/>
  <c r="D18"/>
  <c r="I18" s="1"/>
  <c r="E18"/>
  <c r="F18"/>
  <c r="K18" s="1"/>
  <c r="G18"/>
  <c r="M18" s="1"/>
  <c r="H18"/>
  <c r="J18"/>
  <c r="L18"/>
  <c r="C19"/>
  <c r="D19"/>
  <c r="I19" s="1"/>
  <c r="E19"/>
  <c r="F19"/>
  <c r="K19" s="1"/>
  <c r="G19"/>
  <c r="M19" s="1"/>
  <c r="H19"/>
  <c r="J19"/>
  <c r="L19"/>
  <c r="C20"/>
  <c r="D20"/>
  <c r="I20" s="1"/>
  <c r="E20"/>
  <c r="F20"/>
  <c r="K20" s="1"/>
  <c r="G20"/>
  <c r="M20" s="1"/>
  <c r="H20"/>
  <c r="J20"/>
  <c r="L20"/>
  <c r="C21"/>
  <c r="D21"/>
  <c r="I21" s="1"/>
  <c r="E21"/>
  <c r="F21"/>
  <c r="K21" s="1"/>
  <c r="G21"/>
  <c r="M21" s="1"/>
  <c r="H21"/>
  <c r="J21"/>
  <c r="L21"/>
  <c r="C22"/>
  <c r="D22"/>
  <c r="I22" s="1"/>
  <c r="E22"/>
  <c r="F22"/>
  <c r="K22" s="1"/>
  <c r="G22"/>
  <c r="M22" s="1"/>
  <c r="H22"/>
  <c r="J22"/>
  <c r="L22"/>
  <c r="C23"/>
  <c r="D23"/>
  <c r="I23" s="1"/>
  <c r="E23"/>
  <c r="F23"/>
  <c r="K23" s="1"/>
  <c r="G23"/>
  <c r="M23" s="1"/>
  <c r="H23"/>
  <c r="J23"/>
  <c r="L23"/>
  <c r="C24"/>
  <c r="D24"/>
  <c r="I24" s="1"/>
  <c r="E24"/>
  <c r="F24"/>
  <c r="K24" s="1"/>
  <c r="G24"/>
  <c r="M24" s="1"/>
  <c r="H24"/>
  <c r="J24"/>
  <c r="L24"/>
  <c r="C25"/>
  <c r="D25"/>
  <c r="I25" s="1"/>
  <c r="E25"/>
  <c r="F25"/>
  <c r="K25" s="1"/>
  <c r="G25"/>
  <c r="M25" s="1"/>
  <c r="H25"/>
  <c r="J25"/>
  <c r="L25"/>
  <c r="C26"/>
  <c r="D26"/>
  <c r="I26" s="1"/>
  <c r="E26"/>
  <c r="F26"/>
  <c r="K26" s="1"/>
  <c r="G26"/>
  <c r="M26" s="1"/>
  <c r="H26"/>
  <c r="J26"/>
  <c r="L26"/>
  <c r="C27"/>
  <c r="D27"/>
  <c r="I27" s="1"/>
  <c r="E27"/>
  <c r="F27"/>
  <c r="K27" s="1"/>
  <c r="G27"/>
  <c r="M27" s="1"/>
  <c r="H27"/>
  <c r="J27"/>
  <c r="L27"/>
  <c r="C28"/>
  <c r="D28"/>
  <c r="I28" s="1"/>
  <c r="E28"/>
  <c r="F28"/>
  <c r="K28" s="1"/>
  <c r="G28"/>
  <c r="M28" s="1"/>
  <c r="H28"/>
  <c r="J28"/>
  <c r="L28"/>
  <c r="C29"/>
  <c r="D29"/>
  <c r="I29" s="1"/>
  <c r="E29"/>
  <c r="F29"/>
  <c r="K29" s="1"/>
  <c r="G29"/>
  <c r="M29" s="1"/>
  <c r="H29"/>
  <c r="J29"/>
  <c r="L29"/>
  <c r="C30"/>
  <c r="D30"/>
  <c r="I30" s="1"/>
  <c r="E30"/>
  <c r="F30"/>
  <c r="K30" s="1"/>
  <c r="G30"/>
  <c r="M30" s="1"/>
  <c r="H30"/>
  <c r="J30"/>
  <c r="L30"/>
  <c r="C31"/>
  <c r="D31"/>
  <c r="I31" s="1"/>
  <c r="E31"/>
  <c r="F31"/>
  <c r="G31"/>
  <c r="M31" s="1"/>
  <c r="H31"/>
  <c r="J31"/>
  <c r="K31"/>
  <c r="L31"/>
  <c r="C32"/>
  <c r="D32"/>
  <c r="I32" s="1"/>
  <c r="E32"/>
  <c r="F32"/>
  <c r="G32"/>
  <c r="M32" s="1"/>
  <c r="H32"/>
  <c r="J32"/>
  <c r="K32"/>
  <c r="L32"/>
  <c r="C37"/>
  <c r="D37"/>
  <c r="E37"/>
  <c r="F37"/>
  <c r="G37"/>
  <c r="H37"/>
  <c r="C38"/>
  <c r="D38"/>
  <c r="E38"/>
  <c r="F38"/>
  <c r="G38"/>
  <c r="H38"/>
  <c r="C39"/>
  <c r="D39"/>
  <c r="E39"/>
  <c r="F39"/>
  <c r="G39"/>
  <c r="H39"/>
  <c r="C40"/>
  <c r="D40"/>
  <c r="E40"/>
  <c r="F40"/>
  <c r="G40"/>
  <c r="H40"/>
  <c r="C41"/>
  <c r="D41"/>
  <c r="E41"/>
  <c r="F41"/>
  <c r="G41"/>
  <c r="H41"/>
  <c r="C42"/>
  <c r="D42"/>
  <c r="E42"/>
  <c r="F42"/>
  <c r="G42"/>
  <c r="H42"/>
  <c r="C43"/>
  <c r="D43"/>
  <c r="E43"/>
  <c r="F43"/>
  <c r="G43"/>
  <c r="H43"/>
  <c r="C44"/>
  <c r="D44"/>
  <c r="E44"/>
  <c r="F44"/>
  <c r="G44"/>
  <c r="H44"/>
  <c r="C45"/>
  <c r="D45"/>
  <c r="E45"/>
  <c r="F45"/>
  <c r="G45"/>
  <c r="H45"/>
  <c r="C46"/>
  <c r="D46"/>
  <c r="E46"/>
  <c r="F46"/>
  <c r="G46"/>
  <c r="H46"/>
  <c r="C47"/>
  <c r="D47"/>
  <c r="E47"/>
  <c r="F47"/>
  <c r="G47"/>
  <c r="H47"/>
  <c r="C48"/>
  <c r="D48"/>
  <c r="E48"/>
  <c r="F48"/>
  <c r="G48"/>
  <c r="H48"/>
  <c r="C49"/>
  <c r="D49"/>
  <c r="E49"/>
  <c r="F49"/>
  <c r="G49"/>
  <c r="H49"/>
  <c r="C50"/>
  <c r="D50"/>
  <c r="E50"/>
  <c r="F50"/>
  <c r="G50"/>
  <c r="H50"/>
  <c r="M3" i="150"/>
  <c r="C3" s="1"/>
  <c r="N3"/>
  <c r="D3" s="1"/>
  <c r="O3"/>
  <c r="E3" s="1"/>
  <c r="I3" s="1"/>
  <c r="P3"/>
  <c r="F3" s="1"/>
  <c r="Q3"/>
  <c r="R3"/>
  <c r="H3" s="1"/>
  <c r="C4"/>
  <c r="I4" s="1"/>
  <c r="D4"/>
  <c r="E4"/>
  <c r="F4"/>
  <c r="G4"/>
  <c r="H4"/>
  <c r="J4"/>
  <c r="C5"/>
  <c r="I5" s="1"/>
  <c r="D5"/>
  <c r="E5"/>
  <c r="F5"/>
  <c r="G5"/>
  <c r="H5"/>
  <c r="J5"/>
  <c r="C6"/>
  <c r="I6" s="1"/>
  <c r="D6"/>
  <c r="E6"/>
  <c r="F6"/>
  <c r="G6"/>
  <c r="H6"/>
  <c r="J6"/>
  <c r="C7"/>
  <c r="I7" s="1"/>
  <c r="D7"/>
  <c r="E7"/>
  <c r="F7"/>
  <c r="G7"/>
  <c r="H7"/>
  <c r="J7"/>
  <c r="C8"/>
  <c r="I8" s="1"/>
  <c r="D8"/>
  <c r="E8"/>
  <c r="F8"/>
  <c r="G8"/>
  <c r="H8"/>
  <c r="J8"/>
  <c r="C9"/>
  <c r="I9" s="1"/>
  <c r="D9"/>
  <c r="E9"/>
  <c r="F9"/>
  <c r="G9"/>
  <c r="H9"/>
  <c r="J9"/>
  <c r="C10"/>
  <c r="I10" s="1"/>
  <c r="D10"/>
  <c r="E10"/>
  <c r="F10"/>
  <c r="G10"/>
  <c r="H10"/>
  <c r="J10"/>
  <c r="C11"/>
  <c r="I11" s="1"/>
  <c r="D11"/>
  <c r="E11"/>
  <c r="F11"/>
  <c r="G11"/>
  <c r="H11"/>
  <c r="J11"/>
  <c r="C12"/>
  <c r="I12" s="1"/>
  <c r="D12"/>
  <c r="E12"/>
  <c r="F12"/>
  <c r="G12"/>
  <c r="H12"/>
  <c r="J12"/>
  <c r="C13"/>
  <c r="I13" s="1"/>
  <c r="D13"/>
  <c r="E13"/>
  <c r="F13"/>
  <c r="G13"/>
  <c r="H13"/>
  <c r="J13"/>
  <c r="C14"/>
  <c r="I14" s="1"/>
  <c r="D14"/>
  <c r="E14"/>
  <c r="F14"/>
  <c r="G14"/>
  <c r="H14"/>
  <c r="J14"/>
  <c r="C15"/>
  <c r="I15" s="1"/>
  <c r="D15"/>
  <c r="E15"/>
  <c r="F15"/>
  <c r="G15"/>
  <c r="H15"/>
  <c r="J15"/>
  <c r="C16"/>
  <c r="I16" s="1"/>
  <c r="D16"/>
  <c r="E16"/>
  <c r="F16"/>
  <c r="G16"/>
  <c r="H16"/>
  <c r="J16"/>
  <c r="C17"/>
  <c r="I17" s="1"/>
  <c r="D17"/>
  <c r="E17"/>
  <c r="F17"/>
  <c r="G17"/>
  <c r="H17"/>
  <c r="J17"/>
  <c r="C18"/>
  <c r="I18" s="1"/>
  <c r="D18"/>
  <c r="E18"/>
  <c r="F18"/>
  <c r="G18"/>
  <c r="H18"/>
  <c r="J18"/>
  <c r="C19"/>
  <c r="I19" s="1"/>
  <c r="D19"/>
  <c r="E19"/>
  <c r="F19"/>
  <c r="G19"/>
  <c r="H19"/>
  <c r="J19"/>
  <c r="C20"/>
  <c r="I20" s="1"/>
  <c r="D20"/>
  <c r="E20"/>
  <c r="F20"/>
  <c r="G20"/>
  <c r="H20"/>
  <c r="J20"/>
  <c r="C21"/>
  <c r="I21" s="1"/>
  <c r="D21"/>
  <c r="E21"/>
  <c r="F21"/>
  <c r="G21"/>
  <c r="H21"/>
  <c r="J21"/>
  <c r="C22"/>
  <c r="I22" s="1"/>
  <c r="D22"/>
  <c r="E22"/>
  <c r="F22"/>
  <c r="G22"/>
  <c r="H22"/>
  <c r="J22"/>
  <c r="C23"/>
  <c r="I23" s="1"/>
  <c r="D23"/>
  <c r="E23"/>
  <c r="F23"/>
  <c r="G23"/>
  <c r="H23"/>
  <c r="J23"/>
  <c r="C24"/>
  <c r="I24" s="1"/>
  <c r="D24"/>
  <c r="E24"/>
  <c r="F24"/>
  <c r="G24"/>
  <c r="H24"/>
  <c r="J24"/>
  <c r="C25"/>
  <c r="I25" s="1"/>
  <c r="D25"/>
  <c r="E25"/>
  <c r="F25"/>
  <c r="G25"/>
  <c r="H25"/>
  <c r="J25"/>
  <c r="C26"/>
  <c r="I26" s="1"/>
  <c r="D26"/>
  <c r="E26"/>
  <c r="F26"/>
  <c r="G26"/>
  <c r="H26"/>
  <c r="J26"/>
  <c r="C27"/>
  <c r="I27" s="1"/>
  <c r="D27"/>
  <c r="E27"/>
  <c r="F27"/>
  <c r="G27"/>
  <c r="H27"/>
  <c r="J27"/>
  <c r="C28"/>
  <c r="I28" s="1"/>
  <c r="D28"/>
  <c r="E28"/>
  <c r="F28"/>
  <c r="G28"/>
  <c r="H28"/>
  <c r="J28"/>
  <c r="C29"/>
  <c r="I29" s="1"/>
  <c r="D29"/>
  <c r="E29"/>
  <c r="F29"/>
  <c r="G29"/>
  <c r="H29"/>
  <c r="J29"/>
  <c r="C30"/>
  <c r="I30" s="1"/>
  <c r="D30"/>
  <c r="E30"/>
  <c r="F30"/>
  <c r="G30"/>
  <c r="H30"/>
  <c r="J30"/>
  <c r="C31"/>
  <c r="I31" s="1"/>
  <c r="D31"/>
  <c r="E31"/>
  <c r="F31"/>
  <c r="G31"/>
  <c r="H31"/>
  <c r="J31"/>
  <c r="C32"/>
  <c r="I32" s="1"/>
  <c r="D32"/>
  <c r="E32"/>
  <c r="F32"/>
  <c r="G32"/>
  <c r="H32"/>
  <c r="J32"/>
  <c r="C33"/>
  <c r="I33" s="1"/>
  <c r="D33"/>
  <c r="E33"/>
  <c r="F33"/>
  <c r="G33"/>
  <c r="H33"/>
  <c r="J33"/>
  <c r="C36"/>
  <c r="E36"/>
  <c r="G36"/>
  <c r="C38"/>
  <c r="D38"/>
  <c r="E38"/>
  <c r="F38"/>
  <c r="G38"/>
  <c r="H38"/>
  <c r="C39"/>
  <c r="D39"/>
  <c r="E39"/>
  <c r="F39"/>
  <c r="G39"/>
  <c r="H39"/>
  <c r="C40"/>
  <c r="D40"/>
  <c r="E40"/>
  <c r="F40"/>
  <c r="G40"/>
  <c r="H40"/>
  <c r="C41"/>
  <c r="D41"/>
  <c r="E41"/>
  <c r="F41"/>
  <c r="G41"/>
  <c r="H41"/>
  <c r="C42"/>
  <c r="D42"/>
  <c r="E42"/>
  <c r="F42"/>
  <c r="G42"/>
  <c r="H42"/>
  <c r="C43"/>
  <c r="D43"/>
  <c r="E43"/>
  <c r="F43"/>
  <c r="G43"/>
  <c r="H43"/>
  <c r="C44"/>
  <c r="D44"/>
  <c r="E44"/>
  <c r="F44"/>
  <c r="G44"/>
  <c r="H44"/>
  <c r="C45"/>
  <c r="D45"/>
  <c r="E45"/>
  <c r="F45"/>
  <c r="G45"/>
  <c r="H45"/>
  <c r="C46"/>
  <c r="D46"/>
  <c r="E46"/>
  <c r="F46"/>
  <c r="G46"/>
  <c r="H46"/>
  <c r="C47"/>
  <c r="D47"/>
  <c r="E47"/>
  <c r="F47"/>
  <c r="G47"/>
  <c r="H47"/>
  <c r="C48"/>
  <c r="D48"/>
  <c r="E48"/>
  <c r="F48"/>
  <c r="G48"/>
  <c r="H48"/>
  <c r="C49"/>
  <c r="D49"/>
  <c r="E49"/>
  <c r="F49"/>
  <c r="G49"/>
  <c r="H49"/>
  <c r="C50"/>
  <c r="D50"/>
  <c r="E50"/>
  <c r="F50"/>
  <c r="G50"/>
  <c r="H50"/>
  <c r="C51"/>
  <c r="D51"/>
  <c r="E51"/>
  <c r="F51"/>
  <c r="G51"/>
  <c r="H51"/>
  <c r="F16" i="134"/>
  <c r="F15"/>
  <c r="F14"/>
  <c r="F13"/>
  <c r="F12"/>
  <c r="F11"/>
  <c r="F10"/>
  <c r="F9"/>
  <c r="F8"/>
  <c r="F7"/>
  <c r="F6"/>
  <c r="F16" i="133"/>
  <c r="F15"/>
  <c r="F14"/>
  <c r="F13"/>
  <c r="F12"/>
  <c r="F11"/>
  <c r="F10"/>
  <c r="F9"/>
  <c r="F8"/>
  <c r="F7"/>
  <c r="F6"/>
  <c r="D28" i="166" l="1"/>
  <c r="H8"/>
  <c r="I10"/>
  <c r="H11"/>
  <c r="J12"/>
  <c r="I13"/>
  <c r="I17"/>
  <c r="J7"/>
  <c r="I14"/>
  <c r="H15"/>
  <c r="J20"/>
  <c r="I21"/>
  <c r="H22"/>
  <c r="I6"/>
  <c r="J15"/>
  <c r="J11"/>
  <c r="H12"/>
  <c r="H16"/>
  <c r="I18"/>
  <c r="H19"/>
  <c r="I23"/>
  <c r="I22"/>
  <c r="F3"/>
  <c r="J3" s="1"/>
  <c r="D3"/>
  <c r="D4"/>
  <c r="C4"/>
  <c r="C3"/>
  <c r="H3" s="1"/>
  <c r="E3"/>
  <c r="I3" s="1"/>
  <c r="K22"/>
  <c r="H5"/>
  <c r="I7"/>
  <c r="J9"/>
  <c r="H10"/>
  <c r="I12"/>
  <c r="H13"/>
  <c r="I15"/>
  <c r="J17"/>
  <c r="H18"/>
  <c r="I20"/>
  <c r="H21"/>
  <c r="H7"/>
  <c r="K7"/>
  <c r="K15"/>
  <c r="H20"/>
  <c r="J5"/>
  <c r="H6"/>
  <c r="I8"/>
  <c r="H9"/>
  <c r="I11"/>
  <c r="J13"/>
  <c r="H14"/>
  <c r="I16"/>
  <c r="H17"/>
  <c r="I19"/>
  <c r="J21"/>
  <c r="H23"/>
  <c r="K19"/>
  <c r="K3"/>
  <c r="J16"/>
  <c r="G3"/>
  <c r="J6"/>
  <c r="J10"/>
  <c r="J14"/>
  <c r="J18"/>
  <c r="J23"/>
  <c r="J4"/>
  <c r="K8"/>
  <c r="K12"/>
  <c r="K20"/>
  <c r="I23" i="164"/>
  <c r="J24"/>
  <c r="I25"/>
  <c r="J26"/>
  <c r="I27"/>
  <c r="J28"/>
  <c r="I29"/>
  <c r="J30"/>
  <c r="I31"/>
  <c r="J5"/>
  <c r="I6"/>
  <c r="J9"/>
  <c r="I10"/>
  <c r="G3"/>
  <c r="J3" s="1"/>
  <c r="E4"/>
  <c r="J4" s="1"/>
  <c r="H3"/>
  <c r="E3"/>
  <c r="I5"/>
  <c r="I9"/>
  <c r="J11"/>
  <c r="I12"/>
  <c r="J13"/>
  <c r="I14"/>
  <c r="J15"/>
  <c r="I16"/>
  <c r="J17"/>
  <c r="I18"/>
  <c r="J19"/>
  <c r="I20"/>
  <c r="J21"/>
  <c r="I22"/>
  <c r="J23"/>
  <c r="I24"/>
  <c r="J25"/>
  <c r="I26"/>
  <c r="J27"/>
  <c r="I28"/>
  <c r="J29"/>
  <c r="I30"/>
  <c r="J31"/>
  <c r="J6"/>
  <c r="C3"/>
  <c r="J7"/>
  <c r="I8"/>
  <c r="F3"/>
  <c r="I11" i="162"/>
  <c r="I15"/>
  <c r="J16"/>
  <c r="J28"/>
  <c r="K21"/>
  <c r="J31"/>
  <c r="D3"/>
  <c r="I3" s="1"/>
  <c r="H3"/>
  <c r="M11"/>
  <c r="M22"/>
  <c r="M26"/>
  <c r="J27"/>
  <c r="M12"/>
  <c r="M19"/>
  <c r="L22"/>
  <c r="M23"/>
  <c r="L26"/>
  <c r="M27"/>
  <c r="K13"/>
  <c r="M18"/>
  <c r="M20"/>
  <c r="L23"/>
  <c r="J24"/>
  <c r="K29"/>
  <c r="L30"/>
  <c r="K5"/>
  <c r="I6"/>
  <c r="K7"/>
  <c r="I8"/>
  <c r="K9"/>
  <c r="M14"/>
  <c r="J20"/>
  <c r="K25"/>
  <c r="M30"/>
  <c r="K31"/>
  <c r="C3"/>
  <c r="E3"/>
  <c r="G3"/>
  <c r="L18"/>
  <c r="M24"/>
  <c r="L27"/>
  <c r="F3"/>
  <c r="J3" s="1"/>
  <c r="I4"/>
  <c r="J5"/>
  <c r="J7"/>
  <c r="M8"/>
  <c r="J9"/>
  <c r="K10"/>
  <c r="I12"/>
  <c r="J13"/>
  <c r="K14"/>
  <c r="I16"/>
  <c r="J17"/>
  <c r="K18"/>
  <c r="L20"/>
  <c r="J21"/>
  <c r="K22"/>
  <c r="L24"/>
  <c r="J25"/>
  <c r="K26"/>
  <c r="L28"/>
  <c r="M28"/>
  <c r="J29"/>
  <c r="K30"/>
  <c r="L31"/>
  <c r="M31"/>
  <c r="K4"/>
  <c r="I5"/>
  <c r="K6"/>
  <c r="I7"/>
  <c r="K8"/>
  <c r="I9"/>
  <c r="M9"/>
  <c r="J10"/>
  <c r="K11"/>
  <c r="I13"/>
  <c r="M13"/>
  <c r="J14"/>
  <c r="K15"/>
  <c r="I17"/>
  <c r="M17"/>
  <c r="J18"/>
  <c r="K19"/>
  <c r="L21"/>
  <c r="M21"/>
  <c r="J22"/>
  <c r="K23"/>
  <c r="L25"/>
  <c r="M25"/>
  <c r="J26"/>
  <c r="K27"/>
  <c r="L29"/>
  <c r="M29"/>
  <c r="J30"/>
  <c r="J4"/>
  <c r="J6"/>
  <c r="J8"/>
  <c r="I10"/>
  <c r="J11"/>
  <c r="K12"/>
  <c r="I14"/>
  <c r="J15"/>
  <c r="K16"/>
  <c r="J19"/>
  <c r="K20"/>
  <c r="J23"/>
  <c r="K24"/>
  <c r="K3"/>
  <c r="M3"/>
  <c r="M4"/>
  <c r="L4"/>
  <c r="M5"/>
  <c r="M6"/>
  <c r="M7"/>
  <c r="I18"/>
  <c r="I19"/>
  <c r="I20"/>
  <c r="I21"/>
  <c r="I22"/>
  <c r="I23"/>
  <c r="I24"/>
  <c r="I25"/>
  <c r="I26"/>
  <c r="I27"/>
  <c r="I28"/>
  <c r="I29"/>
  <c r="I30"/>
  <c r="I31"/>
  <c r="L5"/>
  <c r="L6"/>
  <c r="L7"/>
  <c r="L8"/>
  <c r="L9"/>
  <c r="L10"/>
  <c r="L11"/>
  <c r="L12"/>
  <c r="L13"/>
  <c r="L14"/>
  <c r="L15"/>
  <c r="L16"/>
  <c r="L17"/>
  <c r="J32" i="160"/>
  <c r="J31"/>
  <c r="I32"/>
  <c r="I6"/>
  <c r="J7"/>
  <c r="I10"/>
  <c r="J11"/>
  <c r="H3"/>
  <c r="J4"/>
  <c r="E3"/>
  <c r="C3"/>
  <c r="G3"/>
  <c r="I11"/>
  <c r="I4"/>
  <c r="I8"/>
  <c r="I12"/>
  <c r="J13"/>
  <c r="I14"/>
  <c r="J15"/>
  <c r="I16"/>
  <c r="J17"/>
  <c r="I18"/>
  <c r="J19"/>
  <c r="I20"/>
  <c r="J21"/>
  <c r="I22"/>
  <c r="J23"/>
  <c r="I24"/>
  <c r="J25"/>
  <c r="I26"/>
  <c r="J27"/>
  <c r="I28"/>
  <c r="J29"/>
  <c r="I30"/>
  <c r="I31"/>
  <c r="J9"/>
  <c r="J5"/>
  <c r="D3"/>
  <c r="J6"/>
  <c r="J10"/>
  <c r="I7"/>
  <c r="F3"/>
  <c r="J3" i="158"/>
  <c r="K3"/>
  <c r="N40"/>
  <c r="N39"/>
  <c r="N36"/>
  <c r="N35"/>
  <c r="N34"/>
  <c r="N33"/>
  <c r="N32"/>
  <c r="N31"/>
  <c r="N30"/>
  <c r="N29"/>
  <c r="N28"/>
  <c r="N27"/>
  <c r="C3"/>
  <c r="D3"/>
  <c r="G3" i="154"/>
  <c r="J3" s="1"/>
  <c r="M3" i="152"/>
  <c r="L3"/>
  <c r="K3"/>
  <c r="L10"/>
  <c r="L9"/>
  <c r="L8"/>
  <c r="L7"/>
  <c r="L6"/>
  <c r="L5"/>
  <c r="L4"/>
  <c r="G3" i="150"/>
  <c r="J3" s="1"/>
  <c r="F48" i="54"/>
  <c r="D33" i="37"/>
  <c r="D4" i="68"/>
  <c r="D5"/>
  <c r="D6"/>
  <c r="D7"/>
  <c r="D8"/>
  <c r="D9"/>
  <c r="D10"/>
  <c r="D11"/>
  <c r="D12"/>
  <c r="D13"/>
  <c r="D14"/>
  <c r="D15"/>
  <c r="D16"/>
  <c r="D17"/>
  <c r="D18"/>
  <c r="D19"/>
  <c r="D20"/>
  <c r="D21"/>
  <c r="D22"/>
  <c r="D23"/>
  <c r="D24"/>
  <c r="D25"/>
  <c r="D26"/>
  <c r="D27"/>
  <c r="D28"/>
  <c r="D29"/>
  <c r="D30"/>
  <c r="D31"/>
  <c r="D3"/>
  <c r="D12" i="106"/>
  <c r="K3" i="110"/>
  <c r="J3"/>
  <c r="I3"/>
  <c r="H3"/>
  <c r="G3"/>
  <c r="F3"/>
  <c r="E3"/>
  <c r="D3"/>
  <c r="C3"/>
  <c r="B3"/>
  <c r="K3" i="147"/>
  <c r="K3" i="125" s="1"/>
  <c r="J3" i="147"/>
  <c r="J3" i="125" s="1"/>
  <c r="I3" i="147"/>
  <c r="I3" i="125" s="1"/>
  <c r="H3" i="147"/>
  <c r="G3"/>
  <c r="G3" i="125" s="1"/>
  <c r="F3" i="147"/>
  <c r="E3"/>
  <c r="E3" i="125" s="1"/>
  <c r="D3" i="147"/>
  <c r="D3" i="125" s="1"/>
  <c r="C3" i="147"/>
  <c r="C3" i="125" s="1"/>
  <c r="B3" i="147"/>
  <c r="P17"/>
  <c r="O17"/>
  <c r="N17"/>
  <c r="M17"/>
  <c r="L17"/>
  <c r="P16"/>
  <c r="O16"/>
  <c r="N16"/>
  <c r="M16"/>
  <c r="L16"/>
  <c r="P15"/>
  <c r="O15"/>
  <c r="N15"/>
  <c r="M15"/>
  <c r="L15"/>
  <c r="P14"/>
  <c r="O14"/>
  <c r="N14"/>
  <c r="M14"/>
  <c r="L14"/>
  <c r="P13"/>
  <c r="O13"/>
  <c r="N13"/>
  <c r="M13"/>
  <c r="L13"/>
  <c r="P12"/>
  <c r="O12"/>
  <c r="N12"/>
  <c r="M12"/>
  <c r="L12"/>
  <c r="P11"/>
  <c r="O11"/>
  <c r="N11"/>
  <c r="M11"/>
  <c r="L11"/>
  <c r="P10"/>
  <c r="O10"/>
  <c r="N10"/>
  <c r="M10"/>
  <c r="L10"/>
  <c r="P9"/>
  <c r="O9"/>
  <c r="N9"/>
  <c r="M9"/>
  <c r="L9"/>
  <c r="P8"/>
  <c r="O8"/>
  <c r="N8"/>
  <c r="M8"/>
  <c r="L8"/>
  <c r="P7"/>
  <c r="O7"/>
  <c r="N7"/>
  <c r="M7"/>
  <c r="L7"/>
  <c r="P6"/>
  <c r="O6"/>
  <c r="N6"/>
  <c r="M6"/>
  <c r="L6"/>
  <c r="P5"/>
  <c r="O5"/>
  <c r="N5"/>
  <c r="M5"/>
  <c r="L5"/>
  <c r="P4"/>
  <c r="O4"/>
  <c r="N4"/>
  <c r="M4"/>
  <c r="L4"/>
  <c r="T26" i="145"/>
  <c r="T31"/>
  <c r="T24"/>
  <c r="T34"/>
  <c r="T32"/>
  <c r="T25"/>
  <c r="T33"/>
  <c r="T30"/>
  <c r="T29"/>
  <c r="T27"/>
  <c r="T23"/>
  <c r="T22"/>
  <c r="T21"/>
  <c r="T28"/>
  <c r="T9"/>
  <c r="T14"/>
  <c r="T7"/>
  <c r="T17"/>
  <c r="T15"/>
  <c r="T8"/>
  <c r="T16"/>
  <c r="T13"/>
  <c r="T12"/>
  <c r="T10"/>
  <c r="T6"/>
  <c r="T5"/>
  <c r="T4"/>
  <c r="T11"/>
  <c r="S26"/>
  <c r="R26"/>
  <c r="Q26"/>
  <c r="P26"/>
  <c r="S31"/>
  <c r="R31"/>
  <c r="Q31"/>
  <c r="P31"/>
  <c r="S24"/>
  <c r="R24"/>
  <c r="Q24"/>
  <c r="P24"/>
  <c r="S34"/>
  <c r="R34"/>
  <c r="Q34"/>
  <c r="P34"/>
  <c r="S32"/>
  <c r="R32"/>
  <c r="Q32"/>
  <c r="P32"/>
  <c r="S25"/>
  <c r="R25"/>
  <c r="Q25"/>
  <c r="P25"/>
  <c r="S33"/>
  <c r="R33"/>
  <c r="Q33"/>
  <c r="P33"/>
  <c r="S30"/>
  <c r="R30"/>
  <c r="Q30"/>
  <c r="P30"/>
  <c r="S29"/>
  <c r="R29"/>
  <c r="Q29"/>
  <c r="P29"/>
  <c r="S27"/>
  <c r="R27"/>
  <c r="Q27"/>
  <c r="P27"/>
  <c r="S23"/>
  <c r="R23"/>
  <c r="Q23"/>
  <c r="P23"/>
  <c r="S22"/>
  <c r="R22"/>
  <c r="Q22"/>
  <c r="P22"/>
  <c r="S21"/>
  <c r="R21"/>
  <c r="Q21"/>
  <c r="P21"/>
  <c r="S28"/>
  <c r="R28"/>
  <c r="Q28"/>
  <c r="P28"/>
  <c r="H45"/>
  <c r="S9"/>
  <c r="R9"/>
  <c r="Q9"/>
  <c r="P9"/>
  <c r="S14"/>
  <c r="R14"/>
  <c r="Q14"/>
  <c r="P14"/>
  <c r="S7"/>
  <c r="R7"/>
  <c r="Q7"/>
  <c r="P7"/>
  <c r="S17"/>
  <c r="R17"/>
  <c r="Q17"/>
  <c r="P17"/>
  <c r="S15"/>
  <c r="R15"/>
  <c r="Q15"/>
  <c r="P15"/>
  <c r="S8"/>
  <c r="R8"/>
  <c r="Q8"/>
  <c r="P8"/>
  <c r="S16"/>
  <c r="R16"/>
  <c r="Q16"/>
  <c r="P16"/>
  <c r="S13"/>
  <c r="R13"/>
  <c r="Q13"/>
  <c r="P13"/>
  <c r="S12"/>
  <c r="R12"/>
  <c r="Q12"/>
  <c r="P12"/>
  <c r="S10"/>
  <c r="R10"/>
  <c r="Q10"/>
  <c r="P10"/>
  <c r="S6"/>
  <c r="R6"/>
  <c r="Q6"/>
  <c r="P6"/>
  <c r="S5"/>
  <c r="R5"/>
  <c r="Q5"/>
  <c r="P5"/>
  <c r="S4"/>
  <c r="R4"/>
  <c r="Q4"/>
  <c r="P4"/>
  <c r="S11"/>
  <c r="S3" s="1"/>
  <c r="R11"/>
  <c r="Q11"/>
  <c r="P11"/>
  <c r="A48"/>
  <c r="A41"/>
  <c r="A51"/>
  <c r="A49"/>
  <c r="A42"/>
  <c r="A50"/>
  <c r="A47"/>
  <c r="A46"/>
  <c r="A44"/>
  <c r="A40"/>
  <c r="A39"/>
  <c r="A38"/>
  <c r="A45"/>
  <c r="A26"/>
  <c r="A31"/>
  <c r="A24"/>
  <c r="A34"/>
  <c r="A32"/>
  <c r="A25"/>
  <c r="A33"/>
  <c r="A30"/>
  <c r="A29"/>
  <c r="A27"/>
  <c r="A23"/>
  <c r="A22"/>
  <c r="A21"/>
  <c r="A28"/>
  <c r="A9"/>
  <c r="A14"/>
  <c r="A7"/>
  <c r="A17"/>
  <c r="A15"/>
  <c r="A8"/>
  <c r="A16"/>
  <c r="A13"/>
  <c r="A12"/>
  <c r="A10"/>
  <c r="A6"/>
  <c r="A5"/>
  <c r="A4"/>
  <c r="A43"/>
  <c r="A11"/>
  <c r="R3"/>
  <c r="N43"/>
  <c r="M43"/>
  <c r="I43"/>
  <c r="G43" s="1"/>
  <c r="H43"/>
  <c r="E43" s="1"/>
  <c r="C43"/>
  <c r="B43"/>
  <c r="N48"/>
  <c r="M48"/>
  <c r="I48"/>
  <c r="F48" s="1"/>
  <c r="H48"/>
  <c r="E48" s="1"/>
  <c r="C48"/>
  <c r="B48"/>
  <c r="N41"/>
  <c r="M41"/>
  <c r="I41"/>
  <c r="G41" s="1"/>
  <c r="H41"/>
  <c r="D41" s="1"/>
  <c r="C41"/>
  <c r="B41"/>
  <c r="N51"/>
  <c r="M51"/>
  <c r="I51"/>
  <c r="F51" s="1"/>
  <c r="H51"/>
  <c r="E51" s="1"/>
  <c r="C51"/>
  <c r="B51"/>
  <c r="N49"/>
  <c r="M49"/>
  <c r="I49"/>
  <c r="G49" s="1"/>
  <c r="H49"/>
  <c r="E49" s="1"/>
  <c r="C49"/>
  <c r="B49"/>
  <c r="N42"/>
  <c r="M42"/>
  <c r="I42"/>
  <c r="F42" s="1"/>
  <c r="H42"/>
  <c r="E42" s="1"/>
  <c r="C42"/>
  <c r="B42"/>
  <c r="N50"/>
  <c r="M50"/>
  <c r="I50"/>
  <c r="G50" s="1"/>
  <c r="H50"/>
  <c r="E50" s="1"/>
  <c r="C50"/>
  <c r="B50"/>
  <c r="N47"/>
  <c r="M47"/>
  <c r="I47"/>
  <c r="F47" s="1"/>
  <c r="H47"/>
  <c r="D47" s="1"/>
  <c r="C47"/>
  <c r="B47"/>
  <c r="N46"/>
  <c r="M46"/>
  <c r="I46"/>
  <c r="G46" s="1"/>
  <c r="H46"/>
  <c r="E46" s="1"/>
  <c r="C46"/>
  <c r="B46"/>
  <c r="N44"/>
  <c r="M44"/>
  <c r="I44"/>
  <c r="F44" s="1"/>
  <c r="H44"/>
  <c r="E44" s="1"/>
  <c r="C44"/>
  <c r="B44"/>
  <c r="N40"/>
  <c r="M40"/>
  <c r="I40"/>
  <c r="G40" s="1"/>
  <c r="H40"/>
  <c r="E40" s="1"/>
  <c r="C40"/>
  <c r="B40"/>
  <c r="N39"/>
  <c r="M39"/>
  <c r="I39"/>
  <c r="F39" s="1"/>
  <c r="H39"/>
  <c r="D39" s="1"/>
  <c r="C39"/>
  <c r="B39"/>
  <c r="N38"/>
  <c r="M38"/>
  <c r="I38"/>
  <c r="G38" s="1"/>
  <c r="H38"/>
  <c r="D38" s="1"/>
  <c r="C38"/>
  <c r="B38"/>
  <c r="N45"/>
  <c r="I45"/>
  <c r="G45" s="1"/>
  <c r="C45"/>
  <c r="B45"/>
  <c r="S37"/>
  <c r="R37"/>
  <c r="I37" s="1"/>
  <c r="G37" s="1"/>
  <c r="Q37"/>
  <c r="P37"/>
  <c r="N26"/>
  <c r="M26"/>
  <c r="I26"/>
  <c r="F26" s="1"/>
  <c r="H26"/>
  <c r="E26" s="1"/>
  <c r="C26"/>
  <c r="B26"/>
  <c r="N31"/>
  <c r="M31"/>
  <c r="I31"/>
  <c r="F31" s="1"/>
  <c r="H31"/>
  <c r="E31" s="1"/>
  <c r="C31"/>
  <c r="B31"/>
  <c r="N24"/>
  <c r="M24"/>
  <c r="I24"/>
  <c r="F24" s="1"/>
  <c r="H24"/>
  <c r="E24" s="1"/>
  <c r="C24"/>
  <c r="B24"/>
  <c r="N34"/>
  <c r="M34"/>
  <c r="I34"/>
  <c r="F34" s="1"/>
  <c r="H34"/>
  <c r="E34" s="1"/>
  <c r="C34"/>
  <c r="B34"/>
  <c r="N32"/>
  <c r="M32"/>
  <c r="I32"/>
  <c r="F32" s="1"/>
  <c r="H32"/>
  <c r="D32" s="1"/>
  <c r="C32"/>
  <c r="B32"/>
  <c r="N25"/>
  <c r="M25"/>
  <c r="I25"/>
  <c r="F25" s="1"/>
  <c r="H25"/>
  <c r="D25" s="1"/>
  <c r="C25"/>
  <c r="B25"/>
  <c r="N33"/>
  <c r="M33"/>
  <c r="I33"/>
  <c r="F33" s="1"/>
  <c r="H33"/>
  <c r="E33" s="1"/>
  <c r="C33"/>
  <c r="B33"/>
  <c r="N30"/>
  <c r="M30"/>
  <c r="I30"/>
  <c r="F30" s="1"/>
  <c r="H30"/>
  <c r="D30" s="1"/>
  <c r="C30"/>
  <c r="B30"/>
  <c r="N29"/>
  <c r="M29"/>
  <c r="I29"/>
  <c r="F29" s="1"/>
  <c r="H29"/>
  <c r="D29" s="1"/>
  <c r="C29"/>
  <c r="B29"/>
  <c r="N27"/>
  <c r="M27"/>
  <c r="I27"/>
  <c r="F27" s="1"/>
  <c r="H27"/>
  <c r="E27" s="1"/>
  <c r="C27"/>
  <c r="B27"/>
  <c r="N23"/>
  <c r="M23"/>
  <c r="I23"/>
  <c r="F23" s="1"/>
  <c r="H23"/>
  <c r="E23" s="1"/>
  <c r="C23"/>
  <c r="B23"/>
  <c r="N22"/>
  <c r="M22"/>
  <c r="I22"/>
  <c r="F22" s="1"/>
  <c r="H22"/>
  <c r="E22" s="1"/>
  <c r="C22"/>
  <c r="B22"/>
  <c r="N21"/>
  <c r="M21"/>
  <c r="I21"/>
  <c r="F21" s="1"/>
  <c r="H21"/>
  <c r="D21" s="1"/>
  <c r="C21"/>
  <c r="B21"/>
  <c r="N28"/>
  <c r="M28"/>
  <c r="I28"/>
  <c r="F28" s="1"/>
  <c r="H28"/>
  <c r="D28" s="1"/>
  <c r="C28"/>
  <c r="B28"/>
  <c r="S20"/>
  <c r="R20"/>
  <c r="Q20"/>
  <c r="P20"/>
  <c r="N9"/>
  <c r="M9"/>
  <c r="I9"/>
  <c r="F9" s="1"/>
  <c r="H9"/>
  <c r="E9" s="1"/>
  <c r="C9"/>
  <c r="B9"/>
  <c r="N14"/>
  <c r="M14"/>
  <c r="I14"/>
  <c r="F14" s="1"/>
  <c r="H14"/>
  <c r="D14" s="1"/>
  <c r="C14"/>
  <c r="B14"/>
  <c r="N7"/>
  <c r="M7"/>
  <c r="I7"/>
  <c r="F7" s="1"/>
  <c r="H7"/>
  <c r="D7" s="1"/>
  <c r="C7"/>
  <c r="B7"/>
  <c r="N17"/>
  <c r="M17"/>
  <c r="I17"/>
  <c r="F17" s="1"/>
  <c r="H17"/>
  <c r="D17" s="1"/>
  <c r="C17"/>
  <c r="B17"/>
  <c r="N15"/>
  <c r="M15"/>
  <c r="I15"/>
  <c r="F15" s="1"/>
  <c r="H15"/>
  <c r="E15" s="1"/>
  <c r="C15"/>
  <c r="B15"/>
  <c r="N8"/>
  <c r="M8"/>
  <c r="I8"/>
  <c r="F8" s="1"/>
  <c r="H8"/>
  <c r="E8" s="1"/>
  <c r="C8"/>
  <c r="B8"/>
  <c r="N16"/>
  <c r="M16"/>
  <c r="I16"/>
  <c r="F16" s="1"/>
  <c r="H16"/>
  <c r="D16" s="1"/>
  <c r="C16"/>
  <c r="B16"/>
  <c r="N13"/>
  <c r="M13"/>
  <c r="I13"/>
  <c r="F13" s="1"/>
  <c r="H13"/>
  <c r="D13" s="1"/>
  <c r="C13"/>
  <c r="B13"/>
  <c r="N12"/>
  <c r="M12"/>
  <c r="I12"/>
  <c r="F12" s="1"/>
  <c r="H12"/>
  <c r="E12" s="1"/>
  <c r="C12"/>
  <c r="B12"/>
  <c r="N10"/>
  <c r="M10"/>
  <c r="I10"/>
  <c r="F10" s="1"/>
  <c r="H10"/>
  <c r="D10" s="1"/>
  <c r="C10"/>
  <c r="B10"/>
  <c r="N6"/>
  <c r="M6"/>
  <c r="I6"/>
  <c r="F6" s="1"/>
  <c r="H6"/>
  <c r="D6" s="1"/>
  <c r="C6"/>
  <c r="B6"/>
  <c r="N5"/>
  <c r="M5"/>
  <c r="I5"/>
  <c r="F5" s="1"/>
  <c r="H5"/>
  <c r="D5" s="1"/>
  <c r="C5"/>
  <c r="B5"/>
  <c r="N4"/>
  <c r="M4"/>
  <c r="I4"/>
  <c r="F4" s="1"/>
  <c r="H4"/>
  <c r="D4" s="1"/>
  <c r="C4"/>
  <c r="B4"/>
  <c r="N11"/>
  <c r="I11"/>
  <c r="F11" s="1"/>
  <c r="C11"/>
  <c r="B11"/>
  <c r="A17" i="143"/>
  <c r="A16"/>
  <c r="A15"/>
  <c r="A14"/>
  <c r="A13"/>
  <c r="A12"/>
  <c r="A11"/>
  <c r="A10"/>
  <c r="A9"/>
  <c r="A8"/>
  <c r="A4"/>
  <c r="A7"/>
  <c r="A6"/>
  <c r="A5"/>
  <c r="T3"/>
  <c r="S3"/>
  <c r="R3"/>
  <c r="Q3"/>
  <c r="B3" s="1"/>
  <c r="O17"/>
  <c r="N17"/>
  <c r="J17"/>
  <c r="H17" s="1"/>
  <c r="I17"/>
  <c r="F17" s="1"/>
  <c r="C17"/>
  <c r="B17"/>
  <c r="O16"/>
  <c r="N16"/>
  <c r="J16"/>
  <c r="G16" s="1"/>
  <c r="I16"/>
  <c r="F16" s="1"/>
  <c r="C16"/>
  <c r="B16"/>
  <c r="O15"/>
  <c r="N15"/>
  <c r="J15"/>
  <c r="H15" s="1"/>
  <c r="I15"/>
  <c r="E15" s="1"/>
  <c r="C15"/>
  <c r="B15"/>
  <c r="O14"/>
  <c r="N14"/>
  <c r="J14"/>
  <c r="G14" s="1"/>
  <c r="I14"/>
  <c r="F14" s="1"/>
  <c r="C14"/>
  <c r="B14"/>
  <c r="O13"/>
  <c r="N13"/>
  <c r="J13"/>
  <c r="H13" s="1"/>
  <c r="I13"/>
  <c r="F13" s="1"/>
  <c r="C13"/>
  <c r="B13"/>
  <c r="O12"/>
  <c r="N12"/>
  <c r="J12"/>
  <c r="G12" s="1"/>
  <c r="I12"/>
  <c r="F12" s="1"/>
  <c r="C12"/>
  <c r="B12"/>
  <c r="O11"/>
  <c r="N11"/>
  <c r="J11"/>
  <c r="H11" s="1"/>
  <c r="I11"/>
  <c r="F11" s="1"/>
  <c r="C11"/>
  <c r="B11"/>
  <c r="O10"/>
  <c r="N10"/>
  <c r="J10"/>
  <c r="G10" s="1"/>
  <c r="I10"/>
  <c r="E10" s="1"/>
  <c r="C10"/>
  <c r="B10"/>
  <c r="O9"/>
  <c r="N9"/>
  <c r="J9"/>
  <c r="H9" s="1"/>
  <c r="I9"/>
  <c r="E9" s="1"/>
  <c r="C9"/>
  <c r="B9"/>
  <c r="O8"/>
  <c r="N8"/>
  <c r="J8"/>
  <c r="G8" s="1"/>
  <c r="I8"/>
  <c r="E8" s="1"/>
  <c r="F8"/>
  <c r="C8"/>
  <c r="B8"/>
  <c r="K8" s="1"/>
  <c r="O4"/>
  <c r="N4"/>
  <c r="J4"/>
  <c r="H4" s="1"/>
  <c r="I4"/>
  <c r="E4" s="1"/>
  <c r="C4"/>
  <c r="B4"/>
  <c r="O7"/>
  <c r="N7"/>
  <c r="J7"/>
  <c r="G7" s="1"/>
  <c r="I7"/>
  <c r="E7" s="1"/>
  <c r="C7"/>
  <c r="B7"/>
  <c r="O6"/>
  <c r="N6"/>
  <c r="J6"/>
  <c r="H6" s="1"/>
  <c r="I6"/>
  <c r="F6" s="1"/>
  <c r="C6"/>
  <c r="B6"/>
  <c r="O5"/>
  <c r="N5"/>
  <c r="J5"/>
  <c r="H5" s="1"/>
  <c r="I5"/>
  <c r="F5" s="1"/>
  <c r="G5"/>
  <c r="C5"/>
  <c r="B5"/>
  <c r="P73" i="141"/>
  <c r="F73"/>
  <c r="H73" s="1"/>
  <c r="E73"/>
  <c r="D73"/>
  <c r="P72"/>
  <c r="F72"/>
  <c r="H72" s="1"/>
  <c r="E72"/>
  <c r="D72"/>
  <c r="P71"/>
  <c r="G71"/>
  <c r="F71"/>
  <c r="E71"/>
  <c r="D71"/>
  <c r="P70"/>
  <c r="F70"/>
  <c r="E70"/>
  <c r="D70"/>
  <c r="P69"/>
  <c r="F69"/>
  <c r="E69"/>
  <c r="D69"/>
  <c r="P68"/>
  <c r="F68"/>
  <c r="E68"/>
  <c r="D68"/>
  <c r="P67"/>
  <c r="F67"/>
  <c r="E67"/>
  <c r="D67"/>
  <c r="P66"/>
  <c r="F66"/>
  <c r="E66"/>
  <c r="D66"/>
  <c r="P65"/>
  <c r="F65"/>
  <c r="H65" s="1"/>
  <c r="E65"/>
  <c r="D65"/>
  <c r="P64"/>
  <c r="F64"/>
  <c r="H64" s="1"/>
  <c r="E64"/>
  <c r="D64"/>
  <c r="P63"/>
  <c r="F63"/>
  <c r="E63"/>
  <c r="G63" s="1"/>
  <c r="D63"/>
  <c r="P62"/>
  <c r="F62"/>
  <c r="E62"/>
  <c r="D62"/>
  <c r="P61"/>
  <c r="F61"/>
  <c r="E61"/>
  <c r="D61"/>
  <c r="P60"/>
  <c r="F60"/>
  <c r="E60"/>
  <c r="D60"/>
  <c r="P59"/>
  <c r="F59"/>
  <c r="E59"/>
  <c r="D59"/>
  <c r="P58"/>
  <c r="F58"/>
  <c r="E58"/>
  <c r="D58"/>
  <c r="P57"/>
  <c r="F57"/>
  <c r="E57"/>
  <c r="D57"/>
  <c r="P56"/>
  <c r="F56"/>
  <c r="E56"/>
  <c r="D56"/>
  <c r="P55"/>
  <c r="F55"/>
  <c r="E55"/>
  <c r="G55" s="1"/>
  <c r="D55"/>
  <c r="P54"/>
  <c r="F54"/>
  <c r="E54"/>
  <c r="G54" s="1"/>
  <c r="D54"/>
  <c r="P53"/>
  <c r="F53"/>
  <c r="E53"/>
  <c r="G53" s="1"/>
  <c r="D53"/>
  <c r="P52"/>
  <c r="F52"/>
  <c r="E52"/>
  <c r="D52"/>
  <c r="P51"/>
  <c r="F51"/>
  <c r="E51"/>
  <c r="G51" s="1"/>
  <c r="D51"/>
  <c r="P50"/>
  <c r="F50"/>
  <c r="E50"/>
  <c r="G50" s="1"/>
  <c r="D50"/>
  <c r="P49"/>
  <c r="F49"/>
  <c r="E49"/>
  <c r="D49"/>
  <c r="P48"/>
  <c r="F48"/>
  <c r="E48"/>
  <c r="D48"/>
  <c r="P47"/>
  <c r="F47"/>
  <c r="E47"/>
  <c r="G47" s="1"/>
  <c r="D47"/>
  <c r="O46"/>
  <c r="N46"/>
  <c r="M46"/>
  <c r="L46"/>
  <c r="K46"/>
  <c r="J46"/>
  <c r="B46"/>
  <c r="O48" i="130"/>
  <c r="N48"/>
  <c r="M48"/>
  <c r="L48"/>
  <c r="K48"/>
  <c r="J48"/>
  <c r="K47" i="136"/>
  <c r="M47" s="1"/>
  <c r="J47"/>
  <c r="G47"/>
  <c r="F47"/>
  <c r="H47" s="1"/>
  <c r="E47"/>
  <c r="I47" s="1"/>
  <c r="D47"/>
  <c r="H48"/>
  <c r="I48"/>
  <c r="L48"/>
  <c r="M48"/>
  <c r="H49"/>
  <c r="I49"/>
  <c r="L49"/>
  <c r="M49"/>
  <c r="H50"/>
  <c r="I50"/>
  <c r="L50"/>
  <c r="M50"/>
  <c r="H51"/>
  <c r="I51"/>
  <c r="L51"/>
  <c r="M51"/>
  <c r="H52"/>
  <c r="I52"/>
  <c r="L52"/>
  <c r="M52"/>
  <c r="H53"/>
  <c r="I53"/>
  <c r="L53"/>
  <c r="M53"/>
  <c r="H54"/>
  <c r="I54"/>
  <c r="L54"/>
  <c r="M54"/>
  <c r="H55"/>
  <c r="I55"/>
  <c r="L55"/>
  <c r="M55"/>
  <c r="H56"/>
  <c r="I56"/>
  <c r="L56"/>
  <c r="M56"/>
  <c r="H57"/>
  <c r="I57"/>
  <c r="L57"/>
  <c r="M57"/>
  <c r="H58"/>
  <c r="I58"/>
  <c r="L58"/>
  <c r="M58"/>
  <c r="H59"/>
  <c r="I59"/>
  <c r="L59"/>
  <c r="M59"/>
  <c r="H60"/>
  <c r="I60"/>
  <c r="L60"/>
  <c r="M60"/>
  <c r="H61"/>
  <c r="I61"/>
  <c r="L61"/>
  <c r="M61"/>
  <c r="H62"/>
  <c r="I62"/>
  <c r="L62"/>
  <c r="M62"/>
  <c r="H63"/>
  <c r="I63"/>
  <c r="L63"/>
  <c r="M63"/>
  <c r="H64"/>
  <c r="I64"/>
  <c r="L64"/>
  <c r="M64"/>
  <c r="H65"/>
  <c r="I65"/>
  <c r="L65"/>
  <c r="M65"/>
  <c r="H66"/>
  <c r="I66"/>
  <c r="L66"/>
  <c r="M66"/>
  <c r="H67"/>
  <c r="I67"/>
  <c r="L67"/>
  <c r="M67"/>
  <c r="H68"/>
  <c r="I68"/>
  <c r="L68"/>
  <c r="M68"/>
  <c r="H69"/>
  <c r="I69"/>
  <c r="L69"/>
  <c r="M69"/>
  <c r="H70"/>
  <c r="I70"/>
  <c r="L70"/>
  <c r="M70"/>
  <c r="H71"/>
  <c r="I71"/>
  <c r="L71"/>
  <c r="M71"/>
  <c r="H72"/>
  <c r="I72"/>
  <c r="L72"/>
  <c r="M72"/>
  <c r="H73"/>
  <c r="I73"/>
  <c r="L73"/>
  <c r="M73"/>
  <c r="H74"/>
  <c r="I74"/>
  <c r="L74"/>
  <c r="M74"/>
  <c r="N47"/>
  <c r="N74"/>
  <c r="N73"/>
  <c r="N72"/>
  <c r="N71"/>
  <c r="N70"/>
  <c r="N69"/>
  <c r="N68"/>
  <c r="N67"/>
  <c r="N66"/>
  <c r="N65"/>
  <c r="N64"/>
  <c r="N63"/>
  <c r="N62"/>
  <c r="N61"/>
  <c r="N60"/>
  <c r="N59"/>
  <c r="N58"/>
  <c r="N57"/>
  <c r="N56"/>
  <c r="N55"/>
  <c r="N54"/>
  <c r="N53"/>
  <c r="N52"/>
  <c r="N51"/>
  <c r="N50"/>
  <c r="N49"/>
  <c r="N48"/>
  <c r="E11" i="42"/>
  <c r="F11"/>
  <c r="E13" i="143" l="1"/>
  <c r="K11"/>
  <c r="F15"/>
  <c r="E11"/>
  <c r="G4"/>
  <c r="F10"/>
  <c r="H14"/>
  <c r="K17"/>
  <c r="K6"/>
  <c r="K4"/>
  <c r="E12"/>
  <c r="E16"/>
  <c r="I3"/>
  <c r="E3" s="1"/>
  <c r="K9"/>
  <c r="K14"/>
  <c r="E17"/>
  <c r="F4"/>
  <c r="N3"/>
  <c r="F9"/>
  <c r="H10"/>
  <c r="K15"/>
  <c r="G15"/>
  <c r="L3" i="147"/>
  <c r="P3"/>
  <c r="M3"/>
  <c r="H3" i="125"/>
  <c r="B3"/>
  <c r="F3"/>
  <c r="N3" i="147"/>
  <c r="H4" i="166"/>
  <c r="I4"/>
  <c r="I4" i="164"/>
  <c r="I3"/>
  <c r="L3" i="162"/>
  <c r="J3" i="160"/>
  <c r="I3"/>
  <c r="H3" i="158"/>
  <c r="I3"/>
  <c r="O3" i="147"/>
  <c r="J6" i="145"/>
  <c r="D12"/>
  <c r="J16"/>
  <c r="J30"/>
  <c r="E29"/>
  <c r="H11"/>
  <c r="D50"/>
  <c r="D15"/>
  <c r="J5"/>
  <c r="G16"/>
  <c r="E30"/>
  <c r="Q3"/>
  <c r="E4"/>
  <c r="I20"/>
  <c r="F20" s="1"/>
  <c r="G39"/>
  <c r="J47"/>
  <c r="D42"/>
  <c r="D49"/>
  <c r="J43"/>
  <c r="G47"/>
  <c r="J51"/>
  <c r="D34"/>
  <c r="J24"/>
  <c r="D33"/>
  <c r="D31"/>
  <c r="D23"/>
  <c r="J21"/>
  <c r="J23"/>
  <c r="G24"/>
  <c r="J33"/>
  <c r="E32"/>
  <c r="J31"/>
  <c r="M20"/>
  <c r="E21"/>
  <c r="D22"/>
  <c r="J32"/>
  <c r="D26"/>
  <c r="G51"/>
  <c r="E41"/>
  <c r="D48"/>
  <c r="D43"/>
  <c r="D40"/>
  <c r="D44"/>
  <c r="E39"/>
  <c r="D46"/>
  <c r="J50"/>
  <c r="F50"/>
  <c r="J41"/>
  <c r="F41"/>
  <c r="M37"/>
  <c r="J45"/>
  <c r="F45"/>
  <c r="D45"/>
  <c r="E45"/>
  <c r="M45"/>
  <c r="G4"/>
  <c r="E5"/>
  <c r="E6"/>
  <c r="E13"/>
  <c r="D8"/>
  <c r="I3"/>
  <c r="F3" s="1"/>
  <c r="J13"/>
  <c r="G15"/>
  <c r="E17"/>
  <c r="E7"/>
  <c r="J17"/>
  <c r="J7"/>
  <c r="D9"/>
  <c r="E11"/>
  <c r="D11"/>
  <c r="M11"/>
  <c r="P3"/>
  <c r="M3" s="1"/>
  <c r="K8"/>
  <c r="K34"/>
  <c r="K6"/>
  <c r="K11"/>
  <c r="C3"/>
  <c r="D51"/>
  <c r="J44"/>
  <c r="J46"/>
  <c r="E38"/>
  <c r="F37"/>
  <c r="B37"/>
  <c r="H37"/>
  <c r="D37" s="1"/>
  <c r="J38"/>
  <c r="J39"/>
  <c r="J40"/>
  <c r="F40"/>
  <c r="E47"/>
  <c r="J42"/>
  <c r="J49"/>
  <c r="J48"/>
  <c r="K3"/>
  <c r="E28"/>
  <c r="J22"/>
  <c r="G23"/>
  <c r="D27"/>
  <c r="J29"/>
  <c r="J25"/>
  <c r="D24"/>
  <c r="J27"/>
  <c r="H20"/>
  <c r="J28"/>
  <c r="E25"/>
  <c r="J34"/>
  <c r="J26"/>
  <c r="G33"/>
  <c r="K7"/>
  <c r="J11"/>
  <c r="K4"/>
  <c r="E10"/>
  <c r="J12"/>
  <c r="K13"/>
  <c r="J8"/>
  <c r="K15"/>
  <c r="E14"/>
  <c r="J9"/>
  <c r="K21"/>
  <c r="K25"/>
  <c r="L37"/>
  <c r="K43"/>
  <c r="E16"/>
  <c r="K16"/>
  <c r="K24"/>
  <c r="K10"/>
  <c r="G12"/>
  <c r="K14"/>
  <c r="G9"/>
  <c r="L20"/>
  <c r="K27"/>
  <c r="K30"/>
  <c r="J4"/>
  <c r="K5"/>
  <c r="G6"/>
  <c r="J10"/>
  <c r="K12"/>
  <c r="J15"/>
  <c r="K17"/>
  <c r="G7"/>
  <c r="J14"/>
  <c r="K9"/>
  <c r="K28"/>
  <c r="K22"/>
  <c r="K33"/>
  <c r="K32"/>
  <c r="K23"/>
  <c r="K29"/>
  <c r="K31"/>
  <c r="D20"/>
  <c r="E20"/>
  <c r="G5"/>
  <c r="G13"/>
  <c r="G8"/>
  <c r="C20"/>
  <c r="G20"/>
  <c r="K20"/>
  <c r="G28"/>
  <c r="G27"/>
  <c r="G25"/>
  <c r="G31"/>
  <c r="C37"/>
  <c r="K37"/>
  <c r="K45"/>
  <c r="F38"/>
  <c r="L40"/>
  <c r="G44"/>
  <c r="K44"/>
  <c r="F46"/>
  <c r="L50"/>
  <c r="G42"/>
  <c r="K42"/>
  <c r="F49"/>
  <c r="L41"/>
  <c r="G48"/>
  <c r="K48"/>
  <c r="F43"/>
  <c r="G3"/>
  <c r="G11"/>
  <c r="G10"/>
  <c r="G17"/>
  <c r="G14"/>
  <c r="G22"/>
  <c r="G30"/>
  <c r="G34"/>
  <c r="L4"/>
  <c r="L6"/>
  <c r="L12"/>
  <c r="L16"/>
  <c r="L15"/>
  <c r="L7"/>
  <c r="L9"/>
  <c r="B20"/>
  <c r="L21"/>
  <c r="L23"/>
  <c r="L29"/>
  <c r="L33"/>
  <c r="L32"/>
  <c r="L24"/>
  <c r="L26"/>
  <c r="L39"/>
  <c r="K40"/>
  <c r="L47"/>
  <c r="K50"/>
  <c r="L51"/>
  <c r="K41"/>
  <c r="G26"/>
  <c r="K26"/>
  <c r="L38"/>
  <c r="K39"/>
  <c r="L46"/>
  <c r="K47"/>
  <c r="L49"/>
  <c r="K51"/>
  <c r="L43"/>
  <c r="G21"/>
  <c r="G29"/>
  <c r="G32"/>
  <c r="L3"/>
  <c r="L11"/>
  <c r="L5"/>
  <c r="L10"/>
  <c r="L13"/>
  <c r="L8"/>
  <c r="L17"/>
  <c r="L14"/>
  <c r="L28"/>
  <c r="L22"/>
  <c r="L27"/>
  <c r="L30"/>
  <c r="L25"/>
  <c r="L34"/>
  <c r="L31"/>
  <c r="L45"/>
  <c r="K38"/>
  <c r="L44"/>
  <c r="K46"/>
  <c r="L42"/>
  <c r="K49"/>
  <c r="L48"/>
  <c r="E6" i="143"/>
  <c r="E5"/>
  <c r="K7"/>
  <c r="E14"/>
  <c r="K5"/>
  <c r="F7"/>
  <c r="K12"/>
  <c r="K13"/>
  <c r="K10"/>
  <c r="G11"/>
  <c r="K16"/>
  <c r="L17"/>
  <c r="C3"/>
  <c r="K3" s="1"/>
  <c r="J3"/>
  <c r="F3"/>
  <c r="L3"/>
  <c r="L5"/>
  <c r="G6"/>
  <c r="M4"/>
  <c r="H8"/>
  <c r="L8"/>
  <c r="G9"/>
  <c r="M11"/>
  <c r="H12"/>
  <c r="L12"/>
  <c r="G13"/>
  <c r="M15"/>
  <c r="H16"/>
  <c r="L16"/>
  <c r="G17"/>
  <c r="M7"/>
  <c r="L4"/>
  <c r="M10"/>
  <c r="L11"/>
  <c r="M14"/>
  <c r="L15"/>
  <c r="M9"/>
  <c r="L10"/>
  <c r="M13"/>
  <c r="L14"/>
  <c r="M17"/>
  <c r="M6"/>
  <c r="H7"/>
  <c r="L7"/>
  <c r="M3"/>
  <c r="M5"/>
  <c r="L6"/>
  <c r="M8"/>
  <c r="L9"/>
  <c r="M12"/>
  <c r="L13"/>
  <c r="M16"/>
  <c r="G57" i="141"/>
  <c r="G65"/>
  <c r="H48"/>
  <c r="H49"/>
  <c r="H52"/>
  <c r="H53"/>
  <c r="G58"/>
  <c r="G59"/>
  <c r="G61"/>
  <c r="G62"/>
  <c r="G49"/>
  <c r="H56"/>
  <c r="H57"/>
  <c r="H60"/>
  <c r="H61"/>
  <c r="G66"/>
  <c r="G67"/>
  <c r="G69"/>
  <c r="H70"/>
  <c r="G73"/>
  <c r="P46"/>
  <c r="H68"/>
  <c r="H69"/>
  <c r="E46"/>
  <c r="H50"/>
  <c r="H51"/>
  <c r="G52"/>
  <c r="H58"/>
  <c r="H59"/>
  <c r="G60"/>
  <c r="H66"/>
  <c r="H67"/>
  <c r="G68"/>
  <c r="F46"/>
  <c r="H46" s="1"/>
  <c r="H47"/>
  <c r="G48"/>
  <c r="H54"/>
  <c r="H55"/>
  <c r="G56"/>
  <c r="H62"/>
  <c r="H63"/>
  <c r="G64"/>
  <c r="H71"/>
  <c r="G72"/>
  <c r="G70"/>
  <c r="D46"/>
  <c r="G46" s="1"/>
  <c r="L47" i="136"/>
  <c r="S55" i="106"/>
  <c r="R55"/>
  <c r="Q55"/>
  <c r="P55"/>
  <c r="O55"/>
  <c r="N55"/>
  <c r="M55"/>
  <c r="L55"/>
  <c r="K55"/>
  <c r="J55"/>
  <c r="I55"/>
  <c r="H55"/>
  <c r="G55"/>
  <c r="F55"/>
  <c r="E55"/>
  <c r="S53"/>
  <c r="R53"/>
  <c r="Q53"/>
  <c r="P53"/>
  <c r="O53"/>
  <c r="N53"/>
  <c r="M53"/>
  <c r="L53"/>
  <c r="K53"/>
  <c r="J53"/>
  <c r="I53"/>
  <c r="H53"/>
  <c r="G53"/>
  <c r="F53"/>
  <c r="E53"/>
  <c r="S51"/>
  <c r="R51"/>
  <c r="Q51"/>
  <c r="P51"/>
  <c r="O51"/>
  <c r="N51"/>
  <c r="M51"/>
  <c r="L51"/>
  <c r="K51"/>
  <c r="J51"/>
  <c r="I51"/>
  <c r="H51"/>
  <c r="G51"/>
  <c r="F51"/>
  <c r="E51"/>
  <c r="S49"/>
  <c r="R49"/>
  <c r="Q49"/>
  <c r="P49"/>
  <c r="O49"/>
  <c r="N49"/>
  <c r="M49"/>
  <c r="L49"/>
  <c r="K49"/>
  <c r="J49"/>
  <c r="I49"/>
  <c r="H49"/>
  <c r="G49"/>
  <c r="F49"/>
  <c r="E49"/>
  <c r="S47"/>
  <c r="R47"/>
  <c r="Q47"/>
  <c r="P47"/>
  <c r="O47"/>
  <c r="N47"/>
  <c r="M47"/>
  <c r="L47"/>
  <c r="K47"/>
  <c r="J47"/>
  <c r="I47"/>
  <c r="H47"/>
  <c r="G47"/>
  <c r="F47"/>
  <c r="E47"/>
  <c r="S26" i="25"/>
  <c r="S27"/>
  <c r="Q27"/>
  <c r="R26"/>
  <c r="T26"/>
  <c r="Q26"/>
  <c r="D49" i="130"/>
  <c r="E49"/>
  <c r="F49"/>
  <c r="D50"/>
  <c r="E50"/>
  <c r="F50"/>
  <c r="D51"/>
  <c r="E51"/>
  <c r="F51"/>
  <c r="D52"/>
  <c r="E52"/>
  <c r="F52"/>
  <c r="D53"/>
  <c r="E53"/>
  <c r="F53"/>
  <c r="D54"/>
  <c r="E54"/>
  <c r="F54"/>
  <c r="D55"/>
  <c r="E55"/>
  <c r="F55"/>
  <c r="D56"/>
  <c r="E56"/>
  <c r="F56"/>
  <c r="D57"/>
  <c r="E57"/>
  <c r="F57"/>
  <c r="D58"/>
  <c r="E58"/>
  <c r="F58"/>
  <c r="D59"/>
  <c r="E59"/>
  <c r="F59"/>
  <c r="D60"/>
  <c r="E60"/>
  <c r="F60"/>
  <c r="D61"/>
  <c r="E61"/>
  <c r="F61"/>
  <c r="D62"/>
  <c r="E62"/>
  <c r="F62"/>
  <c r="D63"/>
  <c r="E63"/>
  <c r="F63"/>
  <c r="D64"/>
  <c r="E64"/>
  <c r="F64"/>
  <c r="D65"/>
  <c r="E65"/>
  <c r="F65"/>
  <c r="D66"/>
  <c r="E66"/>
  <c r="F66"/>
  <c r="D67"/>
  <c r="E67"/>
  <c r="F67"/>
  <c r="D68"/>
  <c r="E68"/>
  <c r="F68"/>
  <c r="D69"/>
  <c r="E69"/>
  <c r="F69"/>
  <c r="D70"/>
  <c r="E70"/>
  <c r="F70"/>
  <c r="D71"/>
  <c r="E71"/>
  <c r="F71"/>
  <c r="D72"/>
  <c r="E72"/>
  <c r="F72"/>
  <c r="D73"/>
  <c r="E73"/>
  <c r="F73"/>
  <c r="D74"/>
  <c r="E74"/>
  <c r="F74"/>
  <c r="D75"/>
  <c r="E75"/>
  <c r="F75"/>
  <c r="F48"/>
  <c r="E48"/>
  <c r="D48"/>
  <c r="E37" i="145" l="1"/>
  <c r="J37"/>
  <c r="B3"/>
  <c r="J3" s="1"/>
  <c r="H3"/>
  <c r="J20"/>
  <c r="H3" i="143"/>
  <c r="G3"/>
  <c r="I70" i="54"/>
  <c r="I61"/>
  <c r="I62"/>
  <c r="I63"/>
  <c r="I64"/>
  <c r="I65"/>
  <c r="I66"/>
  <c r="I67"/>
  <c r="I60"/>
  <c r="I58"/>
  <c r="H65"/>
  <c r="H67"/>
  <c r="H70"/>
  <c r="H66"/>
  <c r="H64"/>
  <c r="H63"/>
  <c r="H62"/>
  <c r="H61"/>
  <c r="H60"/>
  <c r="H58"/>
  <c r="E58" s="1"/>
  <c r="B44"/>
  <c r="B45"/>
  <c r="B46"/>
  <c r="B47"/>
  <c r="B48"/>
  <c r="B49"/>
  <c r="B50"/>
  <c r="B51"/>
  <c r="B52"/>
  <c r="B53"/>
  <c r="B43"/>
  <c r="P49" i="130"/>
  <c r="P50"/>
  <c r="P51"/>
  <c r="P52"/>
  <c r="P53"/>
  <c r="P54"/>
  <c r="P55"/>
  <c r="P56"/>
  <c r="P57"/>
  <c r="P58"/>
  <c r="P59"/>
  <c r="P60"/>
  <c r="P61"/>
  <c r="P62"/>
  <c r="P63"/>
  <c r="P64"/>
  <c r="P65"/>
  <c r="P66"/>
  <c r="P67"/>
  <c r="P68"/>
  <c r="P69"/>
  <c r="P70"/>
  <c r="P71"/>
  <c r="P72"/>
  <c r="P73"/>
  <c r="P74"/>
  <c r="P75"/>
  <c r="B48"/>
  <c r="P48" s="1"/>
  <c r="O4" i="25"/>
  <c r="A4" s="1"/>
  <c r="O5"/>
  <c r="A5" s="1"/>
  <c r="O6"/>
  <c r="O7"/>
  <c r="O8"/>
  <c r="A8" s="1"/>
  <c r="O9"/>
  <c r="A9" s="1"/>
  <c r="O10"/>
  <c r="A10" s="1"/>
  <c r="O11"/>
  <c r="A11" s="1"/>
  <c r="O12"/>
  <c r="A12" s="1"/>
  <c r="O13"/>
  <c r="A13" s="1"/>
  <c r="O14"/>
  <c r="A14" s="1"/>
  <c r="O15"/>
  <c r="A15" s="1"/>
  <c r="O16"/>
  <c r="A16" s="1"/>
  <c r="O17"/>
  <c r="A17" s="1"/>
  <c r="O18"/>
  <c r="A18" s="1"/>
  <c r="O19"/>
  <c r="A19" s="1"/>
  <c r="O20"/>
  <c r="A20" s="1"/>
  <c r="O21"/>
  <c r="A21" s="1"/>
  <c r="O22"/>
  <c r="A22" s="1"/>
  <c r="O23"/>
  <c r="A23" s="1"/>
  <c r="O24"/>
  <c r="A24" s="1"/>
  <c r="O3"/>
  <c r="A6"/>
  <c r="A7"/>
  <c r="B24"/>
  <c r="C24"/>
  <c r="D24"/>
  <c r="I24"/>
  <c r="E24" s="1"/>
  <c r="J24"/>
  <c r="G24" s="1"/>
  <c r="K24"/>
  <c r="N24"/>
  <c r="E3" i="145" l="1"/>
  <c r="D3"/>
  <c r="H48" i="130"/>
  <c r="H49"/>
  <c r="H50"/>
  <c r="H51"/>
  <c r="H52"/>
  <c r="H53"/>
  <c r="H54"/>
  <c r="H55"/>
  <c r="H56"/>
  <c r="H57"/>
  <c r="H58"/>
  <c r="H59"/>
  <c r="H60"/>
  <c r="H61"/>
  <c r="H62"/>
  <c r="H63"/>
  <c r="H64"/>
  <c r="H65"/>
  <c r="H66"/>
  <c r="H67"/>
  <c r="H68"/>
  <c r="H69"/>
  <c r="H70"/>
  <c r="H71"/>
  <c r="H72"/>
  <c r="H73"/>
  <c r="H74"/>
  <c r="H75"/>
  <c r="G48"/>
  <c r="G49"/>
  <c r="G50"/>
  <c r="G51"/>
  <c r="G52"/>
  <c r="G53"/>
  <c r="G54"/>
  <c r="G55"/>
  <c r="G56"/>
  <c r="G57"/>
  <c r="G58"/>
  <c r="G59"/>
  <c r="G60"/>
  <c r="G61"/>
  <c r="G62"/>
  <c r="G63"/>
  <c r="G64"/>
  <c r="G65"/>
  <c r="G66"/>
  <c r="G67"/>
  <c r="G68"/>
  <c r="G69"/>
  <c r="G70"/>
  <c r="G71"/>
  <c r="G72"/>
  <c r="G73"/>
  <c r="G74"/>
  <c r="G75"/>
  <c r="L24" i="25"/>
  <c r="M24"/>
  <c r="A3"/>
  <c r="H24"/>
  <c r="F24"/>
  <c r="A4" i="68"/>
  <c r="A5"/>
  <c r="A6"/>
  <c r="A7"/>
  <c r="A8"/>
  <c r="A9"/>
  <c r="A10"/>
  <c r="A11"/>
  <c r="A12"/>
  <c r="A13"/>
  <c r="A14"/>
  <c r="A15"/>
  <c r="A16"/>
  <c r="A17"/>
  <c r="A18"/>
  <c r="A19"/>
  <c r="A20"/>
  <c r="A21"/>
  <c r="A22"/>
  <c r="A23"/>
  <c r="A24"/>
  <c r="A25"/>
  <c r="A26"/>
  <c r="A27"/>
  <c r="A28"/>
  <c r="A29"/>
  <c r="A30"/>
  <c r="A31"/>
  <c r="A3"/>
  <c r="A5" i="66"/>
  <c r="A6"/>
  <c r="A7"/>
  <c r="A10"/>
  <c r="A11"/>
  <c r="A13"/>
  <c r="A14"/>
  <c r="A15"/>
  <c r="A18"/>
  <c r="A19"/>
  <c r="A21"/>
  <c r="A22"/>
  <c r="A23"/>
  <c r="A25"/>
  <c r="A26"/>
  <c r="A27"/>
  <c r="A29"/>
  <c r="A30"/>
  <c r="A31"/>
  <c r="A4"/>
  <c r="A8"/>
  <c r="A9"/>
  <c r="A12"/>
  <c r="A16"/>
  <c r="A17"/>
  <c r="A20"/>
  <c r="A24"/>
  <c r="A28"/>
  <c r="A32"/>
  <c r="A3"/>
  <c r="A4" i="64"/>
  <c r="A5"/>
  <c r="A6"/>
  <c r="A7"/>
  <c r="A8"/>
  <c r="A9"/>
  <c r="A10"/>
  <c r="A11"/>
  <c r="A12"/>
  <c r="A13"/>
  <c r="A14"/>
  <c r="A15"/>
  <c r="A16"/>
  <c r="A17"/>
  <c r="A18"/>
  <c r="A19"/>
  <c r="A20"/>
  <c r="A21"/>
  <c r="A22"/>
  <c r="A23"/>
  <c r="A24"/>
  <c r="A25"/>
  <c r="A26"/>
  <c r="A27"/>
  <c r="A28"/>
  <c r="A29"/>
  <c r="A30"/>
  <c r="A31"/>
  <c r="A32"/>
  <c r="A3"/>
  <c r="O4" i="62"/>
  <c r="A4" s="1"/>
  <c r="O5"/>
  <c r="A5" s="1"/>
  <c r="O6"/>
  <c r="O7"/>
  <c r="O8"/>
  <c r="A8" s="1"/>
  <c r="O9"/>
  <c r="A9" s="1"/>
  <c r="O10"/>
  <c r="A10" s="1"/>
  <c r="O11"/>
  <c r="A11" s="1"/>
  <c r="O12"/>
  <c r="A12" s="1"/>
  <c r="O13"/>
  <c r="A13" s="1"/>
  <c r="O14"/>
  <c r="A14" s="1"/>
  <c r="O15"/>
  <c r="A15" s="1"/>
  <c r="O16"/>
  <c r="A16" s="1"/>
  <c r="O17"/>
  <c r="A17" s="1"/>
  <c r="O18"/>
  <c r="A18" s="1"/>
  <c r="O19"/>
  <c r="A19" s="1"/>
  <c r="O20"/>
  <c r="A20" s="1"/>
  <c r="O21"/>
  <c r="A21" s="1"/>
  <c r="O22"/>
  <c r="A22" s="1"/>
  <c r="O23"/>
  <c r="A23" s="1"/>
  <c r="O24"/>
  <c r="A24" s="1"/>
  <c r="O25"/>
  <c r="A25" s="1"/>
  <c r="O26"/>
  <c r="A26" s="1"/>
  <c r="O27"/>
  <c r="A27" s="1"/>
  <c r="O28"/>
  <c r="A28" s="1"/>
  <c r="O29"/>
  <c r="A29" s="1"/>
  <c r="O30"/>
  <c r="A30" s="1"/>
  <c r="O31"/>
  <c r="A31" s="1"/>
  <c r="O32"/>
  <c r="A32" s="1"/>
  <c r="O3"/>
  <c r="A3" s="1"/>
  <c r="A6"/>
  <c r="A7"/>
  <c r="O4" i="60"/>
  <c r="A4" s="1"/>
  <c r="O5"/>
  <c r="A5" s="1"/>
  <c r="O6"/>
  <c r="A6" s="1"/>
  <c r="O7"/>
  <c r="A7" s="1"/>
  <c r="O8"/>
  <c r="A8" s="1"/>
  <c r="O9"/>
  <c r="A9" s="1"/>
  <c r="O10"/>
  <c r="A10" s="1"/>
  <c r="O11"/>
  <c r="A11" s="1"/>
  <c r="O12"/>
  <c r="A12" s="1"/>
  <c r="O13"/>
  <c r="A13" s="1"/>
  <c r="O14"/>
  <c r="A14" s="1"/>
  <c r="O15"/>
  <c r="A15" s="1"/>
  <c r="O16"/>
  <c r="A16" s="1"/>
  <c r="O17"/>
  <c r="A17" s="1"/>
  <c r="O18"/>
  <c r="A18" s="1"/>
  <c r="O19"/>
  <c r="A19" s="1"/>
  <c r="O20"/>
  <c r="A20" s="1"/>
  <c r="O21"/>
  <c r="A21" s="1"/>
  <c r="O22"/>
  <c r="A22" s="1"/>
  <c r="O23"/>
  <c r="A23" s="1"/>
  <c r="O24"/>
  <c r="A24" s="1"/>
  <c r="O25"/>
  <c r="A25" s="1"/>
  <c r="O26"/>
  <c r="A26" s="1"/>
  <c r="O27"/>
  <c r="A27" s="1"/>
  <c r="O28"/>
  <c r="A28" s="1"/>
  <c r="O29"/>
  <c r="A29" s="1"/>
  <c r="O30"/>
  <c r="A30" s="1"/>
  <c r="O31"/>
  <c r="A31" s="1"/>
  <c r="O32"/>
  <c r="A32" s="1"/>
  <c r="O3"/>
  <c r="A3" s="1"/>
  <c r="P17" i="110"/>
  <c r="P16"/>
  <c r="P15"/>
  <c r="P14"/>
  <c r="P13"/>
  <c r="P12"/>
  <c r="P11"/>
  <c r="P10"/>
  <c r="P9"/>
  <c r="P8"/>
  <c r="P7"/>
  <c r="P6"/>
  <c r="P5"/>
  <c r="P4"/>
  <c r="P3"/>
  <c r="C33" i="37"/>
  <c r="E33"/>
  <c r="F33"/>
  <c r="G33"/>
  <c r="H33"/>
  <c r="N3" i="125" l="1"/>
  <c r="L3" l="1"/>
  <c r="P3"/>
  <c r="M3"/>
  <c r="O3"/>
  <c r="P17" i="120" l="1"/>
  <c r="O17"/>
  <c r="N17"/>
  <c r="M17"/>
  <c r="L17"/>
  <c r="P16"/>
  <c r="O16"/>
  <c r="N16"/>
  <c r="M16"/>
  <c r="L16"/>
  <c r="P15"/>
  <c r="O15"/>
  <c r="N15"/>
  <c r="M15"/>
  <c r="L15"/>
  <c r="P14"/>
  <c r="O14"/>
  <c r="N14"/>
  <c r="M14"/>
  <c r="L14"/>
  <c r="P13"/>
  <c r="O13"/>
  <c r="N13"/>
  <c r="M13"/>
  <c r="L13"/>
  <c r="P12"/>
  <c r="O12"/>
  <c r="N12"/>
  <c r="M12"/>
  <c r="L12"/>
  <c r="P11"/>
  <c r="O11"/>
  <c r="N11"/>
  <c r="M11"/>
  <c r="L11"/>
  <c r="P10"/>
  <c r="O10"/>
  <c r="N10"/>
  <c r="M10"/>
  <c r="L10"/>
  <c r="P9"/>
  <c r="O9"/>
  <c r="N9"/>
  <c r="M9"/>
  <c r="L9"/>
  <c r="P8"/>
  <c r="O8"/>
  <c r="N8"/>
  <c r="M8"/>
  <c r="L8"/>
  <c r="P7"/>
  <c r="O7"/>
  <c r="N7"/>
  <c r="M7"/>
  <c r="L7"/>
  <c r="P6"/>
  <c r="O6"/>
  <c r="N6"/>
  <c r="M6"/>
  <c r="L6"/>
  <c r="P5"/>
  <c r="O5"/>
  <c r="N5"/>
  <c r="M5"/>
  <c r="L5"/>
  <c r="P4"/>
  <c r="O4"/>
  <c r="N4"/>
  <c r="M4"/>
  <c r="L4"/>
  <c r="K3"/>
  <c r="K7" i="125" s="1"/>
  <c r="J3" i="120"/>
  <c r="J7" i="125" s="1"/>
  <c r="I3" i="120"/>
  <c r="I7" i="125" s="1"/>
  <c r="H3" i="120"/>
  <c r="H7" i="125" s="1"/>
  <c r="G3" i="120"/>
  <c r="G7" i="125" s="1"/>
  <c r="L7" s="1"/>
  <c r="F3" i="120"/>
  <c r="F7" i="125" s="1"/>
  <c r="E3" i="120"/>
  <c r="E7" i="125" s="1"/>
  <c r="D3" i="120"/>
  <c r="D7" i="125" s="1"/>
  <c r="C3" i="120"/>
  <c r="C7" i="125" s="1"/>
  <c r="B3" i="120"/>
  <c r="B7" i="125" s="1"/>
  <c r="P17" i="118"/>
  <c r="O17"/>
  <c r="N17"/>
  <c r="M17"/>
  <c r="L17"/>
  <c r="P16"/>
  <c r="O16"/>
  <c r="N16"/>
  <c r="M16"/>
  <c r="L16"/>
  <c r="P15"/>
  <c r="O15"/>
  <c r="N15"/>
  <c r="M15"/>
  <c r="L15"/>
  <c r="P14"/>
  <c r="O14"/>
  <c r="N14"/>
  <c r="M14"/>
  <c r="L14"/>
  <c r="P13"/>
  <c r="O13"/>
  <c r="N13"/>
  <c r="M13"/>
  <c r="L13"/>
  <c r="P12"/>
  <c r="O12"/>
  <c r="N12"/>
  <c r="M12"/>
  <c r="L12"/>
  <c r="P11"/>
  <c r="O11"/>
  <c r="N11"/>
  <c r="M11"/>
  <c r="L11"/>
  <c r="P10"/>
  <c r="O10"/>
  <c r="N10"/>
  <c r="M10"/>
  <c r="L10"/>
  <c r="P9"/>
  <c r="O9"/>
  <c r="N9"/>
  <c r="M9"/>
  <c r="L9"/>
  <c r="P8"/>
  <c r="O8"/>
  <c r="N8"/>
  <c r="M8"/>
  <c r="L8"/>
  <c r="P7"/>
  <c r="O7"/>
  <c r="N7"/>
  <c r="M7"/>
  <c r="L7"/>
  <c r="P6"/>
  <c r="O6"/>
  <c r="N6"/>
  <c r="M6"/>
  <c r="L6"/>
  <c r="P5"/>
  <c r="O5"/>
  <c r="N5"/>
  <c r="M5"/>
  <c r="L5"/>
  <c r="P4"/>
  <c r="O4"/>
  <c r="N4"/>
  <c r="M4"/>
  <c r="L4"/>
  <c r="K3"/>
  <c r="K6" i="125" s="1"/>
  <c r="P6" s="1"/>
  <c r="J3" i="118"/>
  <c r="J6" i="125" s="1"/>
  <c r="O6" s="1"/>
  <c r="I3" i="118"/>
  <c r="I6" i="125" s="1"/>
  <c r="H3" i="118"/>
  <c r="H6" i="125" s="1"/>
  <c r="G3" i="118"/>
  <c r="F3"/>
  <c r="F6" i="125" s="1"/>
  <c r="E3" i="118"/>
  <c r="E6" i="125" s="1"/>
  <c r="D3" i="118"/>
  <c r="D6" i="125" s="1"/>
  <c r="C3" i="118"/>
  <c r="C6" i="125" s="1"/>
  <c r="B3" i="118"/>
  <c r="B6" i="125" s="1"/>
  <c r="P17" i="116"/>
  <c r="O17"/>
  <c r="N17"/>
  <c r="M17"/>
  <c r="L17"/>
  <c r="P16"/>
  <c r="O16"/>
  <c r="N16"/>
  <c r="M16"/>
  <c r="L16"/>
  <c r="P15"/>
  <c r="O15"/>
  <c r="N15"/>
  <c r="M15"/>
  <c r="L15"/>
  <c r="P14"/>
  <c r="O14"/>
  <c r="N14"/>
  <c r="M14"/>
  <c r="L14"/>
  <c r="P13"/>
  <c r="O13"/>
  <c r="N13"/>
  <c r="M13"/>
  <c r="L13"/>
  <c r="P12"/>
  <c r="O12"/>
  <c r="N12"/>
  <c r="M12"/>
  <c r="L12"/>
  <c r="P11"/>
  <c r="O11"/>
  <c r="N11"/>
  <c r="M11"/>
  <c r="L11"/>
  <c r="P10"/>
  <c r="O10"/>
  <c r="N10"/>
  <c r="M10"/>
  <c r="L10"/>
  <c r="P9"/>
  <c r="O9"/>
  <c r="N9"/>
  <c r="M9"/>
  <c r="L9"/>
  <c r="P8"/>
  <c r="O8"/>
  <c r="N8"/>
  <c r="M8"/>
  <c r="L8"/>
  <c r="P7"/>
  <c r="O7"/>
  <c r="N7"/>
  <c r="M7"/>
  <c r="L7"/>
  <c r="P6"/>
  <c r="O6"/>
  <c r="N6"/>
  <c r="M6"/>
  <c r="L6"/>
  <c r="P5"/>
  <c r="O5"/>
  <c r="N5"/>
  <c r="M5"/>
  <c r="L5"/>
  <c r="P4"/>
  <c r="O4"/>
  <c r="N4"/>
  <c r="M4"/>
  <c r="L4"/>
  <c r="K3"/>
  <c r="K5" i="125" s="1"/>
  <c r="P5" s="1"/>
  <c r="J3" i="116"/>
  <c r="J5" i="125" s="1"/>
  <c r="O5" s="1"/>
  <c r="I3" i="116"/>
  <c r="I5" i="125" s="1"/>
  <c r="H3" i="116"/>
  <c r="H5" i="125" s="1"/>
  <c r="G3" i="116"/>
  <c r="G5" i="125" s="1"/>
  <c r="F3" i="116"/>
  <c r="F5" i="125" s="1"/>
  <c r="E3" i="116"/>
  <c r="E5" i="125" s="1"/>
  <c r="D3" i="116"/>
  <c r="D5" i="125" s="1"/>
  <c r="C3" i="116"/>
  <c r="C5" i="125" s="1"/>
  <c r="B3" i="116"/>
  <c r="K3" i="114"/>
  <c r="K4" i="125" s="1"/>
  <c r="J3" i="114"/>
  <c r="J4" i="125" s="1"/>
  <c r="I3" i="114"/>
  <c r="I4" i="125" s="1"/>
  <c r="N4" s="1"/>
  <c r="H3" i="114"/>
  <c r="H4" i="125" s="1"/>
  <c r="M4" s="1"/>
  <c r="G3" i="114"/>
  <c r="G4" i="125" s="1"/>
  <c r="F3" i="114"/>
  <c r="F4" i="125" s="1"/>
  <c r="E3" i="114"/>
  <c r="E4" i="125" s="1"/>
  <c r="D3" i="114"/>
  <c r="D4" i="125" s="1"/>
  <c r="C3" i="114"/>
  <c r="C4" i="125" s="1"/>
  <c r="B3" i="114"/>
  <c r="B4" i="125" s="1"/>
  <c r="L4" s="1"/>
  <c r="P17" i="114"/>
  <c r="O17"/>
  <c r="N17"/>
  <c r="M17"/>
  <c r="L17"/>
  <c r="P16"/>
  <c r="O16"/>
  <c r="N16"/>
  <c r="M16"/>
  <c r="L16"/>
  <c r="P15"/>
  <c r="O15"/>
  <c r="N15"/>
  <c r="M15"/>
  <c r="L15"/>
  <c r="P14"/>
  <c r="O14"/>
  <c r="N14"/>
  <c r="M14"/>
  <c r="L14"/>
  <c r="P13"/>
  <c r="O13"/>
  <c r="N13"/>
  <c r="M13"/>
  <c r="L13"/>
  <c r="P12"/>
  <c r="O12"/>
  <c r="N12"/>
  <c r="M12"/>
  <c r="L12"/>
  <c r="P11"/>
  <c r="O11"/>
  <c r="N11"/>
  <c r="M11"/>
  <c r="L11"/>
  <c r="P10"/>
  <c r="O10"/>
  <c r="N10"/>
  <c r="M10"/>
  <c r="L10"/>
  <c r="P9"/>
  <c r="O9"/>
  <c r="N9"/>
  <c r="M9"/>
  <c r="L9"/>
  <c r="P8"/>
  <c r="O8"/>
  <c r="N8"/>
  <c r="M8"/>
  <c r="L8"/>
  <c r="P7"/>
  <c r="O7"/>
  <c r="N7"/>
  <c r="M7"/>
  <c r="L7"/>
  <c r="P6"/>
  <c r="O6"/>
  <c r="N6"/>
  <c r="M6"/>
  <c r="L6"/>
  <c r="P5"/>
  <c r="O5"/>
  <c r="N5"/>
  <c r="M5"/>
  <c r="L5"/>
  <c r="P4"/>
  <c r="O4"/>
  <c r="N4"/>
  <c r="M4"/>
  <c r="L4"/>
  <c r="M3"/>
  <c r="N7" i="125" l="1"/>
  <c r="L3" i="118"/>
  <c r="G6" i="125"/>
  <c r="L6" s="1"/>
  <c r="N6"/>
  <c r="M6"/>
  <c r="N5"/>
  <c r="M5"/>
  <c r="L3" i="116"/>
  <c r="B5" i="125"/>
  <c r="L5" s="1"/>
  <c r="N3" i="114"/>
  <c r="L3"/>
  <c r="P3"/>
  <c r="P4" i="125"/>
  <c r="O3" i="114"/>
  <c r="O4" i="125"/>
  <c r="P7"/>
  <c r="M7"/>
  <c r="O7"/>
  <c r="L3" i="120"/>
  <c r="N3"/>
  <c r="P3"/>
  <c r="M3"/>
  <c r="O3"/>
  <c r="N3" i="118"/>
  <c r="P3"/>
  <c r="M3"/>
  <c r="O3"/>
  <c r="N3" i="116"/>
  <c r="P3"/>
  <c r="M3"/>
  <c r="O3"/>
  <c r="O17" i="110"/>
  <c r="N17"/>
  <c r="M17"/>
  <c r="L17"/>
  <c r="O16"/>
  <c r="N16"/>
  <c r="M16"/>
  <c r="L16"/>
  <c r="O15"/>
  <c r="N15"/>
  <c r="M15"/>
  <c r="L15"/>
  <c r="O14"/>
  <c r="N14"/>
  <c r="M14"/>
  <c r="L14"/>
  <c r="O13"/>
  <c r="N13"/>
  <c r="M13"/>
  <c r="L13"/>
  <c r="O12"/>
  <c r="N12"/>
  <c r="M12"/>
  <c r="L12"/>
  <c r="O11"/>
  <c r="N11"/>
  <c r="M11"/>
  <c r="L11"/>
  <c r="O10"/>
  <c r="N10"/>
  <c r="M10"/>
  <c r="L10"/>
  <c r="O9"/>
  <c r="N9"/>
  <c r="M9"/>
  <c r="L9"/>
  <c r="O8"/>
  <c r="N8"/>
  <c r="M8"/>
  <c r="L8"/>
  <c r="O7"/>
  <c r="N7"/>
  <c r="M7"/>
  <c r="L7"/>
  <c r="O6"/>
  <c r="N6"/>
  <c r="M6"/>
  <c r="L6"/>
  <c r="O5"/>
  <c r="N5"/>
  <c r="M5"/>
  <c r="L5"/>
  <c r="O4"/>
  <c r="N4"/>
  <c r="M4"/>
  <c r="L4"/>
  <c r="O3"/>
  <c r="N3"/>
  <c r="M3"/>
  <c r="L3"/>
  <c r="E12" i="106" l="1"/>
  <c r="F12"/>
  <c r="G12"/>
  <c r="H12"/>
  <c r="I12"/>
  <c r="J12"/>
  <c r="K12"/>
  <c r="L12"/>
  <c r="M12"/>
  <c r="N12"/>
  <c r="O12"/>
  <c r="P12"/>
  <c r="Q12"/>
  <c r="R12"/>
  <c r="S12"/>
  <c r="E14"/>
  <c r="F14"/>
  <c r="G14"/>
  <c r="H14"/>
  <c r="I14"/>
  <c r="J14"/>
  <c r="K14"/>
  <c r="L14"/>
  <c r="M14"/>
  <c r="N14"/>
  <c r="O14"/>
  <c r="P14"/>
  <c r="Q14"/>
  <c r="R14"/>
  <c r="S14"/>
  <c r="E18"/>
  <c r="F18"/>
  <c r="G18"/>
  <c r="H18"/>
  <c r="I18"/>
  <c r="J18"/>
  <c r="K18"/>
  <c r="L18"/>
  <c r="M18"/>
  <c r="N18"/>
  <c r="O18"/>
  <c r="P18"/>
  <c r="Q18"/>
  <c r="R18"/>
  <c r="S18"/>
  <c r="E25"/>
  <c r="F25"/>
  <c r="G25"/>
  <c r="H25"/>
  <c r="I25"/>
  <c r="J25"/>
  <c r="K25"/>
  <c r="L25"/>
  <c r="M25"/>
  <c r="N25"/>
  <c r="O25"/>
  <c r="P25"/>
  <c r="Q25"/>
  <c r="R25"/>
  <c r="S25"/>
  <c r="E27"/>
  <c r="F27"/>
  <c r="G27"/>
  <c r="H27"/>
  <c r="I27"/>
  <c r="J27"/>
  <c r="K27"/>
  <c r="L27"/>
  <c r="M27"/>
  <c r="N27"/>
  <c r="O27"/>
  <c r="P27"/>
  <c r="Q27"/>
  <c r="R27"/>
  <c r="S27"/>
  <c r="E29"/>
  <c r="F29"/>
  <c r="G29"/>
  <c r="H29"/>
  <c r="I29"/>
  <c r="J29"/>
  <c r="K29"/>
  <c r="L29"/>
  <c r="M29"/>
  <c r="N29"/>
  <c r="O29"/>
  <c r="P29"/>
  <c r="Q29"/>
  <c r="R29"/>
  <c r="S29"/>
  <c r="E33"/>
  <c r="F33"/>
  <c r="G33"/>
  <c r="H33"/>
  <c r="I33"/>
  <c r="J33"/>
  <c r="K33"/>
  <c r="L33"/>
  <c r="M33"/>
  <c r="N33"/>
  <c r="O33"/>
  <c r="P33"/>
  <c r="Q33"/>
  <c r="R33"/>
  <c r="S33"/>
  <c r="E35"/>
  <c r="F35"/>
  <c r="G35"/>
  <c r="H35"/>
  <c r="I35"/>
  <c r="J35"/>
  <c r="K35"/>
  <c r="L35"/>
  <c r="M35"/>
  <c r="N35"/>
  <c r="O35"/>
  <c r="P35"/>
  <c r="Q35"/>
  <c r="R35"/>
  <c r="S35"/>
  <c r="D37"/>
  <c r="E37"/>
  <c r="F37"/>
  <c r="G37"/>
  <c r="H37"/>
  <c r="I37"/>
  <c r="J37"/>
  <c r="K37"/>
  <c r="L37"/>
  <c r="M37"/>
  <c r="N37"/>
  <c r="O37"/>
  <c r="P37"/>
  <c r="Q37"/>
  <c r="R37"/>
  <c r="S37"/>
  <c r="D39"/>
  <c r="E39"/>
  <c r="F39"/>
  <c r="G39"/>
  <c r="H39"/>
  <c r="I39"/>
  <c r="J39"/>
  <c r="K39"/>
  <c r="L39"/>
  <c r="M39"/>
  <c r="N39"/>
  <c r="O39"/>
  <c r="P39"/>
  <c r="Q39"/>
  <c r="R39"/>
  <c r="S39"/>
  <c r="D41"/>
  <c r="E41"/>
  <c r="F41"/>
  <c r="G41"/>
  <c r="H41"/>
  <c r="I41"/>
  <c r="J41"/>
  <c r="K41"/>
  <c r="L41"/>
  <c r="M41"/>
  <c r="N41"/>
  <c r="O41"/>
  <c r="P41"/>
  <c r="Q41"/>
  <c r="R41"/>
  <c r="S41"/>
  <c r="D43"/>
  <c r="E43"/>
  <c r="F43"/>
  <c r="G43"/>
  <c r="H43"/>
  <c r="I43"/>
  <c r="J43"/>
  <c r="K43"/>
  <c r="L43"/>
  <c r="M43"/>
  <c r="N43"/>
  <c r="O43"/>
  <c r="P43"/>
  <c r="Q43"/>
  <c r="R43"/>
  <c r="S43"/>
  <c r="D35" l="1"/>
  <c r="D33"/>
  <c r="D29"/>
  <c r="D27"/>
  <c r="D25"/>
  <c r="D18"/>
  <c r="D14"/>
  <c r="D51"/>
  <c r="D55"/>
  <c r="D53"/>
  <c r="D49"/>
  <c r="D47"/>
  <c r="F9" i="42" l="1"/>
  <c r="F8"/>
  <c r="F7"/>
  <c r="F6"/>
  <c r="F5"/>
  <c r="H20" i="41" l="1"/>
  <c r="H19"/>
  <c r="H18"/>
  <c r="H17"/>
  <c r="H16"/>
  <c r="H15"/>
  <c r="H14"/>
  <c r="H13"/>
  <c r="H12"/>
  <c r="H11"/>
  <c r="H10"/>
  <c r="H9"/>
  <c r="H8"/>
  <c r="H7"/>
  <c r="H49" i="54"/>
  <c r="H47"/>
  <c r="H20" i="81"/>
  <c r="H19"/>
  <c r="H18"/>
  <c r="H17"/>
  <c r="H16"/>
  <c r="H15"/>
  <c r="H14"/>
  <c r="H13"/>
  <c r="H12"/>
  <c r="H11"/>
  <c r="H10"/>
  <c r="H9"/>
  <c r="H8"/>
  <c r="A21"/>
  <c r="A20"/>
  <c r="A19"/>
  <c r="A18"/>
  <c r="A17"/>
  <c r="A16"/>
  <c r="A15"/>
  <c r="A14"/>
  <c r="A13"/>
  <c r="A12"/>
  <c r="A11"/>
  <c r="A10"/>
  <c r="A9"/>
  <c r="A8"/>
  <c r="A7"/>
  <c r="F6" l="1"/>
  <c r="E49" i="54"/>
  <c r="H6" i="81"/>
  <c r="F8"/>
  <c r="F10"/>
  <c r="F12"/>
  <c r="F14"/>
  <c r="F16"/>
  <c r="F18"/>
  <c r="F20"/>
  <c r="F8" i="41"/>
  <c r="F10"/>
  <c r="F12"/>
  <c r="F14"/>
  <c r="F16"/>
  <c r="F18"/>
  <c r="F20"/>
  <c r="F65" i="54"/>
  <c r="F7" i="81"/>
  <c r="F9"/>
  <c r="F11"/>
  <c r="F13"/>
  <c r="F15"/>
  <c r="F17"/>
  <c r="F19"/>
  <c r="H7"/>
  <c r="F7" i="41"/>
  <c r="F9"/>
  <c r="F11"/>
  <c r="F13"/>
  <c r="F15"/>
  <c r="F17"/>
  <c r="F19"/>
  <c r="E8" i="81"/>
  <c r="E9"/>
  <c r="E10"/>
  <c r="E11"/>
  <c r="E12"/>
  <c r="E13"/>
  <c r="E14"/>
  <c r="E15"/>
  <c r="E16"/>
  <c r="E17"/>
  <c r="E18"/>
  <c r="E19"/>
  <c r="E20"/>
  <c r="C49" i="54"/>
  <c r="E65"/>
  <c r="F49"/>
  <c r="I49"/>
  <c r="E7" i="81"/>
  <c r="E6"/>
  <c r="F12" i="42" l="1"/>
  <c r="J9" i="68"/>
  <c r="G9" s="1"/>
  <c r="B9"/>
  <c r="L17"/>
  <c r="N7"/>
  <c r="N10"/>
  <c r="B8"/>
  <c r="I6"/>
  <c r="M5"/>
  <c r="M4"/>
  <c r="I3"/>
  <c r="F3" s="1"/>
  <c r="C3"/>
  <c r="I32" i="66"/>
  <c r="J17"/>
  <c r="G17" s="1"/>
  <c r="B17"/>
  <c r="I18"/>
  <c r="B22"/>
  <c r="B19"/>
  <c r="B12"/>
  <c r="B11"/>
  <c r="B9"/>
  <c r="B7"/>
  <c r="B5"/>
  <c r="B3"/>
  <c r="D32"/>
  <c r="D29"/>
  <c r="D30"/>
  <c r="D31"/>
  <c r="D28"/>
  <c r="D27"/>
  <c r="D26"/>
  <c r="D20"/>
  <c r="D25"/>
  <c r="D21"/>
  <c r="D16"/>
  <c r="D24"/>
  <c r="D17"/>
  <c r="D23"/>
  <c r="D18"/>
  <c r="D22"/>
  <c r="D15"/>
  <c r="D19"/>
  <c r="D14"/>
  <c r="D12"/>
  <c r="D10"/>
  <c r="D11"/>
  <c r="D13"/>
  <c r="D9"/>
  <c r="D6"/>
  <c r="D7"/>
  <c r="D8"/>
  <c r="D5"/>
  <c r="D4"/>
  <c r="D3"/>
  <c r="B20" i="64"/>
  <c r="I19"/>
  <c r="C23"/>
  <c r="B23"/>
  <c r="C17"/>
  <c r="I17"/>
  <c r="F17" s="1"/>
  <c r="C11"/>
  <c r="I11"/>
  <c r="F11" s="1"/>
  <c r="I6"/>
  <c r="I5"/>
  <c r="E12" i="42"/>
  <c r="I3" i="64"/>
  <c r="D32"/>
  <c r="D31"/>
  <c r="D29"/>
  <c r="D30"/>
  <c r="D25"/>
  <c r="D28"/>
  <c r="D26"/>
  <c r="D24"/>
  <c r="D27"/>
  <c r="D12"/>
  <c r="D18"/>
  <c r="D20"/>
  <c r="D19"/>
  <c r="D16"/>
  <c r="D21"/>
  <c r="D23"/>
  <c r="D13"/>
  <c r="D17"/>
  <c r="D15"/>
  <c r="D22"/>
  <c r="D14"/>
  <c r="D11"/>
  <c r="D9"/>
  <c r="D10"/>
  <c r="D8"/>
  <c r="D6"/>
  <c r="D7"/>
  <c r="D5"/>
  <c r="D4"/>
  <c r="D3"/>
  <c r="J30" i="62"/>
  <c r="G30" s="1"/>
  <c r="B30"/>
  <c r="J31"/>
  <c r="G31" s="1"/>
  <c r="B31"/>
  <c r="J25"/>
  <c r="I23"/>
  <c r="I24"/>
  <c r="I19"/>
  <c r="I18"/>
  <c r="I20"/>
  <c r="D30"/>
  <c r="D32"/>
  <c r="D31"/>
  <c r="D29"/>
  <c r="D25"/>
  <c r="D28"/>
  <c r="D23"/>
  <c r="D26"/>
  <c r="D27"/>
  <c r="D24"/>
  <c r="D22"/>
  <c r="D19"/>
  <c r="D21"/>
  <c r="D18"/>
  <c r="D16"/>
  <c r="D20"/>
  <c r="D17"/>
  <c r="D12"/>
  <c r="D13"/>
  <c r="D10"/>
  <c r="D15"/>
  <c r="D8"/>
  <c r="D14"/>
  <c r="D9"/>
  <c r="D7"/>
  <c r="D11"/>
  <c r="D6"/>
  <c r="D5"/>
  <c r="D4"/>
  <c r="D3"/>
  <c r="O17" i="58"/>
  <c r="O16"/>
  <c r="O15"/>
  <c r="O14"/>
  <c r="O10"/>
  <c r="O13"/>
  <c r="O12"/>
  <c r="O11"/>
  <c r="O9"/>
  <c r="O6"/>
  <c r="O7"/>
  <c r="O8"/>
  <c r="O4"/>
  <c r="O5"/>
  <c r="C53" i="54"/>
  <c r="C52"/>
  <c r="C51"/>
  <c r="C50"/>
  <c r="C48"/>
  <c r="C47"/>
  <c r="C46"/>
  <c r="C45"/>
  <c r="C44"/>
  <c r="C43"/>
  <c r="K71"/>
  <c r="J71"/>
  <c r="A71"/>
  <c r="A70"/>
  <c r="K69"/>
  <c r="J69"/>
  <c r="A69"/>
  <c r="K68"/>
  <c r="J68"/>
  <c r="A68"/>
  <c r="A67"/>
  <c r="A66"/>
  <c r="K65"/>
  <c r="J65"/>
  <c r="A65"/>
  <c r="A64"/>
  <c r="A63"/>
  <c r="A62"/>
  <c r="A61"/>
  <c r="A60"/>
  <c r="K59"/>
  <c r="J59"/>
  <c r="E59"/>
  <c r="A59"/>
  <c r="A58"/>
  <c r="E56"/>
  <c r="H53"/>
  <c r="I53"/>
  <c r="P53" s="1"/>
  <c r="F53"/>
  <c r="E53"/>
  <c r="H52"/>
  <c r="I52"/>
  <c r="P52" s="1"/>
  <c r="F52"/>
  <c r="H51"/>
  <c r="N51" s="1"/>
  <c r="I51"/>
  <c r="P51" s="1"/>
  <c r="F51"/>
  <c r="H50"/>
  <c r="I50"/>
  <c r="P50" s="1"/>
  <c r="F50"/>
  <c r="H48"/>
  <c r="N48" s="1"/>
  <c r="I48"/>
  <c r="P48" s="1"/>
  <c r="I47"/>
  <c r="F47"/>
  <c r="H46"/>
  <c r="I46"/>
  <c r="P46" s="1"/>
  <c r="F46"/>
  <c r="H45"/>
  <c r="N45" s="1"/>
  <c r="I45"/>
  <c r="P45" s="1"/>
  <c r="F45"/>
  <c r="H44"/>
  <c r="I44"/>
  <c r="P44" s="1"/>
  <c r="F44"/>
  <c r="I43"/>
  <c r="P43" s="1"/>
  <c r="F43"/>
  <c r="B3" i="25"/>
  <c r="C3"/>
  <c r="D3"/>
  <c r="I3"/>
  <c r="F3" s="1"/>
  <c r="J3"/>
  <c r="G3" s="1"/>
  <c r="L3"/>
  <c r="M3"/>
  <c r="N3"/>
  <c r="B9"/>
  <c r="C9"/>
  <c r="D9"/>
  <c r="I9"/>
  <c r="F9" s="1"/>
  <c r="J9"/>
  <c r="G9" s="1"/>
  <c r="L9"/>
  <c r="M9"/>
  <c r="N9"/>
  <c r="B4"/>
  <c r="C4"/>
  <c r="D4"/>
  <c r="I4"/>
  <c r="F4" s="1"/>
  <c r="J4"/>
  <c r="G4" s="1"/>
  <c r="L4"/>
  <c r="M4"/>
  <c r="N4"/>
  <c r="B8"/>
  <c r="C8"/>
  <c r="D8"/>
  <c r="I8"/>
  <c r="F8" s="1"/>
  <c r="J8"/>
  <c r="H8" s="1"/>
  <c r="L8"/>
  <c r="M8"/>
  <c r="N8"/>
  <c r="B5"/>
  <c r="C5"/>
  <c r="D5"/>
  <c r="I5"/>
  <c r="F5" s="1"/>
  <c r="J5"/>
  <c r="G5" s="1"/>
  <c r="L5"/>
  <c r="M5"/>
  <c r="N5"/>
  <c r="B12"/>
  <c r="C12"/>
  <c r="D12"/>
  <c r="I12"/>
  <c r="F12" s="1"/>
  <c r="J12"/>
  <c r="H12" s="1"/>
  <c r="L12"/>
  <c r="M12"/>
  <c r="N12"/>
  <c r="B6"/>
  <c r="C6"/>
  <c r="D6"/>
  <c r="I6"/>
  <c r="F6" s="1"/>
  <c r="J6"/>
  <c r="G6" s="1"/>
  <c r="L6"/>
  <c r="M6"/>
  <c r="N6"/>
  <c r="B10"/>
  <c r="C10"/>
  <c r="D10"/>
  <c r="I10"/>
  <c r="F10" s="1"/>
  <c r="J10"/>
  <c r="H10" s="1"/>
  <c r="L10"/>
  <c r="M10"/>
  <c r="N10"/>
  <c r="B16"/>
  <c r="C16"/>
  <c r="K16" s="1"/>
  <c r="D16"/>
  <c r="I16"/>
  <c r="F16" s="1"/>
  <c r="J16"/>
  <c r="G16" s="1"/>
  <c r="L16"/>
  <c r="M16"/>
  <c r="N16"/>
  <c r="B19"/>
  <c r="C19"/>
  <c r="D19"/>
  <c r="I19"/>
  <c r="F19" s="1"/>
  <c r="J19"/>
  <c r="H19" s="1"/>
  <c r="L19"/>
  <c r="M19"/>
  <c r="N19"/>
  <c r="B7"/>
  <c r="C7"/>
  <c r="D7"/>
  <c r="I7"/>
  <c r="F7" s="1"/>
  <c r="J7"/>
  <c r="G7" s="1"/>
  <c r="L7"/>
  <c r="M7"/>
  <c r="N7"/>
  <c r="B15"/>
  <c r="C15"/>
  <c r="D15"/>
  <c r="I15"/>
  <c r="F15" s="1"/>
  <c r="J15"/>
  <c r="H15" s="1"/>
  <c r="L15"/>
  <c r="M15"/>
  <c r="N15"/>
  <c r="B18"/>
  <c r="C18"/>
  <c r="K18" s="1"/>
  <c r="D18"/>
  <c r="I18"/>
  <c r="F18" s="1"/>
  <c r="J18"/>
  <c r="G18" s="1"/>
  <c r="L18"/>
  <c r="M18"/>
  <c r="N18"/>
  <c r="B14"/>
  <c r="C14"/>
  <c r="D14"/>
  <c r="I14"/>
  <c r="F14" s="1"/>
  <c r="J14"/>
  <c r="H14" s="1"/>
  <c r="L14"/>
  <c r="M14"/>
  <c r="N14"/>
  <c r="B11"/>
  <c r="C11"/>
  <c r="D11"/>
  <c r="I11"/>
  <c r="F11" s="1"/>
  <c r="J11"/>
  <c r="G11" s="1"/>
  <c r="L11"/>
  <c r="M11"/>
  <c r="N11"/>
  <c r="B22"/>
  <c r="C22"/>
  <c r="D22"/>
  <c r="I22"/>
  <c r="F22" s="1"/>
  <c r="J22"/>
  <c r="H22" s="1"/>
  <c r="L22"/>
  <c r="M22"/>
  <c r="N22"/>
  <c r="B20"/>
  <c r="C20"/>
  <c r="D20"/>
  <c r="I20"/>
  <c r="F20" s="1"/>
  <c r="J20"/>
  <c r="G20" s="1"/>
  <c r="L20"/>
  <c r="M20"/>
  <c r="N20"/>
  <c r="B17"/>
  <c r="C17"/>
  <c r="D17"/>
  <c r="I17"/>
  <c r="F17" s="1"/>
  <c r="J17"/>
  <c r="G17" s="1"/>
  <c r="L17"/>
  <c r="M17"/>
  <c r="N17"/>
  <c r="B23"/>
  <c r="C23"/>
  <c r="D23"/>
  <c r="I23"/>
  <c r="F23" s="1"/>
  <c r="J23"/>
  <c r="G23" s="1"/>
  <c r="L23"/>
  <c r="M23"/>
  <c r="N23"/>
  <c r="B21"/>
  <c r="C21"/>
  <c r="D21"/>
  <c r="I21"/>
  <c r="F21" s="1"/>
  <c r="J21"/>
  <c r="H21" s="1"/>
  <c r="L21"/>
  <c r="M21"/>
  <c r="N21"/>
  <c r="B13"/>
  <c r="C13"/>
  <c r="K13" s="1"/>
  <c r="D13"/>
  <c r="I13"/>
  <c r="F13" s="1"/>
  <c r="J13"/>
  <c r="G13" s="1"/>
  <c r="L13"/>
  <c r="M13"/>
  <c r="N13"/>
  <c r="E5" i="42"/>
  <c r="E6"/>
  <c r="E7"/>
  <c r="E8"/>
  <c r="E9"/>
  <c r="F10"/>
  <c r="A7" i="41"/>
  <c r="E7"/>
  <c r="A8"/>
  <c r="E8"/>
  <c r="A9"/>
  <c r="E9"/>
  <c r="A10"/>
  <c r="E10"/>
  <c r="A11"/>
  <c r="E11"/>
  <c r="A12"/>
  <c r="E12"/>
  <c r="A13"/>
  <c r="E13"/>
  <c r="A14"/>
  <c r="E14"/>
  <c r="A15"/>
  <c r="E15"/>
  <c r="A16"/>
  <c r="E16"/>
  <c r="A17"/>
  <c r="E17"/>
  <c r="A18"/>
  <c r="E18"/>
  <c r="A19"/>
  <c r="E19"/>
  <c r="A20"/>
  <c r="E20"/>
  <c r="A21"/>
  <c r="N53" i="54"/>
  <c r="O53"/>
  <c r="E61"/>
  <c r="E63"/>
  <c r="E66"/>
  <c r="N44"/>
  <c r="O44"/>
  <c r="O45"/>
  <c r="N46"/>
  <c r="O46"/>
  <c r="O48"/>
  <c r="N50"/>
  <c r="O50"/>
  <c r="O51"/>
  <c r="N52"/>
  <c r="O52"/>
  <c r="F70"/>
  <c r="K70" s="1"/>
  <c r="Q44"/>
  <c r="Q45"/>
  <c r="Q46"/>
  <c r="Q48"/>
  <c r="Q50"/>
  <c r="Q51"/>
  <c r="Q52"/>
  <c r="E44"/>
  <c r="E45"/>
  <c r="E46"/>
  <c r="E48"/>
  <c r="E50"/>
  <c r="E51"/>
  <c r="E52"/>
  <c r="H11" i="25"/>
  <c r="E9"/>
  <c r="H13"/>
  <c r="H18"/>
  <c r="H16"/>
  <c r="H5"/>
  <c r="G21"/>
  <c r="G22"/>
  <c r="G14"/>
  <c r="G15"/>
  <c r="G19"/>
  <c r="G10"/>
  <c r="G12"/>
  <c r="G8"/>
  <c r="H9"/>
  <c r="B3" i="68" l="1"/>
  <c r="B4"/>
  <c r="J4"/>
  <c r="G4" s="1"/>
  <c r="I8"/>
  <c r="F8" s="1"/>
  <c r="C8"/>
  <c r="B10"/>
  <c r="I17"/>
  <c r="B15"/>
  <c r="C15"/>
  <c r="I12"/>
  <c r="I14"/>
  <c r="F14" s="1"/>
  <c r="C14"/>
  <c r="B11"/>
  <c r="I21"/>
  <c r="B22"/>
  <c r="C22"/>
  <c r="B25"/>
  <c r="J25"/>
  <c r="G25" s="1"/>
  <c r="I16"/>
  <c r="B23"/>
  <c r="K23" s="1"/>
  <c r="C23"/>
  <c r="B20"/>
  <c r="J20"/>
  <c r="G20" s="1"/>
  <c r="N24"/>
  <c r="I19"/>
  <c r="B29"/>
  <c r="C29"/>
  <c r="B28"/>
  <c r="J28"/>
  <c r="G28" s="1"/>
  <c r="I27"/>
  <c r="K5" i="25"/>
  <c r="I7" i="58"/>
  <c r="J7"/>
  <c r="G7" s="1"/>
  <c r="I11"/>
  <c r="E11" s="1"/>
  <c r="I13"/>
  <c r="E13" s="1"/>
  <c r="I16"/>
  <c r="F16" s="1"/>
  <c r="M20" i="68"/>
  <c r="M17" i="62"/>
  <c r="M16"/>
  <c r="M21"/>
  <c r="M22"/>
  <c r="M26"/>
  <c r="N28"/>
  <c r="M4" i="64"/>
  <c r="M7"/>
  <c r="M8"/>
  <c r="M10"/>
  <c r="M14"/>
  <c r="M22"/>
  <c r="M21"/>
  <c r="M16"/>
  <c r="N18"/>
  <c r="N4" i="66"/>
  <c r="N8"/>
  <c r="N6"/>
  <c r="N13"/>
  <c r="N10"/>
  <c r="N14"/>
  <c r="N15"/>
  <c r="M9" i="68"/>
  <c r="M13"/>
  <c r="N18"/>
  <c r="M30"/>
  <c r="N31"/>
  <c r="K23" i="64"/>
  <c r="E8" i="25"/>
  <c r="E10"/>
  <c r="E15"/>
  <c r="E21"/>
  <c r="E12"/>
  <c r="E10" i="42"/>
  <c r="K9" i="25"/>
  <c r="K3"/>
  <c r="E60" i="54"/>
  <c r="E62"/>
  <c r="E64"/>
  <c r="F67"/>
  <c r="K67" s="1"/>
  <c r="I7" i="60"/>
  <c r="F7" s="1"/>
  <c r="C7"/>
  <c r="B4"/>
  <c r="J4"/>
  <c r="G4" s="1"/>
  <c r="M6"/>
  <c r="N12"/>
  <c r="I15"/>
  <c r="F15" s="1"/>
  <c r="C15"/>
  <c r="I20"/>
  <c r="B22"/>
  <c r="N17"/>
  <c r="I24"/>
  <c r="I25"/>
  <c r="I29"/>
  <c r="I31"/>
  <c r="B32"/>
  <c r="C26" i="62"/>
  <c r="I3"/>
  <c r="B4"/>
  <c r="J4"/>
  <c r="G4" s="1"/>
  <c r="I5"/>
  <c r="B6"/>
  <c r="J6"/>
  <c r="G6" s="1"/>
  <c r="I11"/>
  <c r="B7"/>
  <c r="I14"/>
  <c r="I13"/>
  <c r="J17"/>
  <c r="B16"/>
  <c r="J16"/>
  <c r="G16" s="1"/>
  <c r="B21"/>
  <c r="J21"/>
  <c r="G21" s="1"/>
  <c r="B22"/>
  <c r="J22"/>
  <c r="G22" s="1"/>
  <c r="B27"/>
  <c r="I29"/>
  <c r="I32"/>
  <c r="I15" i="68"/>
  <c r="F15" s="1"/>
  <c r="B14"/>
  <c r="I11"/>
  <c r="C30"/>
  <c r="N6" i="58"/>
  <c r="N11"/>
  <c r="N13"/>
  <c r="N16"/>
  <c r="M29" i="66"/>
  <c r="N4" i="68"/>
  <c r="N5"/>
  <c r="L6"/>
  <c r="M10"/>
  <c r="M7"/>
  <c r="N9"/>
  <c r="N13"/>
  <c r="L12"/>
  <c r="L11"/>
  <c r="M18"/>
  <c r="M25"/>
  <c r="N26"/>
  <c r="M28"/>
  <c r="N30"/>
  <c r="M31"/>
  <c r="K22"/>
  <c r="K29"/>
  <c r="L5" i="60"/>
  <c r="M18"/>
  <c r="M16"/>
  <c r="N19"/>
  <c r="M27"/>
  <c r="M30"/>
  <c r="H3" i="25"/>
  <c r="E19"/>
  <c r="Q53" i="54"/>
  <c r="Q43"/>
  <c r="K11" i="25"/>
  <c r="K7"/>
  <c r="K6"/>
  <c r="K4"/>
  <c r="M4" i="60"/>
  <c r="C29" i="66"/>
  <c r="I3"/>
  <c r="F3" s="1"/>
  <c r="B4"/>
  <c r="I5"/>
  <c r="F5" s="1"/>
  <c r="B8"/>
  <c r="I7"/>
  <c r="F7" s="1"/>
  <c r="B6"/>
  <c r="I9"/>
  <c r="F9" s="1"/>
  <c r="B13"/>
  <c r="I11"/>
  <c r="F11" s="1"/>
  <c r="B10"/>
  <c r="I12"/>
  <c r="F12" s="1"/>
  <c r="B14"/>
  <c r="I19"/>
  <c r="F19" s="1"/>
  <c r="B15"/>
  <c r="I22"/>
  <c r="F22" s="1"/>
  <c r="B18"/>
  <c r="B23"/>
  <c r="K23" s="1"/>
  <c r="C23"/>
  <c r="I16"/>
  <c r="E16" s="1"/>
  <c r="B21"/>
  <c r="C21"/>
  <c r="B25"/>
  <c r="J25"/>
  <c r="G25" s="1"/>
  <c r="N20"/>
  <c r="I26"/>
  <c r="E26" s="1"/>
  <c r="B27"/>
  <c r="C27"/>
  <c r="B28"/>
  <c r="I30"/>
  <c r="E30" s="1"/>
  <c r="J10" i="68"/>
  <c r="G10" s="1"/>
  <c r="C18"/>
  <c r="C31"/>
  <c r="L23" i="60"/>
  <c r="M26"/>
  <c r="M28"/>
  <c r="H6" i="41"/>
  <c r="F6"/>
  <c r="E6"/>
  <c r="M3" i="60"/>
  <c r="M4" i="66"/>
  <c r="M8"/>
  <c r="M6"/>
  <c r="M13"/>
  <c r="M10"/>
  <c r="M14"/>
  <c r="M15"/>
  <c r="L18"/>
  <c r="M17"/>
  <c r="N24"/>
  <c r="M28"/>
  <c r="N31"/>
  <c r="N29"/>
  <c r="L32"/>
  <c r="H20" i="25"/>
  <c r="H4"/>
  <c r="H6"/>
  <c r="H7"/>
  <c r="E17"/>
  <c r="K23"/>
  <c r="K17"/>
  <c r="E20"/>
  <c r="K20"/>
  <c r="E18"/>
  <c r="K15"/>
  <c r="K12"/>
  <c r="E5"/>
  <c r="K8"/>
  <c r="N3" i="60"/>
  <c r="B24"/>
  <c r="B4" i="64"/>
  <c r="J4"/>
  <c r="G4" s="1"/>
  <c r="B7"/>
  <c r="J7"/>
  <c r="G7" s="1"/>
  <c r="B8"/>
  <c r="J8"/>
  <c r="G8" s="1"/>
  <c r="I32"/>
  <c r="M25" i="66"/>
  <c r="J28"/>
  <c r="G28" s="1"/>
  <c r="I4" i="68"/>
  <c r="B5"/>
  <c r="C5"/>
  <c r="B6"/>
  <c r="I10"/>
  <c r="B7"/>
  <c r="C7"/>
  <c r="B17"/>
  <c r="I9"/>
  <c r="B13"/>
  <c r="C13"/>
  <c r="B12"/>
  <c r="B18"/>
  <c r="B21"/>
  <c r="I25"/>
  <c r="B26"/>
  <c r="C26"/>
  <c r="B16"/>
  <c r="I20"/>
  <c r="B24"/>
  <c r="C24"/>
  <c r="B19"/>
  <c r="I28"/>
  <c r="B27"/>
  <c r="B30"/>
  <c r="B31"/>
  <c r="J70" i="54"/>
  <c r="E70"/>
  <c r="F66"/>
  <c r="K66" s="1"/>
  <c r="F63"/>
  <c r="J63" s="1"/>
  <c r="F58"/>
  <c r="K58" s="1"/>
  <c r="F61"/>
  <c r="K61" s="1"/>
  <c r="E67"/>
  <c r="J67"/>
  <c r="J58"/>
  <c r="J61"/>
  <c r="J66"/>
  <c r="F60"/>
  <c r="F62"/>
  <c r="F64"/>
  <c r="E14" i="25"/>
  <c r="M9" i="62"/>
  <c r="N8"/>
  <c r="L15"/>
  <c r="I5" i="60"/>
  <c r="B7"/>
  <c r="N4"/>
  <c r="N6"/>
  <c r="M12"/>
  <c r="B10"/>
  <c r="N9"/>
  <c r="B8"/>
  <c r="N14"/>
  <c r="N11"/>
  <c r="L13"/>
  <c r="B18"/>
  <c r="J18"/>
  <c r="G18" s="1"/>
  <c r="I21"/>
  <c r="F21" s="1"/>
  <c r="C21"/>
  <c r="H17" i="25"/>
  <c r="E22"/>
  <c r="E13"/>
  <c r="E16"/>
  <c r="K19"/>
  <c r="H23"/>
  <c r="K14"/>
  <c r="K21"/>
  <c r="K22"/>
  <c r="K10"/>
  <c r="E3"/>
  <c r="L7" i="62"/>
  <c r="M10"/>
  <c r="M25"/>
  <c r="N12"/>
  <c r="L27"/>
  <c r="M31"/>
  <c r="M30"/>
  <c r="J12" i="60"/>
  <c r="B3"/>
  <c r="C3"/>
  <c r="B5"/>
  <c r="I4"/>
  <c r="B6"/>
  <c r="C6"/>
  <c r="I12"/>
  <c r="I10"/>
  <c r="I9"/>
  <c r="I8"/>
  <c r="I14"/>
  <c r="C11"/>
  <c r="B13"/>
  <c r="B15"/>
  <c r="I18"/>
  <c r="C16"/>
  <c r="B20"/>
  <c r="I22"/>
  <c r="F22" s="1"/>
  <c r="I19"/>
  <c r="C17"/>
  <c r="B23"/>
  <c r="B21"/>
  <c r="B25"/>
  <c r="B29"/>
  <c r="B31"/>
  <c r="I32"/>
  <c r="M4" i="62"/>
  <c r="M6"/>
  <c r="C9"/>
  <c r="B3" i="64"/>
  <c r="N4"/>
  <c r="B5"/>
  <c r="N7"/>
  <c r="B6"/>
  <c r="N8"/>
  <c r="N10"/>
  <c r="I9"/>
  <c r="L9"/>
  <c r="B11"/>
  <c r="B14"/>
  <c r="J14"/>
  <c r="G14" s="1"/>
  <c r="I15"/>
  <c r="B17"/>
  <c r="I13"/>
  <c r="J13"/>
  <c r="G13" s="1"/>
  <c r="B21"/>
  <c r="J21"/>
  <c r="G21" s="1"/>
  <c r="I20"/>
  <c r="F20" s="1"/>
  <c r="C20"/>
  <c r="B18"/>
  <c r="I27"/>
  <c r="B24"/>
  <c r="C24"/>
  <c r="K24" s="1"/>
  <c r="B26"/>
  <c r="J26"/>
  <c r="G26" s="1"/>
  <c r="N28"/>
  <c r="I25"/>
  <c r="B30"/>
  <c r="C30"/>
  <c r="K30" s="1"/>
  <c r="B29"/>
  <c r="J29"/>
  <c r="G29" s="1"/>
  <c r="J4" i="66"/>
  <c r="G4" s="1"/>
  <c r="J8"/>
  <c r="G8" s="1"/>
  <c r="J6"/>
  <c r="G6" s="1"/>
  <c r="J13"/>
  <c r="G13" s="1"/>
  <c r="J10"/>
  <c r="G10" s="1"/>
  <c r="J14"/>
  <c r="G14" s="1"/>
  <c r="J15"/>
  <c r="G15" s="1"/>
  <c r="I4"/>
  <c r="I8"/>
  <c r="E8" s="1"/>
  <c r="I6"/>
  <c r="I13"/>
  <c r="E13" s="1"/>
  <c r="I10"/>
  <c r="I14"/>
  <c r="E14" s="1"/>
  <c r="I15"/>
  <c r="I17"/>
  <c r="F17" s="1"/>
  <c r="B24"/>
  <c r="C24"/>
  <c r="B16"/>
  <c r="I25"/>
  <c r="F25" s="1"/>
  <c r="B20"/>
  <c r="C20"/>
  <c r="B26"/>
  <c r="I28"/>
  <c r="F28" s="1"/>
  <c r="B31"/>
  <c r="C31"/>
  <c r="B30"/>
  <c r="B32"/>
  <c r="N3" i="68"/>
  <c r="L4"/>
  <c r="M6"/>
  <c r="N8"/>
  <c r="L10"/>
  <c r="M17"/>
  <c r="N15"/>
  <c r="L9"/>
  <c r="M12"/>
  <c r="N14"/>
  <c r="M11"/>
  <c r="M21"/>
  <c r="N22"/>
  <c r="M16"/>
  <c r="N23"/>
  <c r="M19"/>
  <c r="N29"/>
  <c r="M27"/>
  <c r="N3" i="66"/>
  <c r="M3"/>
  <c r="C3"/>
  <c r="K3" s="1"/>
  <c r="N5"/>
  <c r="M5"/>
  <c r="C5"/>
  <c r="K5" s="1"/>
  <c r="N7"/>
  <c r="M7"/>
  <c r="C7"/>
  <c r="N9"/>
  <c r="M9"/>
  <c r="C9"/>
  <c r="N11"/>
  <c r="M11"/>
  <c r="C11"/>
  <c r="N12"/>
  <c r="M12"/>
  <c r="C12"/>
  <c r="K12" s="1"/>
  <c r="N19"/>
  <c r="M19"/>
  <c r="C19"/>
  <c r="N22"/>
  <c r="M22"/>
  <c r="C22"/>
  <c r="K22" s="1"/>
  <c r="M18"/>
  <c r="N18"/>
  <c r="J18"/>
  <c r="M16"/>
  <c r="J16"/>
  <c r="G16" s="1"/>
  <c r="M26"/>
  <c r="J26"/>
  <c r="G26" s="1"/>
  <c r="M30"/>
  <c r="J30"/>
  <c r="G30" s="1"/>
  <c r="B29"/>
  <c r="K29" s="1"/>
  <c r="I29"/>
  <c r="M32"/>
  <c r="N32"/>
  <c r="J32"/>
  <c r="G32" s="1"/>
  <c r="N3" i="58"/>
  <c r="N5"/>
  <c r="C10" i="62"/>
  <c r="B3"/>
  <c r="N4"/>
  <c r="B5"/>
  <c r="N6"/>
  <c r="B11"/>
  <c r="I7"/>
  <c r="N9"/>
  <c r="L14"/>
  <c r="M8"/>
  <c r="I15"/>
  <c r="N10"/>
  <c r="L13"/>
  <c r="M12"/>
  <c r="N17"/>
  <c r="B20"/>
  <c r="N16"/>
  <c r="B18"/>
  <c r="N21"/>
  <c r="B19"/>
  <c r="N22"/>
  <c r="B24"/>
  <c r="I27"/>
  <c r="N26"/>
  <c r="L23"/>
  <c r="M28"/>
  <c r="N25"/>
  <c r="B29"/>
  <c r="N31"/>
  <c r="B32"/>
  <c r="N30"/>
  <c r="B13" i="64"/>
  <c r="M26"/>
  <c r="L4" i="66"/>
  <c r="L8"/>
  <c r="L6"/>
  <c r="L13"/>
  <c r="L10"/>
  <c r="L14"/>
  <c r="L15"/>
  <c r="N23"/>
  <c r="K24"/>
  <c r="N21"/>
  <c r="K20"/>
  <c r="N27"/>
  <c r="K31"/>
  <c r="M18" i="64"/>
  <c r="J18"/>
  <c r="G18" s="1"/>
  <c r="E3" i="66"/>
  <c r="E5"/>
  <c r="E7"/>
  <c r="E9"/>
  <c r="E11"/>
  <c r="E12"/>
  <c r="E19"/>
  <c r="E22"/>
  <c r="N14" i="64"/>
  <c r="N22"/>
  <c r="N16"/>
  <c r="L19"/>
  <c r="N12"/>
  <c r="M29"/>
  <c r="N31"/>
  <c r="L32"/>
  <c r="K26" i="68"/>
  <c r="K24"/>
  <c r="I4" i="64"/>
  <c r="I7"/>
  <c r="I8"/>
  <c r="B10"/>
  <c r="C10"/>
  <c r="B9"/>
  <c r="I14"/>
  <c r="B22"/>
  <c r="C22"/>
  <c r="B15"/>
  <c r="I21"/>
  <c r="B16"/>
  <c r="C16"/>
  <c r="B19"/>
  <c r="I18"/>
  <c r="B12"/>
  <c r="C12"/>
  <c r="B27"/>
  <c r="I26"/>
  <c r="B28"/>
  <c r="C28"/>
  <c r="B25"/>
  <c r="I29"/>
  <c r="B31"/>
  <c r="C31"/>
  <c r="B32"/>
  <c r="M3" i="68"/>
  <c r="I5"/>
  <c r="F5" s="1"/>
  <c r="J6"/>
  <c r="G6" s="1"/>
  <c r="N6"/>
  <c r="M8"/>
  <c r="I7"/>
  <c r="F7" s="1"/>
  <c r="J17"/>
  <c r="G17" s="1"/>
  <c r="N17"/>
  <c r="M15"/>
  <c r="I13"/>
  <c r="F13" s="1"/>
  <c r="J12"/>
  <c r="G12" s="1"/>
  <c r="N12"/>
  <c r="M14"/>
  <c r="J11"/>
  <c r="N11"/>
  <c r="I18"/>
  <c r="J21"/>
  <c r="G21" s="1"/>
  <c r="J16"/>
  <c r="G16" s="1"/>
  <c r="J19"/>
  <c r="G19" s="1"/>
  <c r="J27"/>
  <c r="G27" s="1"/>
  <c r="I30"/>
  <c r="I31"/>
  <c r="C8" i="62"/>
  <c r="K8" s="1"/>
  <c r="C12"/>
  <c r="C28"/>
  <c r="I4"/>
  <c r="I6"/>
  <c r="E6" s="1"/>
  <c r="B14"/>
  <c r="B15"/>
  <c r="B13"/>
  <c r="I16"/>
  <c r="E16" s="1"/>
  <c r="I21"/>
  <c r="I22"/>
  <c r="E22" s="1"/>
  <c r="B23"/>
  <c r="I31"/>
  <c r="E31" s="1"/>
  <c r="I30"/>
  <c r="B3" i="58"/>
  <c r="C4"/>
  <c r="N8"/>
  <c r="C7"/>
  <c r="C9"/>
  <c r="B11"/>
  <c r="C12"/>
  <c r="B13"/>
  <c r="C10"/>
  <c r="N14"/>
  <c r="I15"/>
  <c r="E15" s="1"/>
  <c r="B16"/>
  <c r="M5" i="60"/>
  <c r="N7"/>
  <c r="L4"/>
  <c r="L12"/>
  <c r="N26"/>
  <c r="N27"/>
  <c r="N30"/>
  <c r="N28"/>
  <c r="N3" i="64"/>
  <c r="L4"/>
  <c r="N5"/>
  <c r="L7"/>
  <c r="N6"/>
  <c r="L8"/>
  <c r="M9"/>
  <c r="N11"/>
  <c r="L14"/>
  <c r="M15"/>
  <c r="N17"/>
  <c r="M13"/>
  <c r="N23"/>
  <c r="M19"/>
  <c r="N20"/>
  <c r="L18"/>
  <c r="M27"/>
  <c r="N24"/>
  <c r="M25"/>
  <c r="N30"/>
  <c r="M32"/>
  <c r="J15" i="58"/>
  <c r="C15"/>
  <c r="I17"/>
  <c r="B17"/>
  <c r="G12" i="60"/>
  <c r="H12"/>
  <c r="F10"/>
  <c r="E10"/>
  <c r="F8"/>
  <c r="E8"/>
  <c r="F32"/>
  <c r="E32"/>
  <c r="E23" i="25"/>
  <c r="E11"/>
  <c r="E7"/>
  <c r="E6"/>
  <c r="E4"/>
  <c r="M3" i="58"/>
  <c r="N17"/>
  <c r="I3"/>
  <c r="F3" s="1"/>
  <c r="J4"/>
  <c r="G4" s="1"/>
  <c r="N4"/>
  <c r="J9"/>
  <c r="G9" s="1"/>
  <c r="N9"/>
  <c r="J12"/>
  <c r="G12" s="1"/>
  <c r="N12"/>
  <c r="J10"/>
  <c r="G10" s="1"/>
  <c r="N10"/>
  <c r="N15"/>
  <c r="C17"/>
  <c r="J17"/>
  <c r="N10" i="60"/>
  <c r="M10"/>
  <c r="N8"/>
  <c r="M8"/>
  <c r="C8"/>
  <c r="K8" s="1"/>
  <c r="B11"/>
  <c r="I11"/>
  <c r="F11" s="1"/>
  <c r="M13"/>
  <c r="N13"/>
  <c r="J13"/>
  <c r="G13" s="1"/>
  <c r="N15"/>
  <c r="M15"/>
  <c r="B16"/>
  <c r="I16"/>
  <c r="F16" s="1"/>
  <c r="M20"/>
  <c r="N20"/>
  <c r="J20"/>
  <c r="G20" s="1"/>
  <c r="N22"/>
  <c r="M22"/>
  <c r="B17"/>
  <c r="I17"/>
  <c r="F17" s="1"/>
  <c r="M23"/>
  <c r="N23"/>
  <c r="J23"/>
  <c r="G23" s="1"/>
  <c r="N21"/>
  <c r="M21"/>
  <c r="M24"/>
  <c r="N24"/>
  <c r="J24"/>
  <c r="B26"/>
  <c r="I26"/>
  <c r="M25"/>
  <c r="N25"/>
  <c r="J25"/>
  <c r="G25" s="1"/>
  <c r="B27"/>
  <c r="I27"/>
  <c r="M29"/>
  <c r="N29"/>
  <c r="J29"/>
  <c r="G29" s="1"/>
  <c r="B30"/>
  <c r="I30"/>
  <c r="M31"/>
  <c r="N31"/>
  <c r="J31"/>
  <c r="G31" s="1"/>
  <c r="B28"/>
  <c r="I28"/>
  <c r="N32"/>
  <c r="M32"/>
  <c r="C32"/>
  <c r="F3" i="62"/>
  <c r="E3"/>
  <c r="F5"/>
  <c r="E5"/>
  <c r="F11"/>
  <c r="E11"/>
  <c r="G25"/>
  <c r="H25"/>
  <c r="F29"/>
  <c r="E29"/>
  <c r="F32"/>
  <c r="E32"/>
  <c r="L9" i="60"/>
  <c r="L14"/>
  <c r="L18"/>
  <c r="L19"/>
  <c r="K12" i="64"/>
  <c r="K28"/>
  <c r="K31"/>
  <c r="G17" i="62"/>
  <c r="H17"/>
  <c r="F20"/>
  <c r="E20"/>
  <c r="F18"/>
  <c r="E18"/>
  <c r="F19"/>
  <c r="E19"/>
  <c r="F24"/>
  <c r="E24"/>
  <c r="N3"/>
  <c r="M3"/>
  <c r="C3"/>
  <c r="N5"/>
  <c r="M5"/>
  <c r="C5"/>
  <c r="K5" s="1"/>
  <c r="N11"/>
  <c r="M11"/>
  <c r="C11"/>
  <c r="M7"/>
  <c r="N7"/>
  <c r="J7"/>
  <c r="B9"/>
  <c r="I9"/>
  <c r="M14"/>
  <c r="N14"/>
  <c r="J14"/>
  <c r="G14" s="1"/>
  <c r="B8"/>
  <c r="I8"/>
  <c r="M15"/>
  <c r="N15"/>
  <c r="J15"/>
  <c r="G15" s="1"/>
  <c r="B10"/>
  <c r="K10" s="1"/>
  <c r="I10"/>
  <c r="M13"/>
  <c r="N13"/>
  <c r="J13"/>
  <c r="G13" s="1"/>
  <c r="B12"/>
  <c r="I12"/>
  <c r="I17"/>
  <c r="E17" s="1"/>
  <c r="B17"/>
  <c r="N20"/>
  <c r="M20"/>
  <c r="C20"/>
  <c r="K20" s="1"/>
  <c r="N18"/>
  <c r="M18"/>
  <c r="C18"/>
  <c r="N19"/>
  <c r="M19"/>
  <c r="C19"/>
  <c r="K19" s="1"/>
  <c r="N24"/>
  <c r="M24"/>
  <c r="C24"/>
  <c r="K24" s="1"/>
  <c r="M27"/>
  <c r="N27"/>
  <c r="J27"/>
  <c r="B26"/>
  <c r="K26" s="1"/>
  <c r="I26"/>
  <c r="M23"/>
  <c r="N23"/>
  <c r="J23"/>
  <c r="G23" s="1"/>
  <c r="B28"/>
  <c r="I28"/>
  <c r="I25"/>
  <c r="E25" s="1"/>
  <c r="B25"/>
  <c r="N29"/>
  <c r="M29"/>
  <c r="C29"/>
  <c r="K29" s="1"/>
  <c r="N32"/>
  <c r="M32"/>
  <c r="C32"/>
  <c r="K32" s="1"/>
  <c r="F3" i="64"/>
  <c r="E3"/>
  <c r="F5"/>
  <c r="E5"/>
  <c r="F6"/>
  <c r="E6"/>
  <c r="L17" i="58"/>
  <c r="M15"/>
  <c r="I3" i="60"/>
  <c r="F3" s="1"/>
  <c r="J5"/>
  <c r="G5" s="1"/>
  <c r="N5"/>
  <c r="M7"/>
  <c r="I6"/>
  <c r="F6" s="1"/>
  <c r="B12"/>
  <c r="C10"/>
  <c r="K10" s="1"/>
  <c r="B9"/>
  <c r="J9"/>
  <c r="G9" s="1"/>
  <c r="M9"/>
  <c r="B14"/>
  <c r="J14"/>
  <c r="G14" s="1"/>
  <c r="M14"/>
  <c r="M11"/>
  <c r="I13"/>
  <c r="F13" s="1"/>
  <c r="N18"/>
  <c r="N16"/>
  <c r="L20"/>
  <c r="C22"/>
  <c r="K22" s="1"/>
  <c r="B19"/>
  <c r="J19"/>
  <c r="G19" s="1"/>
  <c r="M19"/>
  <c r="M17"/>
  <c r="I23"/>
  <c r="L24"/>
  <c r="C26"/>
  <c r="L25"/>
  <c r="C27"/>
  <c r="L29"/>
  <c r="C30"/>
  <c r="K30" s="1"/>
  <c r="L31"/>
  <c r="C28"/>
  <c r="K9" i="62"/>
  <c r="L4"/>
  <c r="L6"/>
  <c r="L17"/>
  <c r="L16"/>
  <c r="L21"/>
  <c r="L22"/>
  <c r="L25"/>
  <c r="L31"/>
  <c r="L30"/>
  <c r="C3" i="64"/>
  <c r="K3" s="1"/>
  <c r="M3"/>
  <c r="C5"/>
  <c r="K5" s="1"/>
  <c r="M5"/>
  <c r="C6"/>
  <c r="K6" s="1"/>
  <c r="M6"/>
  <c r="I10"/>
  <c r="F10" s="1"/>
  <c r="J9"/>
  <c r="G9" s="1"/>
  <c r="N9"/>
  <c r="M11"/>
  <c r="I22"/>
  <c r="F22" s="1"/>
  <c r="J15"/>
  <c r="G15" s="1"/>
  <c r="M17"/>
  <c r="L13"/>
  <c r="I16"/>
  <c r="F16" s="1"/>
  <c r="J19"/>
  <c r="G19" s="1"/>
  <c r="N19"/>
  <c r="M20"/>
  <c r="J27"/>
  <c r="G27" s="1"/>
  <c r="J25"/>
  <c r="G25" s="1"/>
  <c r="J32"/>
  <c r="G32" s="1"/>
  <c r="N32"/>
  <c r="H13" i="66"/>
  <c r="H8" i="64"/>
  <c r="E10"/>
  <c r="K11"/>
  <c r="E11"/>
  <c r="M5" i="58"/>
  <c r="M4"/>
  <c r="M8"/>
  <c r="M7"/>
  <c r="M6"/>
  <c r="M9"/>
  <c r="M12"/>
  <c r="M13"/>
  <c r="M10"/>
  <c r="M14"/>
  <c r="E7" i="60"/>
  <c r="K6"/>
  <c r="E11"/>
  <c r="H18"/>
  <c r="E16"/>
  <c r="E17"/>
  <c r="H4" i="62"/>
  <c r="H21"/>
  <c r="H4" i="64"/>
  <c r="H14"/>
  <c r="E17"/>
  <c r="H19"/>
  <c r="E20"/>
  <c r="H8" i="66"/>
  <c r="H14"/>
  <c r="H4" i="68"/>
  <c r="E5"/>
  <c r="H10"/>
  <c r="E7"/>
  <c r="H9"/>
  <c r="E13"/>
  <c r="K3"/>
  <c r="E3"/>
  <c r="H6"/>
  <c r="K8"/>
  <c r="E8"/>
  <c r="H17"/>
  <c r="K15"/>
  <c r="E15"/>
  <c r="H12"/>
  <c r="K14"/>
  <c r="E14"/>
  <c r="E4"/>
  <c r="F4"/>
  <c r="E6"/>
  <c r="F6"/>
  <c r="E17"/>
  <c r="F17"/>
  <c r="E12"/>
  <c r="F12"/>
  <c r="E25"/>
  <c r="F25"/>
  <c r="E20"/>
  <c r="F20"/>
  <c r="E28"/>
  <c r="F28"/>
  <c r="K5"/>
  <c r="K7"/>
  <c r="K13"/>
  <c r="K18"/>
  <c r="K30"/>
  <c r="E10"/>
  <c r="F10"/>
  <c r="E9"/>
  <c r="F9"/>
  <c r="E11"/>
  <c r="F11"/>
  <c r="E21"/>
  <c r="F21"/>
  <c r="E16"/>
  <c r="F16"/>
  <c r="E19"/>
  <c r="F19"/>
  <c r="E27"/>
  <c r="F27"/>
  <c r="K31"/>
  <c r="H21"/>
  <c r="L25"/>
  <c r="N25"/>
  <c r="I26"/>
  <c r="M26"/>
  <c r="H16"/>
  <c r="I23"/>
  <c r="M23"/>
  <c r="H20"/>
  <c r="L19"/>
  <c r="N19"/>
  <c r="I29"/>
  <c r="M29"/>
  <c r="H28"/>
  <c r="L27"/>
  <c r="N27"/>
  <c r="L21"/>
  <c r="N21"/>
  <c r="I22"/>
  <c r="M22"/>
  <c r="H25"/>
  <c r="L16"/>
  <c r="N16"/>
  <c r="L20"/>
  <c r="N20"/>
  <c r="I24"/>
  <c r="M24"/>
  <c r="H19"/>
  <c r="L28"/>
  <c r="N28"/>
  <c r="H27"/>
  <c r="J3"/>
  <c r="L3"/>
  <c r="C4"/>
  <c r="K4" s="1"/>
  <c r="J5"/>
  <c r="L5"/>
  <c r="C6"/>
  <c r="K6" s="1"/>
  <c r="J8"/>
  <c r="L8"/>
  <c r="C10"/>
  <c r="K10" s="1"/>
  <c r="J7"/>
  <c r="L7"/>
  <c r="C17"/>
  <c r="K17" s="1"/>
  <c r="J15"/>
  <c r="L15"/>
  <c r="C9"/>
  <c r="K9" s="1"/>
  <c r="J13"/>
  <c r="L13"/>
  <c r="C12"/>
  <c r="K12" s="1"/>
  <c r="J14"/>
  <c r="L14"/>
  <c r="C11"/>
  <c r="K11" s="1"/>
  <c r="J18"/>
  <c r="L18"/>
  <c r="C21"/>
  <c r="K21" s="1"/>
  <c r="J22"/>
  <c r="L22"/>
  <c r="C25"/>
  <c r="K25" s="1"/>
  <c r="J26"/>
  <c r="L26"/>
  <c r="C16"/>
  <c r="K16" s="1"/>
  <c r="J23"/>
  <c r="L23"/>
  <c r="C20"/>
  <c r="K20" s="1"/>
  <c r="J24"/>
  <c r="L24"/>
  <c r="C19"/>
  <c r="K19" s="1"/>
  <c r="J29"/>
  <c r="L29"/>
  <c r="C28"/>
  <c r="K28" s="1"/>
  <c r="C27"/>
  <c r="K27" s="1"/>
  <c r="J30"/>
  <c r="L30"/>
  <c r="J31"/>
  <c r="L31"/>
  <c r="H4" i="66"/>
  <c r="H10"/>
  <c r="E4"/>
  <c r="F4"/>
  <c r="E6"/>
  <c r="F6"/>
  <c r="E10"/>
  <c r="F10"/>
  <c r="E15"/>
  <c r="F15"/>
  <c r="E17"/>
  <c r="E25"/>
  <c r="E28"/>
  <c r="E32"/>
  <c r="F32"/>
  <c r="K7"/>
  <c r="K11"/>
  <c r="K19"/>
  <c r="F8"/>
  <c r="F13"/>
  <c r="F14"/>
  <c r="E18"/>
  <c r="F18"/>
  <c r="F16"/>
  <c r="F26"/>
  <c r="F30"/>
  <c r="K9"/>
  <c r="I23"/>
  <c r="M23"/>
  <c r="H17"/>
  <c r="L16"/>
  <c r="N16"/>
  <c r="I21"/>
  <c r="M21"/>
  <c r="L26"/>
  <c r="N26"/>
  <c r="I27"/>
  <c r="M27"/>
  <c r="H28"/>
  <c r="L30"/>
  <c r="N30"/>
  <c r="L17"/>
  <c r="N17"/>
  <c r="I24"/>
  <c r="M24"/>
  <c r="H16"/>
  <c r="L25"/>
  <c r="N25"/>
  <c r="I20"/>
  <c r="M20"/>
  <c r="H26"/>
  <c r="L28"/>
  <c r="N28"/>
  <c r="I31"/>
  <c r="M31"/>
  <c r="H30"/>
  <c r="J3"/>
  <c r="L3"/>
  <c r="C4"/>
  <c r="K4" s="1"/>
  <c r="J5"/>
  <c r="L5"/>
  <c r="C8"/>
  <c r="K8" s="1"/>
  <c r="J7"/>
  <c r="L7"/>
  <c r="C6"/>
  <c r="K6" s="1"/>
  <c r="J9"/>
  <c r="L9"/>
  <c r="C13"/>
  <c r="K13" s="1"/>
  <c r="J11"/>
  <c r="L11"/>
  <c r="C10"/>
  <c r="K10" s="1"/>
  <c r="J12"/>
  <c r="L12"/>
  <c r="C14"/>
  <c r="K14" s="1"/>
  <c r="J19"/>
  <c r="L19"/>
  <c r="C15"/>
  <c r="K15" s="1"/>
  <c r="J22"/>
  <c r="L22"/>
  <c r="C18"/>
  <c r="K18" s="1"/>
  <c r="J23"/>
  <c r="L23"/>
  <c r="C17"/>
  <c r="K17" s="1"/>
  <c r="J24"/>
  <c r="L24"/>
  <c r="C16"/>
  <c r="K16" s="1"/>
  <c r="J21"/>
  <c r="L21"/>
  <c r="C25"/>
  <c r="K25" s="1"/>
  <c r="J20"/>
  <c r="L20"/>
  <c r="C26"/>
  <c r="K26" s="1"/>
  <c r="J27"/>
  <c r="L27"/>
  <c r="C28"/>
  <c r="K28" s="1"/>
  <c r="J31"/>
  <c r="L31"/>
  <c r="C30"/>
  <c r="K30" s="1"/>
  <c r="J29"/>
  <c r="L29"/>
  <c r="C32"/>
  <c r="K32" s="1"/>
  <c r="H7" i="64"/>
  <c r="H13"/>
  <c r="K16"/>
  <c r="H18"/>
  <c r="E4"/>
  <c r="F4"/>
  <c r="E8"/>
  <c r="F8"/>
  <c r="E14"/>
  <c r="F14"/>
  <c r="E7"/>
  <c r="F7"/>
  <c r="E9"/>
  <c r="F9"/>
  <c r="E21"/>
  <c r="F21"/>
  <c r="E18"/>
  <c r="F18"/>
  <c r="E26"/>
  <c r="F26"/>
  <c r="E29"/>
  <c r="F29"/>
  <c r="K10"/>
  <c r="K22"/>
  <c r="K17"/>
  <c r="K20"/>
  <c r="E15"/>
  <c r="F15"/>
  <c r="E13"/>
  <c r="F13"/>
  <c r="E19"/>
  <c r="F19"/>
  <c r="E27"/>
  <c r="F27"/>
  <c r="E25"/>
  <c r="F25"/>
  <c r="E32"/>
  <c r="F32"/>
  <c r="L15"/>
  <c r="N15"/>
  <c r="N13"/>
  <c r="I23"/>
  <c r="M23"/>
  <c r="H21"/>
  <c r="H27"/>
  <c r="L26"/>
  <c r="N26"/>
  <c r="I28"/>
  <c r="M28"/>
  <c r="H25"/>
  <c r="L29"/>
  <c r="N29"/>
  <c r="I31"/>
  <c r="M31"/>
  <c r="H32"/>
  <c r="H15"/>
  <c r="L21"/>
  <c r="N21"/>
  <c r="I12"/>
  <c r="M12"/>
  <c r="L27"/>
  <c r="N27"/>
  <c r="I24"/>
  <c r="M24"/>
  <c r="H26"/>
  <c r="L25"/>
  <c r="N25"/>
  <c r="I30"/>
  <c r="M30"/>
  <c r="H29"/>
  <c r="J3"/>
  <c r="L3"/>
  <c r="C4"/>
  <c r="K4" s="1"/>
  <c r="J5"/>
  <c r="L5"/>
  <c r="C7"/>
  <c r="K7" s="1"/>
  <c r="J6"/>
  <c r="L6"/>
  <c r="C8"/>
  <c r="K8" s="1"/>
  <c r="J10"/>
  <c r="L10"/>
  <c r="C9"/>
  <c r="K9" s="1"/>
  <c r="J11"/>
  <c r="L11"/>
  <c r="C14"/>
  <c r="K14" s="1"/>
  <c r="J22"/>
  <c r="L22"/>
  <c r="C15"/>
  <c r="K15" s="1"/>
  <c r="J17"/>
  <c r="L17"/>
  <c r="C13"/>
  <c r="K13" s="1"/>
  <c r="J23"/>
  <c r="L23"/>
  <c r="C21"/>
  <c r="K21" s="1"/>
  <c r="J16"/>
  <c r="L16"/>
  <c r="C19"/>
  <c r="K19" s="1"/>
  <c r="J20"/>
  <c r="L20"/>
  <c r="C18"/>
  <c r="K18" s="1"/>
  <c r="J12"/>
  <c r="L12"/>
  <c r="C27"/>
  <c r="K27" s="1"/>
  <c r="J24"/>
  <c r="L24"/>
  <c r="C26"/>
  <c r="K26" s="1"/>
  <c r="J28"/>
  <c r="L28"/>
  <c r="C25"/>
  <c r="K25" s="1"/>
  <c r="J30"/>
  <c r="L30"/>
  <c r="C29"/>
  <c r="K29" s="1"/>
  <c r="J31"/>
  <c r="L31"/>
  <c r="C32"/>
  <c r="K32" s="1"/>
  <c r="H6" i="62"/>
  <c r="H14"/>
  <c r="H13"/>
  <c r="H16"/>
  <c r="H22"/>
  <c r="H31"/>
  <c r="F6"/>
  <c r="E14"/>
  <c r="F14"/>
  <c r="E13"/>
  <c r="F13"/>
  <c r="F16"/>
  <c r="F22"/>
  <c r="E23"/>
  <c r="F23"/>
  <c r="F31"/>
  <c r="E30"/>
  <c r="F30"/>
  <c r="E4"/>
  <c r="F4"/>
  <c r="E7"/>
  <c r="F7"/>
  <c r="E15"/>
  <c r="F15"/>
  <c r="E21"/>
  <c r="F21"/>
  <c r="E27"/>
  <c r="F27"/>
  <c r="F25"/>
  <c r="K3"/>
  <c r="K11"/>
  <c r="K12"/>
  <c r="K18"/>
  <c r="K28"/>
  <c r="H30"/>
  <c r="J3"/>
  <c r="L3"/>
  <c r="C4"/>
  <c r="K4" s="1"/>
  <c r="J5"/>
  <c r="L5"/>
  <c r="C6"/>
  <c r="K6" s="1"/>
  <c r="J11"/>
  <c r="L11"/>
  <c r="C7"/>
  <c r="K7" s="1"/>
  <c r="J9"/>
  <c r="L9"/>
  <c r="C14"/>
  <c r="K14" s="1"/>
  <c r="J8"/>
  <c r="L8"/>
  <c r="C15"/>
  <c r="K15" s="1"/>
  <c r="J10"/>
  <c r="L10"/>
  <c r="C13"/>
  <c r="K13" s="1"/>
  <c r="J12"/>
  <c r="L12"/>
  <c r="C17"/>
  <c r="K17" s="1"/>
  <c r="J20"/>
  <c r="L20"/>
  <c r="C16"/>
  <c r="K16" s="1"/>
  <c r="J18"/>
  <c r="L18"/>
  <c r="C21"/>
  <c r="K21" s="1"/>
  <c r="J19"/>
  <c r="L19"/>
  <c r="C22"/>
  <c r="K22" s="1"/>
  <c r="J24"/>
  <c r="L24"/>
  <c r="C27"/>
  <c r="K27" s="1"/>
  <c r="J26"/>
  <c r="L26"/>
  <c r="C23"/>
  <c r="K23" s="1"/>
  <c r="J28"/>
  <c r="L28"/>
  <c r="C25"/>
  <c r="K25" s="1"/>
  <c r="J29"/>
  <c r="L29"/>
  <c r="C31"/>
  <c r="K31" s="1"/>
  <c r="J32"/>
  <c r="L32"/>
  <c r="C30"/>
  <c r="K30" s="1"/>
  <c r="K3" i="60"/>
  <c r="H4"/>
  <c r="H13"/>
  <c r="K15"/>
  <c r="E15"/>
  <c r="H20"/>
  <c r="E22"/>
  <c r="H23"/>
  <c r="K21"/>
  <c r="E21"/>
  <c r="H25"/>
  <c r="H31"/>
  <c r="E5"/>
  <c r="F5"/>
  <c r="E4"/>
  <c r="F4"/>
  <c r="E9"/>
  <c r="F9"/>
  <c r="E13"/>
  <c r="E20"/>
  <c r="F20"/>
  <c r="E23"/>
  <c r="F23"/>
  <c r="E25"/>
  <c r="F25"/>
  <c r="E31"/>
  <c r="F31"/>
  <c r="K7"/>
  <c r="K11"/>
  <c r="K16"/>
  <c r="K17"/>
  <c r="K26"/>
  <c r="K32"/>
  <c r="E12"/>
  <c r="F12"/>
  <c r="E14"/>
  <c r="F14"/>
  <c r="E18"/>
  <c r="F18"/>
  <c r="E19"/>
  <c r="F19"/>
  <c r="E24"/>
  <c r="F24"/>
  <c r="E29"/>
  <c r="F29"/>
  <c r="J3"/>
  <c r="L3"/>
  <c r="C5"/>
  <c r="K5" s="1"/>
  <c r="J7"/>
  <c r="L7"/>
  <c r="C4"/>
  <c r="K4" s="1"/>
  <c r="J6"/>
  <c r="L6"/>
  <c r="C12"/>
  <c r="K12" s="1"/>
  <c r="J10"/>
  <c r="L10"/>
  <c r="C9"/>
  <c r="K9" s="1"/>
  <c r="J8"/>
  <c r="L8"/>
  <c r="C14"/>
  <c r="J11"/>
  <c r="L11"/>
  <c r="C13"/>
  <c r="K13" s="1"/>
  <c r="J15"/>
  <c r="L15"/>
  <c r="C18"/>
  <c r="K18" s="1"/>
  <c r="J16"/>
  <c r="L16"/>
  <c r="C20"/>
  <c r="K20" s="1"/>
  <c r="J22"/>
  <c r="L22"/>
  <c r="C19"/>
  <c r="K19" s="1"/>
  <c r="J17"/>
  <c r="L17"/>
  <c r="C23"/>
  <c r="K23" s="1"/>
  <c r="J21"/>
  <c r="L21"/>
  <c r="C24"/>
  <c r="K24" s="1"/>
  <c r="J26"/>
  <c r="L26"/>
  <c r="C25"/>
  <c r="K25" s="1"/>
  <c r="J27"/>
  <c r="L27"/>
  <c r="C29"/>
  <c r="K29" s="1"/>
  <c r="J30"/>
  <c r="L30"/>
  <c r="C31"/>
  <c r="K31" s="1"/>
  <c r="J28"/>
  <c r="L28"/>
  <c r="J32"/>
  <c r="L32"/>
  <c r="E3" i="58"/>
  <c r="E16"/>
  <c r="F15"/>
  <c r="E7"/>
  <c r="F7"/>
  <c r="B5"/>
  <c r="I5"/>
  <c r="H4"/>
  <c r="B8"/>
  <c r="I8"/>
  <c r="H7"/>
  <c r="L7"/>
  <c r="N7"/>
  <c r="B6"/>
  <c r="I6"/>
  <c r="H9"/>
  <c r="H12"/>
  <c r="H10"/>
  <c r="L15"/>
  <c r="C3"/>
  <c r="K3" s="1"/>
  <c r="J3"/>
  <c r="L3"/>
  <c r="C5"/>
  <c r="J5"/>
  <c r="L5"/>
  <c r="B4"/>
  <c r="K4" s="1"/>
  <c r="I4"/>
  <c r="E4" s="1"/>
  <c r="C8"/>
  <c r="J8"/>
  <c r="L8"/>
  <c r="B7"/>
  <c r="K7" s="1"/>
  <c r="C6"/>
  <c r="K6" s="1"/>
  <c r="J6"/>
  <c r="L6"/>
  <c r="B9"/>
  <c r="K9" s="1"/>
  <c r="I9"/>
  <c r="C11"/>
  <c r="K11" s="1"/>
  <c r="F11"/>
  <c r="J11"/>
  <c r="L11"/>
  <c r="B12"/>
  <c r="K12" s="1"/>
  <c r="I12"/>
  <c r="C13"/>
  <c r="K13" s="1"/>
  <c r="J13"/>
  <c r="L13"/>
  <c r="B10"/>
  <c r="K10" s="1"/>
  <c r="I10"/>
  <c r="C14"/>
  <c r="J14"/>
  <c r="L14"/>
  <c r="B15"/>
  <c r="K15" s="1"/>
  <c r="C16"/>
  <c r="K16" s="1"/>
  <c r="J16"/>
  <c r="L16"/>
  <c r="M17"/>
  <c r="L4"/>
  <c r="L9"/>
  <c r="M11"/>
  <c r="L12"/>
  <c r="L10"/>
  <c r="B14"/>
  <c r="I14"/>
  <c r="M16"/>
  <c r="H25" i="66" l="1"/>
  <c r="H15"/>
  <c r="H6"/>
  <c r="K27"/>
  <c r="K21"/>
  <c r="E16" i="64"/>
  <c r="F17" i="62"/>
  <c r="H15"/>
  <c r="H29" i="60"/>
  <c r="K28"/>
  <c r="K14"/>
  <c r="H9"/>
  <c r="E3"/>
  <c r="K27"/>
  <c r="F13" i="58"/>
  <c r="H32" i="66"/>
  <c r="K17" i="58"/>
  <c r="K63" i="54"/>
  <c r="K64"/>
  <c r="J64"/>
  <c r="K60"/>
  <c r="J60"/>
  <c r="K62"/>
  <c r="J62"/>
  <c r="H9" i="64"/>
  <c r="H23" i="62"/>
  <c r="F31" i="68"/>
  <c r="E31"/>
  <c r="F18"/>
  <c r="E18"/>
  <c r="G11"/>
  <c r="H11"/>
  <c r="F30"/>
  <c r="E30"/>
  <c r="F29" i="66"/>
  <c r="E29"/>
  <c r="G18"/>
  <c r="H18"/>
  <c r="H19" i="60"/>
  <c r="E6"/>
  <c r="K5" i="58"/>
  <c r="E22" i="64"/>
  <c r="F26" i="62"/>
  <c r="E26"/>
  <c r="G27"/>
  <c r="H27"/>
  <c r="F10"/>
  <c r="E10"/>
  <c r="F9"/>
  <c r="E9"/>
  <c r="G7"/>
  <c r="H7"/>
  <c r="F30" i="60"/>
  <c r="E30"/>
  <c r="F26"/>
  <c r="E26"/>
  <c r="G24"/>
  <c r="H24"/>
  <c r="F28" i="62"/>
  <c r="E28"/>
  <c r="F12"/>
  <c r="E12"/>
  <c r="F8"/>
  <c r="E8"/>
  <c r="F28" i="60"/>
  <c r="E28"/>
  <c r="F27"/>
  <c r="E27"/>
  <c r="G17" i="58"/>
  <c r="H17"/>
  <c r="E17"/>
  <c r="F17"/>
  <c r="G15"/>
  <c r="H15"/>
  <c r="K8"/>
  <c r="H14" i="60"/>
  <c r="H5"/>
  <c r="H31" i="68"/>
  <c r="G31"/>
  <c r="H24"/>
  <c r="G24"/>
  <c r="H26"/>
  <c r="G26"/>
  <c r="H18"/>
  <c r="G18"/>
  <c r="H13"/>
  <c r="G13"/>
  <c r="H7"/>
  <c r="G7"/>
  <c r="H5"/>
  <c r="G5"/>
  <c r="F22"/>
  <c r="E22"/>
  <c r="F23"/>
  <c r="E23"/>
  <c r="H30"/>
  <c r="G30"/>
  <c r="H29"/>
  <c r="G29"/>
  <c r="H23"/>
  <c r="G23"/>
  <c r="H22"/>
  <c r="G22"/>
  <c r="H14"/>
  <c r="G14"/>
  <c r="H15"/>
  <c r="G15"/>
  <c r="H8"/>
  <c r="G8"/>
  <c r="H3"/>
  <c r="G3"/>
  <c r="F24"/>
  <c r="E24"/>
  <c r="F29"/>
  <c r="E29"/>
  <c r="F26"/>
  <c r="E26"/>
  <c r="H29" i="66"/>
  <c r="G29"/>
  <c r="H27"/>
  <c r="G27"/>
  <c r="H21"/>
  <c r="G21"/>
  <c r="H23"/>
  <c r="G23"/>
  <c r="H19"/>
  <c r="G19"/>
  <c r="H11"/>
  <c r="G11"/>
  <c r="H7"/>
  <c r="G7"/>
  <c r="H3"/>
  <c r="G3"/>
  <c r="F20"/>
  <c r="E20"/>
  <c r="F27"/>
  <c r="E27"/>
  <c r="F23"/>
  <c r="E23"/>
  <c r="H31"/>
  <c r="G31"/>
  <c r="H20"/>
  <c r="G20"/>
  <c r="H24"/>
  <c r="G24"/>
  <c r="H22"/>
  <c r="G22"/>
  <c r="H12"/>
  <c r="G12"/>
  <c r="H9"/>
  <c r="G9"/>
  <c r="H5"/>
  <c r="G5"/>
  <c r="F31"/>
  <c r="E31"/>
  <c r="F24"/>
  <c r="E24"/>
  <c r="F21"/>
  <c r="E21"/>
  <c r="H31" i="64"/>
  <c r="G31"/>
  <c r="H28"/>
  <c r="G28"/>
  <c r="H12"/>
  <c r="G12"/>
  <c r="H16"/>
  <c r="G16"/>
  <c r="H17"/>
  <c r="G17"/>
  <c r="H11"/>
  <c r="G11"/>
  <c r="H6"/>
  <c r="G6"/>
  <c r="H3"/>
  <c r="G3"/>
  <c r="F24"/>
  <c r="E24"/>
  <c r="F12"/>
  <c r="E12"/>
  <c r="F31"/>
  <c r="E31"/>
  <c r="H30"/>
  <c r="G30"/>
  <c r="H24"/>
  <c r="G24"/>
  <c r="H20"/>
  <c r="G20"/>
  <c r="H23"/>
  <c r="G23"/>
  <c r="H22"/>
  <c r="G22"/>
  <c r="H10"/>
  <c r="G10"/>
  <c r="H5"/>
  <c r="G5"/>
  <c r="F30"/>
  <c r="E30"/>
  <c r="F28"/>
  <c r="E28"/>
  <c r="F23"/>
  <c r="E23"/>
  <c r="H32" i="62"/>
  <c r="G32"/>
  <c r="H28"/>
  <c r="G28"/>
  <c r="H24"/>
  <c r="G24"/>
  <c r="H18"/>
  <c r="G18"/>
  <c r="H12"/>
  <c r="G12"/>
  <c r="H8"/>
  <c r="G8"/>
  <c r="H11"/>
  <c r="G11"/>
  <c r="H3"/>
  <c r="G3"/>
  <c r="H29"/>
  <c r="G29"/>
  <c r="H26"/>
  <c r="G26"/>
  <c r="H19"/>
  <c r="G19"/>
  <c r="H20"/>
  <c r="G20"/>
  <c r="H10"/>
  <c r="G10"/>
  <c r="H9"/>
  <c r="G9"/>
  <c r="H5"/>
  <c r="G5"/>
  <c r="H28" i="60"/>
  <c r="G28"/>
  <c r="H27"/>
  <c r="G27"/>
  <c r="H21"/>
  <c r="G21"/>
  <c r="H22"/>
  <c r="G22"/>
  <c r="H15"/>
  <c r="G15"/>
  <c r="H8"/>
  <c r="G8"/>
  <c r="H6"/>
  <c r="G6"/>
  <c r="H3"/>
  <c r="G3"/>
  <c r="H32"/>
  <c r="G32"/>
  <c r="H30"/>
  <c r="G30"/>
  <c r="H26"/>
  <c r="G26"/>
  <c r="H17"/>
  <c r="G17"/>
  <c r="H16"/>
  <c r="G16"/>
  <c r="H11"/>
  <c r="G11"/>
  <c r="H10"/>
  <c r="G10"/>
  <c r="H7"/>
  <c r="G7"/>
  <c r="G16" i="58"/>
  <c r="H16"/>
  <c r="G14"/>
  <c r="H14"/>
  <c r="E10"/>
  <c r="F10"/>
  <c r="E12"/>
  <c r="F12"/>
  <c r="E9"/>
  <c r="F9"/>
  <c r="H5"/>
  <c r="G5"/>
  <c r="F8"/>
  <c r="E8"/>
  <c r="E14"/>
  <c r="F14"/>
  <c r="G13"/>
  <c r="H13"/>
  <c r="G11"/>
  <c r="H11"/>
  <c r="H6"/>
  <c r="G6"/>
  <c r="H8"/>
  <c r="G8"/>
  <c r="F4"/>
  <c r="G3"/>
  <c r="H3"/>
  <c r="F6"/>
  <c r="E6"/>
  <c r="F5"/>
  <c r="E5"/>
  <c r="K14"/>
  <c r="E47" i="54" l="1"/>
  <c r="E43"/>
  <c r="H43"/>
  <c r="O43" s="1"/>
  <c r="N43" l="1"/>
</calcChain>
</file>

<file path=xl/sharedStrings.xml><?xml version="1.0" encoding="utf-8"?>
<sst xmlns="http://schemas.openxmlformats.org/spreadsheetml/2006/main" count="3648" uniqueCount="782">
  <si>
    <r>
      <t xml:space="preserve">1.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</si>
  <si>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r>
      <t xml:space="preserve">2. Some percentages are based on </t>
    </r>
    <r>
      <rPr>
        <b/>
        <sz val="8"/>
        <rFont val="Arial"/>
        <family val="2"/>
      </rPr>
      <t>very</t>
    </r>
    <r>
      <rPr>
        <sz val="8"/>
        <rFont val="Arial"/>
        <family val="2"/>
      </rPr>
      <t xml:space="preserve"> </t>
    </r>
    <r>
      <rPr>
        <b/>
        <sz val="8"/>
        <rFont val="Arial"/>
        <family val="2"/>
      </rPr>
      <t>small numbers</t>
    </r>
    <r>
      <rPr>
        <sz val="8"/>
        <rFont val="Arial"/>
        <family val="2"/>
      </rPr>
      <t xml:space="preserve"> (see numbers in brackets on axis) and </t>
    </r>
    <r>
      <rPr>
        <b/>
        <sz val="8"/>
        <rFont val="Arial"/>
        <family val="2"/>
      </rPr>
      <t>should be interpreted with caution.</t>
    </r>
  </si>
  <si>
    <r>
      <t xml:space="preserve">4.  In some instances, </t>
    </r>
    <r>
      <rPr>
        <b/>
        <sz val="8"/>
        <rFont val="Arial"/>
        <family val="2"/>
      </rPr>
      <t xml:space="preserve">data entered into eSSCA are assigned to admitting hospitals other than the main acute hospitals </t>
    </r>
    <r>
      <rPr>
        <sz val="8"/>
        <rFont val="Arial"/>
        <family val="2"/>
      </rPr>
      <t>participating in the Scottish Stroke Care Audit. Data for these hospitals are combined with data for their respective main acute hospitals.</t>
    </r>
  </si>
  <si>
    <t>&gt;60&lt;=75 mins</t>
  </si>
  <si>
    <t>3. Data for this table are derived from the ‘admission hospital’ field (inpatient dataset).</t>
  </si>
  <si>
    <t>2. A small proportion of records could not be assigned to a Health Board because they were either for non-Scottish residents or there was insufficient information to allow their assignment to a Health Board (e.g. partial or incorrect postcode).</t>
  </si>
  <si>
    <r>
      <t xml:space="preserve">5. </t>
    </r>
    <r>
      <rPr>
        <b/>
        <sz val="8"/>
        <rFont val="Arial"/>
        <family val="2"/>
      </rPr>
      <t>Some hospitals admitted ischaemic stroke patients for thrombolysis but did not thrombolyse any patients within the time spans included in this chart</t>
    </r>
    <r>
      <rPr>
        <sz val="8"/>
        <rFont val="Arial"/>
        <family val="2"/>
      </rPr>
      <t>. These hospitals are included in the chart denominator but show as zero percent with regard to the time spans analysed.</t>
    </r>
  </si>
  <si>
    <r>
      <t xml:space="preserve">2. Due to the number of beds within some of the hospitals indicated (*) and the </t>
    </r>
    <r>
      <rPr>
        <b/>
        <sz val="8"/>
        <rFont val="Arial"/>
        <family val="2"/>
      </rPr>
      <t>small numbers of stroke admissions to these hospitals it is not practical to have a defined</t>
    </r>
  </si>
  <si>
    <r>
      <t xml:space="preserve">    </t>
    </r>
    <r>
      <rPr>
        <b/>
        <sz val="8"/>
        <rFont val="Arial"/>
        <family val="2"/>
      </rPr>
      <t>Stroke Unit</t>
    </r>
    <r>
      <rPr>
        <sz val="8"/>
        <rFont val="Arial"/>
        <family val="2"/>
      </rPr>
      <t xml:space="preserve">. We have </t>
    </r>
    <r>
      <rPr>
        <b/>
        <sz val="8"/>
        <rFont val="Arial"/>
        <family val="2"/>
      </rPr>
      <t>confirmed however that a defined stroke pathway is in place in these hospitals</t>
    </r>
    <r>
      <rPr>
        <sz val="8"/>
        <rFont val="Arial"/>
        <family val="2"/>
      </rPr>
      <t xml:space="preserve"> and that the Scottish Stroke Care Standards criteria are established within that pathway.</t>
    </r>
  </si>
  <si>
    <r>
      <t xml:space="preserve">3.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</si>
  <si>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r>
      <t xml:space="preserve">1. </t>
    </r>
    <r>
      <rPr>
        <b/>
        <sz val="8"/>
        <color indexed="8"/>
        <rFont val="Arial"/>
        <family val="2"/>
      </rPr>
      <t xml:space="preserve">Data presented are for hospitals using eSSCA where all relevant dates </t>
    </r>
    <r>
      <rPr>
        <sz val="8"/>
        <color indexed="8"/>
        <rFont val="Arial"/>
        <family val="2"/>
      </rPr>
      <t>(last event, referral, referral-received, appointment and examination)</t>
    </r>
    <r>
      <rPr>
        <b/>
        <sz val="8"/>
        <color indexed="8"/>
        <rFont val="Arial"/>
        <family val="2"/>
      </rPr>
      <t xml:space="preserve"> are present and ordered chronologically</t>
    </r>
    <r>
      <rPr>
        <sz val="8"/>
        <color indexed="8"/>
        <rFont val="Arial"/>
        <family val="2"/>
      </rPr>
      <t>.</t>
    </r>
  </si>
  <si>
    <r>
      <t xml:space="preserve">2. Patients in Borders, Orkney, Shetland &amp; Western Isles are </t>
    </r>
    <r>
      <rPr>
        <b/>
        <sz val="8"/>
        <rFont val="Arial"/>
        <family val="2"/>
      </rPr>
      <t>treated in other Health Boards</t>
    </r>
    <r>
      <rPr>
        <sz val="8"/>
        <rFont val="Arial"/>
        <family val="2"/>
      </rPr>
      <t xml:space="preserve"> as part of their respective carotid intervention pathways.</t>
    </r>
  </si>
  <si>
    <r>
      <t xml:space="preserve">1. </t>
    </r>
    <r>
      <rPr>
        <b/>
        <sz val="8"/>
        <rFont val="Arial"/>
        <family val="2"/>
      </rPr>
      <t>The denominator for the admission to Stroke Unit excludes</t>
    </r>
    <r>
      <rPr>
        <sz val="8"/>
        <rFont val="Arial"/>
        <family val="2"/>
      </rPr>
      <t>: in-hospital strokes, patients discharged within 1 day and transfers in from another hospital.</t>
    </r>
  </si>
  <si>
    <t>Horizontal solid line reflects Scottish Stroke Care Standard (2013) of 90% of stroke patients to receive a brain scan within 24 hours of admission.</t>
  </si>
  <si>
    <r>
      <t xml:space="preserve">1. Note that a </t>
    </r>
    <r>
      <rPr>
        <b/>
        <sz val="8"/>
        <rFont val="Arial"/>
        <family val="2"/>
      </rPr>
      <t xml:space="preserve">small proportion of records are excluded from this table because of missing or invalid dates or anomalies </t>
    </r>
    <r>
      <rPr>
        <sz val="8"/>
        <rFont val="Arial"/>
        <family val="2"/>
      </rPr>
      <t>in the chronology from date of: admission, Stroke Unit admission/discharge</t>
    </r>
  </si>
  <si>
    <t>Upper
CI</t>
  </si>
  <si>
    <t>Lower
CI</t>
  </si>
  <si>
    <t>&lt;= 14 days</t>
  </si>
  <si>
    <r>
      <t>Within 4 Days: Confidence Interval</t>
    </r>
    <r>
      <rPr>
        <b/>
        <vertAlign val="superscript"/>
        <sz val="8"/>
        <color indexed="9"/>
        <rFont val="Arial"/>
        <family val="2"/>
      </rPr>
      <t>†</t>
    </r>
  </si>
  <si>
    <t>NHS Board</t>
  </si>
  <si>
    <t>Number of patients</t>
  </si>
  <si>
    <t>Stroke Standard</t>
  </si>
  <si>
    <t>CI
2012</t>
  </si>
  <si>
    <t>CI
2013</t>
  </si>
  <si>
    <t>Difference in %</t>
  </si>
  <si>
    <t>Statistically Significant</t>
  </si>
  <si>
    <t>Chart Axis</t>
  </si>
  <si>
    <t>Hospital</t>
  </si>
  <si>
    <t>Numerator</t>
  </si>
  <si>
    <t>Denominator</t>
  </si>
  <si>
    <t>Borders</t>
  </si>
  <si>
    <t>Lanarkshire</t>
  </si>
  <si>
    <t>Fife</t>
  </si>
  <si>
    <t>Dumfries &amp; Galloway</t>
  </si>
  <si>
    <t>Tayside</t>
  </si>
  <si>
    <t>Ayrshire &amp; Arran</t>
  </si>
  <si>
    <t>Grampian</t>
  </si>
  <si>
    <t>Forth Valley</t>
  </si>
  <si>
    <t>Highland</t>
  </si>
  <si>
    <t>Western Isles</t>
  </si>
  <si>
    <t>Lothian</t>
  </si>
  <si>
    <t>Shetland</t>
  </si>
  <si>
    <t>Greater Glasgow &amp; Clyde</t>
  </si>
  <si>
    <t>Orkney</t>
  </si>
  <si>
    <t>Percentage</t>
  </si>
  <si>
    <t>LCI</t>
  </si>
  <si>
    <t>UCI</t>
  </si>
  <si>
    <t>Horizontal line reflects Scottish Stroke Care Standard (2013) of 90% of stroke patients swallow screened on day of admission.</t>
  </si>
  <si>
    <t>return to List of Tables &amp; Charts</t>
  </si>
  <si>
    <t>NHSQIS 60%</t>
  </si>
  <si>
    <t>NHSQIS 90%</t>
  </si>
  <si>
    <t>(a) Same Day</t>
  </si>
  <si>
    <t>(b) 1 Day*</t>
  </si>
  <si>
    <t>(c) 2 Days*</t>
  </si>
  <si>
    <t>Same Day</t>
  </si>
  <si>
    <r>
      <t>Confidence Interval</t>
    </r>
    <r>
      <rPr>
        <b/>
        <vertAlign val="superscript"/>
        <sz val="8"/>
        <color indexed="9"/>
        <rFont val="Arial"/>
        <family val="2"/>
      </rPr>
      <t>†</t>
    </r>
  </si>
  <si>
    <t>Within 1 Day</t>
  </si>
  <si>
    <t>Within 2 Days</t>
  </si>
  <si>
    <t>1 Day</t>
  </si>
  <si>
    <t>2 Days</t>
  </si>
  <si>
    <t>Ayr Hospital</t>
  </si>
  <si>
    <t>Ayr</t>
  </si>
  <si>
    <t>Crosshouse Hospital</t>
  </si>
  <si>
    <t>Crosshouse</t>
  </si>
  <si>
    <t>Crosshouse Hospital, Kilmarnock</t>
  </si>
  <si>
    <t>Borders General Hospital</t>
  </si>
  <si>
    <t>Borders General Hospital, Melrose</t>
  </si>
  <si>
    <t>Dumfries &amp; Galloway Royal Infirmary</t>
  </si>
  <si>
    <t>DGRI</t>
  </si>
  <si>
    <t>Dumfries &amp; Galloway Royal Infirmary (DGRI)</t>
  </si>
  <si>
    <t>Galloway Community Hospital</t>
  </si>
  <si>
    <t>GCH</t>
  </si>
  <si>
    <t>Galloway Community Hospital (GCH)</t>
  </si>
  <si>
    <t>Victoria Hospital</t>
  </si>
  <si>
    <t>Victoria Hospital, Kirkcaldy (VHK)</t>
  </si>
  <si>
    <t>Forth Valley Royal Hospital</t>
  </si>
  <si>
    <t>Forth Valley Royal Hospital, Larbert (FVRH)</t>
  </si>
  <si>
    <t>Aberdeen Royal Infirmary</t>
  </si>
  <si>
    <t>Aberdeen Royal Infirmary (ARI)</t>
  </si>
  <si>
    <t>Dr Gray's Hospital</t>
  </si>
  <si>
    <t>Dr Grays</t>
  </si>
  <si>
    <t>Dr Gray's Hospital, Elgin</t>
  </si>
  <si>
    <t>Glasgow Royal Infirmary</t>
  </si>
  <si>
    <t>Glasgow Royal Infirmary (GRI)</t>
  </si>
  <si>
    <t>Inverclyde Royal Hospital</t>
  </si>
  <si>
    <t>IRH</t>
  </si>
  <si>
    <t>Inverclyde Royal Hospital, Greenock (IRH)</t>
  </si>
  <si>
    <t>Royal Alexandra Hospital</t>
  </si>
  <si>
    <t>Royal Alexandra Hospital, Paisley (RAH)</t>
  </si>
  <si>
    <t>Western Infirmary/Gartnavel General</t>
  </si>
  <si>
    <t>WIG</t>
  </si>
  <si>
    <t>Belford Hospital</t>
  </si>
  <si>
    <t>Belford</t>
  </si>
  <si>
    <t>Belford Hospital, Fort William</t>
  </si>
  <si>
    <t>Caithness General Hospital</t>
  </si>
  <si>
    <t>Caithness</t>
  </si>
  <si>
    <t>Caithness General Hospital, Wick</t>
  </si>
  <si>
    <t>Lorn &amp; Islands Hospital</t>
  </si>
  <si>
    <t>L&amp;I</t>
  </si>
  <si>
    <t>Lorn &amp; Islands Hospital, Oban</t>
  </si>
  <si>
    <t>Raigmore Hospital</t>
  </si>
  <si>
    <t>Raigmore</t>
  </si>
  <si>
    <t>Raigmore Hospital, Inverness</t>
  </si>
  <si>
    <t>Hairmyres Hospital</t>
  </si>
  <si>
    <t>Hairmyres</t>
  </si>
  <si>
    <t>Hairmyres Hospital, East Kilbride</t>
  </si>
  <si>
    <t>Monklands Hospital</t>
  </si>
  <si>
    <t>Monklands</t>
  </si>
  <si>
    <t>Monklands Hospital, Coatbridge</t>
  </si>
  <si>
    <t>Wishaw General Hospital</t>
  </si>
  <si>
    <t>Wishaw</t>
  </si>
  <si>
    <t>Royal Infirmary of Edinburgh</t>
  </si>
  <si>
    <t>RIE</t>
  </si>
  <si>
    <t>Royal Infirmary of Edinburgh at Little France (RIE)</t>
  </si>
  <si>
    <t>St John's Hospital</t>
  </si>
  <si>
    <t>SJH</t>
  </si>
  <si>
    <t>St John's Hospital, Livingston (SJH)</t>
  </si>
  <si>
    <t>Western General Hospital</t>
  </si>
  <si>
    <t>WGH</t>
  </si>
  <si>
    <t>Western General Hospital, Edinburgh (WGH)</t>
  </si>
  <si>
    <t>Balfour Hospital</t>
  </si>
  <si>
    <t>Balfour</t>
  </si>
  <si>
    <t>Balfour Hospital, Orkney</t>
  </si>
  <si>
    <t>Gilbert Bain Hospital</t>
  </si>
  <si>
    <t>Gilbert Bain</t>
  </si>
  <si>
    <t>Gilbert Bain Hospital, Shetland</t>
  </si>
  <si>
    <t>Ninewells Hospital</t>
  </si>
  <si>
    <t>Ninewells</t>
  </si>
  <si>
    <t>Ninewells Hospital, Dundee</t>
  </si>
  <si>
    <t>Perth Royal Infirmary</t>
  </si>
  <si>
    <t>PRI</t>
  </si>
  <si>
    <t>Perth Royal Infirmary (PRI)</t>
  </si>
  <si>
    <t>Uist &amp; Barra Hospital</t>
  </si>
  <si>
    <t>Uist &amp; Barra</t>
  </si>
  <si>
    <t>Uist &amp; Barra Hospital, Benbecula</t>
  </si>
  <si>
    <t>Western Isles Hospital</t>
  </si>
  <si>
    <t>Western Isles Hospital (WIH)</t>
  </si>
  <si>
    <t>Scotland</t>
  </si>
  <si>
    <t>NHS Board Summary</t>
  </si>
  <si>
    <t>(b) 2 Days*</t>
  </si>
  <si>
    <t>NHS board of hospital</t>
  </si>
  <si>
    <t>%</t>
  </si>
  <si>
    <t>† Confidence intervals calculated using method described in: ALTMAN et al (2000) Statistics with confidence 2nd edition chapter 6 pp 46-47. ISBN 0727913751.</t>
  </si>
  <si>
    <t>NHSQIS 100%</t>
  </si>
  <si>
    <t>NHSQIS 80%</t>
  </si>
  <si>
    <t>(b) within 4 hours</t>
  </si>
  <si>
    <t>(c) within 12 hours</t>
  </si>
  <si>
    <t>(d) within 18 hours</t>
  </si>
  <si>
    <t>(e) within 24 hours</t>
  </si>
  <si>
    <t>(f) over 24 hours</t>
  </si>
  <si>
    <t>Within 4 hours</t>
  </si>
  <si>
    <t>Within 12 hours</t>
  </si>
  <si>
    <t>Within 18 hours</t>
  </si>
  <si>
    <t>Within 24 hours</t>
  </si>
  <si>
    <t>Over 24 hours</t>
  </si>
  <si>
    <t>4&lt;12H</t>
  </si>
  <si>
    <t>12&lt;18H</t>
  </si>
  <si>
    <t>18&lt;24H</t>
  </si>
  <si>
    <t>12&lt;24</t>
  </si>
  <si>
    <r>
      <t>Fife</t>
    </r>
    <r>
      <rPr>
        <vertAlign val="superscript"/>
        <sz val="10"/>
        <rFont val="Arial"/>
        <family val="2"/>
      </rPr>
      <t>3</t>
    </r>
  </si>
  <si>
    <r>
      <t>Forth Valley</t>
    </r>
    <r>
      <rPr>
        <vertAlign val="superscript"/>
        <sz val="10"/>
        <rFont val="Arial"/>
        <family val="2"/>
      </rPr>
      <t>3</t>
    </r>
  </si>
  <si>
    <r>
      <t>Grampian</t>
    </r>
    <r>
      <rPr>
        <vertAlign val="superscript"/>
        <sz val="10"/>
        <rFont val="Arial"/>
        <family val="2"/>
      </rPr>
      <t>3</t>
    </r>
  </si>
  <si>
    <r>
      <t>Greater Glasgow &amp; Clyde</t>
    </r>
    <r>
      <rPr>
        <vertAlign val="superscript"/>
        <sz val="10"/>
        <rFont val="Arial"/>
        <family val="2"/>
      </rPr>
      <t>3</t>
    </r>
  </si>
  <si>
    <r>
      <t>Orkney</t>
    </r>
    <r>
      <rPr>
        <vertAlign val="superscript"/>
        <sz val="10"/>
        <rFont val="Arial"/>
        <family val="2"/>
      </rPr>
      <t>1</t>
    </r>
  </si>
  <si>
    <r>
      <t>Western Isles</t>
    </r>
    <r>
      <rPr>
        <vertAlign val="superscript"/>
        <sz val="10"/>
        <rFont val="Arial"/>
        <family val="2"/>
      </rPr>
      <t>2</t>
    </r>
  </si>
  <si>
    <r>
      <t>Confidence Interval</t>
    </r>
    <r>
      <rPr>
        <b/>
        <vertAlign val="superscript"/>
        <sz val="10"/>
        <color indexed="9"/>
        <rFont val="Arial"/>
        <family val="2"/>
      </rPr>
      <t>†</t>
    </r>
  </si>
  <si>
    <t>(c) 2-4 Days*</t>
  </si>
  <si>
    <t>(d) 5-7 Days*</t>
  </si>
  <si>
    <t>(e) &lt;=7 days**</t>
  </si>
  <si>
    <t>Within 4 Days</t>
  </si>
  <si>
    <t>Within 7 Days</t>
  </si>
  <si>
    <t>2-4 Days</t>
  </si>
  <si>
    <t>5-7 Days</t>
  </si>
  <si>
    <t>&lt;=7 Days</t>
  </si>
  <si>
    <t>Queen Margaret Hospital</t>
  </si>
  <si>
    <t>QMH</t>
  </si>
  <si>
    <t>Queen Margaret Hospital, Dunfermline (QMH)</t>
  </si>
  <si>
    <t>VHK</t>
  </si>
  <si>
    <t>ARI</t>
  </si>
  <si>
    <t>Stracathro Hospital</t>
  </si>
  <si>
    <t>Stracathro</t>
  </si>
  <si>
    <t>Total</t>
  </si>
  <si>
    <t>Confidence Interval</t>
  </si>
  <si>
    <t>Horizontal line reflects Scottish Stroke Care Standard (2013) of 80% of stroke patients thrombolysed within 1 hour of arrival at first hospital.</t>
  </si>
  <si>
    <t>Within 60 mins</t>
  </si>
  <si>
    <t>Within 75 mins</t>
  </si>
  <si>
    <t>FVRH</t>
  </si>
  <si>
    <t>GRI</t>
  </si>
  <si>
    <t>RAH</t>
  </si>
  <si>
    <t>Horizontal line reflects Scottish Stroke Care Standard (2013) of 80% of patients undergoing carotid endarterectomy for symptomatic carotid stenosis have the operation within 14 days of the stroke event.</t>
  </si>
  <si>
    <t>Within 14 days</t>
  </si>
  <si>
    <t>Stroke Care Standard</t>
  </si>
  <si>
    <t>SU0
LCI</t>
  </si>
  <si>
    <t>SU0
UCI</t>
  </si>
  <si>
    <t>Forth Valley Royal Hospital (Larbert)</t>
  </si>
  <si>
    <t>Royal Infirmary of Edinburgh at Little France</t>
  </si>
  <si>
    <t>Borders*</t>
  </si>
  <si>
    <t>Orkney*</t>
  </si>
  <si>
    <t>Shetland*</t>
  </si>
  <si>
    <t>Western Isles*</t>
  </si>
  <si>
    <t>* Patients in Borders, Orkney, Shetland &amp; Western Isles are treated in other NHS boards as part of their respective carotid intervention pathways.</t>
  </si>
  <si>
    <t>click here for the SSCA web site where PDF copies of the National Report and Public Summary may be viewed</t>
  </si>
  <si>
    <t>Table/ Chart Number</t>
  </si>
  <si>
    <t>Title</t>
  </si>
  <si>
    <t>Page number in printed report</t>
  </si>
  <si>
    <t>Stroke Unit Information.</t>
  </si>
  <si>
    <t>Table 2</t>
  </si>
  <si>
    <t>Table 5</t>
  </si>
  <si>
    <t>Table 6</t>
  </si>
  <si>
    <t>Chart 1a</t>
  </si>
  <si>
    <t>Chart 1b</t>
  </si>
  <si>
    <t>Chart 2a</t>
  </si>
  <si>
    <t>Chart 2b</t>
  </si>
  <si>
    <t>Chart 2c</t>
  </si>
  <si>
    <t>Chart 2d</t>
  </si>
  <si>
    <t>Chart 3</t>
  </si>
  <si>
    <t>Chart 4</t>
  </si>
  <si>
    <t>Chart 5</t>
  </si>
  <si>
    <t>Chart 6</t>
  </si>
  <si>
    <t>Chart 7</t>
  </si>
  <si>
    <t>Chart 8</t>
  </si>
  <si>
    <t>Chart 9</t>
  </si>
  <si>
    <t>Chart 10</t>
  </si>
  <si>
    <t>Chart 11</t>
  </si>
  <si>
    <t>Chart 12</t>
  </si>
  <si>
    <t>Chart 13</t>
  </si>
  <si>
    <t>Square marker (□) on chart indicates percentage of stroke patients who spent part of their stay in a Stroke Unit.</t>
  </si>
  <si>
    <t>Notes regarding chart 13:</t>
  </si>
  <si>
    <t>% stayed in SU during stay</t>
  </si>
  <si>
    <t>% pre SU</t>
  </si>
  <si>
    <t>% in SU</t>
  </si>
  <si>
    <t>% Acute/Integrated</t>
  </si>
  <si>
    <t>% Rehab</t>
  </si>
  <si>
    <t>% post SU</t>
  </si>
  <si>
    <t>% no SU</t>
  </si>
  <si>
    <t>Duration &amp; Proportion of Stay in Stroke Unit (SU)</t>
  </si>
  <si>
    <t>Number admitted to a stroke unit  (SU) during their stay</t>
  </si>
  <si>
    <t>Percentage admitted to a stroke unit (SU) during their stay</t>
  </si>
  <si>
    <t>Total Stay (days)</t>
  </si>
  <si>
    <t>Mean Stay (days)</t>
  </si>
  <si>
    <t>Total SU Stay (days)</t>
  </si>
  <si>
    <t>Mean SU Stay (days)</t>
  </si>
  <si>
    <t>Total Stay Pre-SU (days)</t>
  </si>
  <si>
    <t>% Total Stay Pre-SU</t>
  </si>
  <si>
    <t>Mean Pre-SU stay (days) (delay to SU admission)</t>
  </si>
  <si>
    <t>% Total Stay in SU</t>
  </si>
  <si>
    <t>Total Stay Acute/Integrated SU (days)</t>
  </si>
  <si>
    <t>% Total Stay Acute/Integrated SU</t>
  </si>
  <si>
    <t>Total Stay Rehab SU (Days)</t>
  </si>
  <si>
    <t>% Total Stay Rehab SU</t>
  </si>
  <si>
    <t>Total Stay Post-SU (days)</t>
  </si>
  <si>
    <t>% Total Stay Post-SU</t>
  </si>
  <si>
    <t>Total Stay  where no SU admission (days)</t>
  </si>
  <si>
    <t>% Total Stay  where no SU admission</t>
  </si>
  <si>
    <t>GCH*</t>
  </si>
  <si>
    <t>Belford*</t>
  </si>
  <si>
    <t>Caithness*</t>
  </si>
  <si>
    <t>Hospital Name</t>
  </si>
  <si>
    <t>Acute Stroke Unit (ASU) beds</t>
  </si>
  <si>
    <t>Integrated Stroke Unit (ISU) beds</t>
  </si>
  <si>
    <t>Comments
(e.g. Off-site Locations)</t>
  </si>
  <si>
    <t>5. A small proportion of records have thrombolysis date recorded but no thrombolysis time. These records are included in the denominator because the presence of a date indicates thrombolysis occurred. The absence of a thrombolysis time, however, prevents the calculation of door-to-needle time so these cases cannot be measured against the 60 minute standard and cannot be confirmed as having achieved it and are assumed not to have done so. This is a slightly different approach from Chart 11 where inclusion in the chart requires both a thrombolysis date and thrombolysis time. As a result, the Chart 9 and Chart 10 denominators, for individual hospitals, may be slightly higher than those in Chart 11.</t>
  </si>
  <si>
    <r>
      <t xml:space="preserve">1. </t>
    </r>
    <r>
      <rPr>
        <b/>
        <sz val="8"/>
        <color indexed="26"/>
        <rFont val="Arial"/>
        <family val="2"/>
      </rPr>
      <t>Hospitals shown are those that provide a thrombolysis service</t>
    </r>
    <r>
      <rPr>
        <sz val="8"/>
        <color indexed="26"/>
        <rFont val="Arial"/>
        <family val="2"/>
      </rPr>
      <t>. See Table 5 for further details. Records included must have date and time of arrival at first hospital and date and time of thrombolysis to permit the calculation of time to thrombolysis and a small proportion of records are missing these data items.</t>
    </r>
  </si>
  <si>
    <r>
      <t xml:space="preserve">2. Some percentages are based on </t>
    </r>
    <r>
      <rPr>
        <b/>
        <sz val="8"/>
        <color indexed="26"/>
        <rFont val="Arial"/>
        <family val="2"/>
      </rPr>
      <t>very</t>
    </r>
    <r>
      <rPr>
        <sz val="8"/>
        <color indexed="26"/>
        <rFont val="Arial"/>
        <family val="2"/>
      </rPr>
      <t xml:space="preserve"> </t>
    </r>
    <r>
      <rPr>
        <b/>
        <sz val="8"/>
        <color indexed="26"/>
        <rFont val="Arial"/>
        <family val="2"/>
      </rPr>
      <t>small numbers (</t>
    </r>
    <r>
      <rPr>
        <sz val="8"/>
        <color indexed="26"/>
        <rFont val="Arial"/>
        <family val="2"/>
      </rPr>
      <t xml:space="preserve">see numbers in brackets on axis) and </t>
    </r>
    <r>
      <rPr>
        <b/>
        <sz val="8"/>
        <color indexed="26"/>
        <rFont val="Arial"/>
        <family val="2"/>
      </rPr>
      <t>should be interpreted with caution</t>
    </r>
    <r>
      <rPr>
        <sz val="8"/>
        <color indexed="26"/>
        <rFont val="Arial"/>
        <family val="2"/>
      </rPr>
      <t>.</t>
    </r>
  </si>
  <si>
    <r>
      <t xml:space="preserve">3. Some hospitals (e.g. Southern General Hospital) receive a </t>
    </r>
    <r>
      <rPr>
        <b/>
        <sz val="8"/>
        <color indexed="26"/>
        <rFont val="Arial"/>
        <family val="2"/>
      </rPr>
      <t>small number of patients transferred from neighbouring Health Boards</t>
    </r>
    <r>
      <rPr>
        <sz val="8"/>
        <color indexed="26"/>
        <rFont val="Arial"/>
        <family val="2"/>
      </rPr>
      <t xml:space="preserve"> which may affect their onset-to-needle time performance.</t>
    </r>
  </si>
  <si>
    <r>
      <t xml:space="preserve">4. </t>
    </r>
    <r>
      <rPr>
        <b/>
        <sz val="8"/>
        <color indexed="26"/>
        <rFont val="Arial"/>
        <family val="2"/>
      </rPr>
      <t>Some hospitals admitted ischaemic stroke patients for thrombolysis but did not thrombolyse any patients within 1 hour</t>
    </r>
    <r>
      <rPr>
        <sz val="8"/>
        <color indexed="26"/>
        <rFont val="Arial"/>
        <family val="2"/>
      </rPr>
      <t>. These hospitals are included in the chart denominator but show as zero percent with regard to the Scottish Stroke Care Standard for thrombolysis.</t>
    </r>
  </si>
  <si>
    <t>TOTALS</t>
  </si>
  <si>
    <t>Crude Rate per 100,000</t>
  </si>
  <si>
    <t>-</t>
  </si>
  <si>
    <t>Outside Scotland/ Not Known/ Other</t>
  </si>
  <si>
    <t>† Confidence intervals calculated using method described in: WOODWARD (2005) Epidemiology: study design and data analysis 2nd edition chapter 3 pp 152-154. ISBN 1584884150.</t>
  </si>
  <si>
    <t xml:space="preserve">   For events where N&gt;=100, formula 3.29 (p153) is used to calculate lower/upper 95% confidence limits for the number of events. For events where n&lt;100, the lower/upper 95% confidence</t>
  </si>
  <si>
    <t xml:space="preserve">   limits are taken from a table (http://www.doh.wa.gov/Portals/1/Documents/5500/ConfIntGuide.pdf) showing exact 95% confidence limits from the Poisson distribution. These figures are then</t>
  </si>
  <si>
    <t xml:space="preserve">   used in conjunction with the mid-year population estimates to calculate the lower/upper confidence limits for the crude rates.</t>
  </si>
  <si>
    <t xml:space="preserve">  </t>
  </si>
  <si>
    <t>Year</t>
  </si>
  <si>
    <t>Number of patients thrombolysed (numerator)</t>
  </si>
  <si>
    <t>Number of stroke patients (denominator)</t>
  </si>
  <si>
    <t>Number of patients per 100,000 (target is 5)</t>
  </si>
  <si>
    <t>Number</t>
  </si>
  <si>
    <t>Stroke Standard (2013)</t>
  </si>
  <si>
    <t>Stroke Rehabilitation Unit (SRU) beds on acute site</t>
  </si>
  <si>
    <t>SRU beds off acute site</t>
  </si>
  <si>
    <r>
      <t>NHS Board of residence</t>
    </r>
    <r>
      <rPr>
        <b/>
        <vertAlign val="superscript"/>
        <sz val="10"/>
        <color indexed="9"/>
        <rFont val="Arial"/>
        <family val="2"/>
      </rPr>
      <t>1</t>
    </r>
  </si>
  <si>
    <r>
      <t>Scotland</t>
    </r>
    <r>
      <rPr>
        <b/>
        <sz val="10"/>
        <color indexed="9"/>
        <rFont val="Arial"/>
        <family val="2"/>
      </rPr>
      <t xml:space="preserve"> summary</t>
    </r>
  </si>
  <si>
    <r>
      <t xml:space="preserve">2. </t>
    </r>
    <r>
      <rPr>
        <b/>
        <sz val="8"/>
        <rFont val="Arial"/>
        <family val="2"/>
      </rPr>
      <t>Uist &amp; Barra Hospital, NHS Western Isles does not have a CT scanner</t>
    </r>
    <r>
      <rPr>
        <sz val="8"/>
        <rFont val="Arial"/>
        <family val="2"/>
      </rPr>
      <t xml:space="preserve"> but patients are airlifted to Western Isles Hospital and a proportion may arrive in sufficient time to have brain imaging within 24 hours of admission.</t>
    </r>
  </si>
  <si>
    <t>NHSSCOTLAND</t>
  </si>
  <si>
    <t>Victoria Hospital Kirkcaldy</t>
  </si>
  <si>
    <t>(a)
Initial Diagnosis Only</t>
  </si>
  <si>
    <t>(b)
Initial AND Final Diagnosis</t>
  </si>
  <si>
    <t>(c)
Final Diagnosis Only</t>
  </si>
  <si>
    <t>Initial Only</t>
  </si>
  <si>
    <t>Initial AND Final</t>
  </si>
  <si>
    <t>Final Only</t>
  </si>
  <si>
    <r>
      <t>Lanarkshire</t>
    </r>
    <r>
      <rPr>
        <vertAlign val="superscript"/>
        <sz val="10"/>
        <rFont val="Arial"/>
        <family val="2"/>
      </rPr>
      <t>2</t>
    </r>
  </si>
  <si>
    <t>Gilbert Bain*</t>
  </si>
  <si>
    <r>
      <t xml:space="preserve">2. Due to the number of beds within some of the hospitals indicated (*) and the small numbers of stroke admissions to these hospitals </t>
    </r>
    <r>
      <rPr>
        <b/>
        <sz val="8"/>
        <rFont val="Arial"/>
        <family val="2"/>
      </rPr>
      <t>it is not practical to have a defined Stroke Unit</t>
    </r>
    <r>
      <rPr>
        <sz val="8"/>
        <rFont val="Arial"/>
        <family val="2"/>
      </rPr>
      <t>. We have confirmed however that a defined stroke pathway is in place in these hospitals and that the Scottish Stroke Care Standards criteria are established within that pathway.</t>
    </r>
  </si>
  <si>
    <r>
      <t xml:space="preserve">2.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</si>
  <si>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t>2014 (%)</t>
  </si>
  <si>
    <t>Trajectory (%)</t>
  </si>
  <si>
    <t>CI
2014</t>
  </si>
  <si>
    <r>
      <t xml:space="preserve">1.  </t>
    </r>
    <r>
      <rPr>
        <b/>
        <sz val="8"/>
        <color indexed="8"/>
        <rFont val="Arial"/>
        <family val="2"/>
      </rPr>
      <t xml:space="preserve">A 'bundle' involves a group of specific interventions/ processes of care that significantly improve patient outcome if done together rather than separately and this also improves the  consistency with which patients are managed.  </t>
    </r>
  </si>
  <si>
    <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t>
  </si>
  <si>
    <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t>
  </si>
  <si>
    <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t>
  </si>
  <si>
    <r>
      <t xml:space="preserve">2.  Due to the number of beds within some hospitals indicated (*) and the small numbers of stroke admissions to these hospitals </t>
    </r>
    <r>
      <rPr>
        <b/>
        <sz val="8"/>
        <color indexed="8"/>
        <rFont val="Arial"/>
        <family val="2"/>
      </rPr>
      <t>it is not practical to have a defined Stroke Unit.</t>
    </r>
    <r>
      <rPr>
        <sz val="8"/>
        <color indexed="8"/>
        <rFont val="Arial"/>
        <family val="2"/>
      </rPr>
      <t xml:space="preserve"> We have confirmed however that a defined stroke pathway is in place in these hospitals and that the Scottish Stroke Care Standard criteria are established within that pathway.</t>
    </r>
  </si>
  <si>
    <r>
      <t xml:space="preserve">4. </t>
    </r>
    <r>
      <rPr>
        <b/>
        <sz val="8"/>
        <color indexed="8"/>
        <rFont val="Arial"/>
        <family val="2"/>
      </rPr>
      <t xml:space="preserve">Uist &amp; Barra Hospital, NHS Western Isles does not have a CT scanner </t>
    </r>
    <r>
      <rPr>
        <sz val="8"/>
        <color indexed="8"/>
        <rFont val="Arial"/>
        <family val="2"/>
      </rPr>
      <t>but patients are airlifted to Western Isles Hospital and a proportion may arrive in sufficient time to have brain imaging within 24 hours of admission.</t>
    </r>
  </si>
  <si>
    <r>
      <t xml:space="preserve">Chart 3 Percentage of stroke patients with a swallow screening by number of days to swallow screening, 2014 data (based on </t>
    </r>
    <r>
      <rPr>
        <b/>
        <i/>
        <sz val="10"/>
        <rFont val="Arial"/>
        <family val="2"/>
      </rPr>
      <t>final</t>
    </r>
    <r>
      <rPr>
        <b/>
        <sz val="10"/>
        <rFont val="Arial"/>
        <family val="2"/>
      </rPr>
      <t xml:space="preserve"> diagnosis).</t>
    </r>
  </si>
  <si>
    <r>
      <t xml:space="preserve">Chart 5  Percentage of acute ischaemic stroke patients given aspirin in hospital by number of days to receipt, 2014 data (based on </t>
    </r>
    <r>
      <rPr>
        <b/>
        <i/>
        <sz val="10"/>
        <rFont val="Arial"/>
        <family val="2"/>
      </rPr>
      <t>final</t>
    </r>
    <r>
      <rPr>
        <b/>
        <sz val="10"/>
        <rFont val="Arial"/>
        <family val="2"/>
      </rPr>
      <t xml:space="preserve"> diagnosis).</t>
    </r>
  </si>
  <si>
    <t>Note that the Scotland column in the chart is coloured green and red simply to differentiate it from the hospital columns and the colours are not indicative of performance. Light green corresponds to '2 days', red corresponds to '1 day' and dark green corresponds to 'Same Day'.</t>
  </si>
  <si>
    <t>Note that the Scotland column in the chart is coloured green and red simply to differentiate it from the hospital columns and the colours are not indicative of performance. Light green corresponds to '2 days', red corresponds to '1 Day' and dark green corresponds to 'Same Day'.</t>
  </si>
  <si>
    <t>Note that the Scotland column in the chart is coloured light green and dark green simply to differentiate it from the hospital columns and the colours are not indicative of performance. Light green corresponds to 'Within 24 hours' and dark green corresponds to 'Within 4 hours'.</t>
  </si>
  <si>
    <t>Female</t>
  </si>
  <si>
    <t>Male</t>
  </si>
  <si>
    <t>Haemorrhagic</t>
  </si>
  <si>
    <t>Ischaemic</t>
  </si>
  <si>
    <t>Stroke Type</t>
  </si>
  <si>
    <t>Number of patients receiving thrombolysis in 2014</t>
  </si>
  <si>
    <t>Thrombolysed</t>
  </si>
  <si>
    <t>Evidence of haemorrhage on repeat scan</t>
  </si>
  <si>
    <t>Repeat scan done</t>
  </si>
  <si>
    <t>Percentage receiving repeat scan</t>
  </si>
  <si>
    <t>Percentage with evidence of haemorrhage on repeat scan</t>
  </si>
  <si>
    <r>
      <t>Mid-Year Population Estimate</t>
    </r>
    <r>
      <rPr>
        <b/>
        <vertAlign val="superscript"/>
        <sz val="10"/>
        <color indexed="9"/>
        <rFont val="Arial"/>
        <family val="2"/>
      </rPr>
      <t>2</t>
    </r>
    <r>
      <rPr>
        <b/>
        <sz val="10"/>
        <color indexed="9"/>
        <rFont val="Arial"/>
        <family val="2"/>
      </rPr>
      <t xml:space="preserve"> 2013</t>
    </r>
  </si>
  <si>
    <t>Numerator 2014</t>
  </si>
  <si>
    <t>Denominator 2014</t>
  </si>
  <si>
    <t>2014 &lt;=14 days</t>
  </si>
  <si>
    <t>Table 1: Poisson distribution 95% confidence limits.</t>
  </si>
  <si>
    <t>Observed</t>
  </si>
  <si>
    <t>Lower Confidence Limit</t>
  </si>
  <si>
    <t>Upper Confidence Limit</t>
  </si>
  <si>
    <t>Age &lt;60 years on admission</t>
  </si>
  <si>
    <t>Age 60-80 years on admission</t>
  </si>
  <si>
    <t>Age over 80 years on admission</t>
  </si>
  <si>
    <t>Case Mix</t>
  </si>
  <si>
    <t>Age Distribution</t>
  </si>
  <si>
    <t>Gender and Mean Age</t>
  </si>
  <si>
    <t>Final diagnosis stroke</t>
  </si>
  <si>
    <t>NHS Board of Residence</t>
  </si>
  <si>
    <t>Mean Age (years)</t>
  </si>
  <si>
    <t>Comparison of initial diagnosis of stroke versus final diagnosis of stroke, 2014 data.</t>
  </si>
  <si>
    <t>Note that the Scotland column in the chart is coloured green, amber and red simply to differentiate it from the hospital columns and the colours are not indicative of performance. Dark green corresponds to 'Same Day', red corresponds to '1 Day', amber corresponds to '2-4 Days' and light green corresponds to '5-7 Days'.</t>
  </si>
  <si>
    <t>Hospital providing carotid intervention service</t>
  </si>
  <si>
    <r>
      <t xml:space="preserve">Number and </t>
    </r>
    <r>
      <rPr>
        <b/>
        <i/>
        <sz val="10"/>
        <color theme="0"/>
        <rFont val="Arial"/>
        <family val="2"/>
      </rPr>
      <t>Percentage</t>
    </r>
    <r>
      <rPr>
        <b/>
        <sz val="10"/>
        <color theme="0"/>
        <rFont val="Arial"/>
        <family val="2"/>
      </rPr>
      <t xml:space="preserve"> of Final Stroke</t>
    </r>
  </si>
  <si>
    <t>Rehabilitation is within the community hospitals(4 of them) but not in dedicated stroke beds.</t>
  </si>
  <si>
    <t>Woodend - SRU:34 beds                                    Fraserburgh - SRU: 6 beds</t>
  </si>
  <si>
    <t>Stroke Patients Discharged during 2014</t>
  </si>
  <si>
    <t>Note that the Scotland column in the chart is coloured green, amber, red and grey simply to differentiate it from the hospital columns and the colours are not indicative of performance.Dark green corresponds to '% pre SU', red corresponds to '% Acute/ Integrated', amber corresponds to '% Rehab', light green corresponds to '% post SU' and grey corresponds to '% no SU'.</t>
  </si>
  <si>
    <t>QMH Ward 6 - 12 beds within 30 bedded general rehabilitation ward;QMH Ward 5 has 8 beds for slowstream rehabilitation.  
Letham ward Cameron Hospital - 12 funded beds but currently operating 14 (rehabilitation for over 65) 
Sir George Sharp Unit (rehabilitation for under 65) 6 to 7 out of 12 beds.</t>
  </si>
  <si>
    <t/>
  </si>
  <si>
    <t>No specific stroke beds. but beds will be made available within Assessment and Rehabilitation Unit when needed.</t>
  </si>
  <si>
    <r>
      <t>1. Latest available population estimates from National Records of Scotland (formerly General Register Office for Scotland, which merged with National Archives of Scotland from 1</t>
    </r>
    <r>
      <rPr>
        <vertAlign val="superscript"/>
        <sz val="8"/>
        <rFont val="Arial"/>
        <family val="2"/>
      </rPr>
      <t>st</t>
    </r>
    <r>
      <rPr>
        <sz val="8"/>
        <rFont val="Arial"/>
        <family val="2"/>
      </rPr>
      <t xml:space="preserve"> April 2011).</t>
    </r>
  </si>
  <si>
    <r>
      <t>Mid-year population estimates</t>
    </r>
    <r>
      <rPr>
        <b/>
        <vertAlign val="superscript"/>
        <sz val="10"/>
        <color indexed="9"/>
        <rFont val="Arial"/>
        <family val="2"/>
      </rPr>
      <t>1</t>
    </r>
    <r>
      <rPr>
        <b/>
        <sz val="10"/>
        <color indexed="9"/>
        <rFont val="Arial"/>
        <family val="2"/>
      </rPr>
      <t xml:space="preserve">
(Scotland)</t>
    </r>
  </si>
  <si>
    <t>3. A small proportion of records could not be assigned to a Health Board of residence because they were either for non-Scottish residents or there was insufficient information to allow their assignment to a Health Board (e.g. partial or incorrect postcode).</t>
  </si>
  <si>
    <t>Table 2 Stroke Unit Information.</t>
  </si>
  <si>
    <r>
      <rPr>
        <b/>
        <sz val="8"/>
        <color theme="1"/>
        <rFont val="Arial"/>
        <family val="2"/>
      </rPr>
      <t>5.</t>
    </r>
    <r>
      <rPr>
        <sz val="8"/>
        <color theme="1"/>
        <rFont val="Arial"/>
        <family val="2"/>
      </rPr>
      <t xml:space="preserve"> The central boxes display the middle 50% of the data which is any data point within the 2nd and 3rd quartiles.  The meeting point of the the two boxes is the median.  Data outside this is included in the whisker unless the data point is greater than 1.5x the interquartile range (the two grey boxes). These data points are deemed to be outliers and are reported as a point separate from the box and whisker plot.</t>
    </r>
  </si>
  <si>
    <r>
      <rPr>
        <b/>
        <sz val="8"/>
        <color theme="1"/>
        <rFont val="Arial"/>
        <family val="2"/>
      </rPr>
      <t>2.</t>
    </r>
    <r>
      <rPr>
        <sz val="8"/>
        <color theme="1"/>
        <rFont val="Arial"/>
        <family val="2"/>
      </rPr>
      <t xml:space="preserve"> Patients in Borders, Orkney, Shetland &amp; Western Isles are treated in other Health Boards as part of their respective carotid intervention pathways.</t>
    </r>
  </si>
  <si>
    <t>Can walk without help from another person?</t>
  </si>
  <si>
    <t>Can lift both arms off the bed at first assessment?</t>
  </si>
  <si>
    <t>Oriented to time, place and person at first assessment?</t>
  </si>
  <si>
    <t>Can talk at first assessment?</t>
  </si>
  <si>
    <t>Lived alone at normal place of residence?</t>
  </si>
  <si>
    <t>Independent in Activities of Daily Living?</t>
  </si>
  <si>
    <t>Percentage Receiving Appropriate Bundle</t>
  </si>
  <si>
    <t>Orkney (+)</t>
  </si>
  <si>
    <t>Western Isles (+)</t>
  </si>
  <si>
    <t>Scotland (+s)</t>
  </si>
  <si>
    <t>Ayrshire &amp; Arran (+s)</t>
  </si>
  <si>
    <t>Borders (+s)</t>
  </si>
  <si>
    <t>Dumfries &amp; Galloway (+s)</t>
  </si>
  <si>
    <t>Fife (+s)</t>
  </si>
  <si>
    <t>Forth Valley (+s)</t>
  </si>
  <si>
    <t>Grampian (+s)</t>
  </si>
  <si>
    <t>Greater Glasgow &amp; Clyde (+s)</t>
  </si>
  <si>
    <t>Highland (+s)</t>
  </si>
  <si>
    <t>Lanarkshire (+s)</t>
  </si>
  <si>
    <t>Lothian (+s)</t>
  </si>
  <si>
    <t>Shetland (+s)</t>
  </si>
  <si>
    <t>Tayside (+s)</t>
  </si>
  <si>
    <t>Number of Initial Strokes</t>
  </si>
  <si>
    <t>Number receiving Appropriate Bundle</t>
  </si>
  <si>
    <t>For bracketed abbreviations beside NHS board names : '+' means increasing trend,  '-' means decreasing trend, 's' means statistically significant (otherwise no 's')</t>
  </si>
  <si>
    <t>For bracketed abbreviations in chart legend :</t>
  </si>
  <si>
    <t>s' means a statistically significant change over time (otherwise no 's')</t>
  </si>
  <si>
    <t>+' means an increasing trend and '-' means a decreasing trend</t>
  </si>
  <si>
    <t>Chart 1c</t>
  </si>
  <si>
    <t>Ayrshire &amp; Arran (-)</t>
  </si>
  <si>
    <t>Lothian (-s)</t>
  </si>
  <si>
    <t>Tayside (-)</t>
  </si>
  <si>
    <t>Number receiving Swallow Screen same day</t>
  </si>
  <si>
    <t>Percentage Receiving Swallow Screen</t>
  </si>
  <si>
    <t>Number admitted to a Stroke Unit within 1 day</t>
  </si>
  <si>
    <t>Percentage admitted to a Stroke Unit</t>
  </si>
  <si>
    <t>Number of Final Strokes*</t>
  </si>
  <si>
    <t>* Patients with final diagnosis of stroke excluding: short stay patients (discharged within 1 day), transfers from acute hospitals and in-hospital stroke patients.</t>
  </si>
  <si>
    <t>* Patients with final diagnosis of stroke with no further exclusions.</t>
  </si>
  <si>
    <t>Shetland (+)</t>
  </si>
  <si>
    <t>Number receiving Brain scan within 24 hours</t>
  </si>
  <si>
    <t>Percentage Receiving Brain Scan</t>
  </si>
  <si>
    <t>Orkney (-)</t>
  </si>
  <si>
    <t>Number of Final Strokes eligible for aspirin*</t>
  </si>
  <si>
    <t>Number receiving  aspirin within 1 day</t>
  </si>
  <si>
    <t>Percentage receiving aspirin</t>
  </si>
  <si>
    <t>* Patients with final diagnosis of ischaemic stroke and no aspirin contraindication.</t>
  </si>
  <si>
    <t>order</t>
  </si>
  <si>
    <t>Note that the Scotland column in the chart is coloured green and red simply to differentiate it from the hospital columns and the colours are not indicative of performance. Light green corresponds to 'Final Only', red corresponds to 'Initial &amp; Final' and dark green corresponds to 'Initial Only'.</t>
  </si>
  <si>
    <t>Note that the Scotland columns in the chart are coloured green and red simply to differentiate them from the health board columns and the colours are not indicative of performance. Light green corresponds to 'Final Only', red corresponds to 'Initial &amp; Final' and dark green corresponds to 'Initial Only'.</t>
  </si>
  <si>
    <t>Initial &amp; Final Diagnosis</t>
  </si>
  <si>
    <t>Scotland Numerator</t>
  </si>
  <si>
    <t>Scotland Denominator</t>
  </si>
  <si>
    <t>Scotland Percentage</t>
  </si>
  <si>
    <t>Initial Diagnosis Only</t>
  </si>
  <si>
    <t>Final Diagnosis Only</t>
  </si>
  <si>
    <t>Note that the Scotland columns in the chart are coloured light green and dark green simply to differentiate them from the hospital columns and the colours are not indicative of performance. Light green corresponds to 'Repeat Scans' and dark green corresponds to 'Evidence Haemorrhage'.</t>
  </si>
  <si>
    <r>
      <rPr>
        <b/>
        <sz val="8"/>
        <color theme="1"/>
        <rFont val="Arial"/>
        <family val="2"/>
      </rPr>
      <t>2.</t>
    </r>
    <r>
      <rPr>
        <sz val="8"/>
        <color theme="1"/>
        <rFont val="Arial"/>
        <family val="2"/>
      </rPr>
      <t xml:space="preserve"> Patients in Borders, Orkney, Shetland &amp; Western Isles are treated in other Health Boards as part of their respective carotid intervention pathways. There were insufficient numbers from Oban, Shetland and Western Isles to be meaningfully displayed as a box plot.</t>
    </r>
  </si>
  <si>
    <t>There are instances where elements of the outpatient timeline share the same or similar data point and might not be visible.  In these instances the most recent part of the timeline sits on top indicating that the elements have been delivered closely together.</t>
  </si>
  <si>
    <t>Appropriate Bundle</t>
  </si>
  <si>
    <t>Stroke Unit Admission</t>
  </si>
  <si>
    <t>Swallow Screen</t>
  </si>
  <si>
    <t>Brain Imaging</t>
  </si>
  <si>
    <t>Aspirin</t>
  </si>
  <si>
    <t>Ischaemic stroke patients thrombolysed, receiving repeat scans and showing evidence of haemorrhage on repeat scan, 2014 data (final diagnosis)</t>
  </si>
  <si>
    <t>2. Stroke Unit Admission (90%)</t>
  </si>
  <si>
    <t>3. Swallow Screen (90%)</t>
  </si>
  <si>
    <t>4. Brain Imaging (90%)</t>
  </si>
  <si>
    <t>5. Aspirin (100%)</t>
  </si>
  <si>
    <r>
      <t>updated by the Scottish Stroke Care Audit during 2012 for implementation from 1</t>
    </r>
    <r>
      <rPr>
        <b/>
        <vertAlign val="superscript"/>
        <sz val="8"/>
        <rFont val="Arial"/>
        <family val="2"/>
      </rPr>
      <t>st</t>
    </r>
    <r>
      <rPr>
        <b/>
        <sz val="8"/>
        <rFont val="Arial"/>
        <family val="2"/>
      </rPr>
      <t xml:space="preserve"> January 2013. The standards to be achieved have, therefore, changed during</t>
    </r>
  </si>
  <si>
    <t>Scottish Stroke Care Standards were published by NHS Quality Improvement Scotland (NHS QIS, now NHS Health Improvement Scotland) in 2009 and subsequently</t>
  </si>
  <si>
    <r>
      <t>updated by the Scottish Stroke Care Audit during 2012 for implementation from 1</t>
    </r>
    <r>
      <rPr>
        <b/>
        <vertAlign val="superscript"/>
        <sz val="8"/>
        <rFont val="Arial"/>
        <family val="2"/>
      </rPr>
      <t>st</t>
    </r>
    <r>
      <rPr>
        <b/>
        <sz val="8"/>
        <rFont val="Arial"/>
        <family val="2"/>
      </rPr>
      <t xml:space="preserve"> January 2013. The standard to be achieved has, therefore, changed during</t>
    </r>
  </si>
  <si>
    <t>Scottish Stroke Care Standard (2013)* is 90%.</t>
  </si>
  <si>
    <t>Scottish Stroke Care Standard (2013)* is 100%.</t>
  </si>
  <si>
    <t>* Scottish Stroke Care Standards were published by NHS Quality Improvement Scotland (NHS QIS, now NHS Health Improvement Scotland) in 2009 and subsequently</t>
  </si>
  <si>
    <t>1. Patients receiving thrombolysis are monitored closely in specialist units and may have a repeat brain scan done to check for haemorrhagic transformation of their initial ischaemic</t>
  </si>
  <si>
    <t xml:space="preserve">    event. The primary risk of thrombolysis treatment is haemorrhage, either intra- or extra-cranial. </t>
  </si>
  <si>
    <t>2. The proportion of patients showing evidence of haemorrhage on repeat scan should be interpreted with caution because, for some hospitals, the number of patients receiving a</t>
  </si>
  <si>
    <t>3. In some instances, data entered into eSSCA are assigned to admitting hospitals other than the main acute hospitals participating in the Scottish Stroke Care Audit. Data for these hospitals are</t>
  </si>
  <si>
    <t xml:space="preserve">    combined with data for their respective main acute hospitals.</t>
  </si>
  <si>
    <t xml:space="preserve">    units to which patients are admitted.</t>
  </si>
  <si>
    <t>4. Data may be captured for up to 3 acute/ integrated stroke units and 3 rehabilitation stroke units. The analysis examines all three sets of data items that may capture information about the stroke</t>
  </si>
  <si>
    <t>For notes affecting the interpretation of Chart 1a please see Charts 1b and 1c .</t>
  </si>
  <si>
    <t>Health Board bundle</t>
  </si>
  <si>
    <t>Hospital bundle</t>
  </si>
  <si>
    <r>
      <t>Note regarding Table 2</t>
    </r>
    <r>
      <rPr>
        <sz val="8"/>
        <rFont val="Arial"/>
        <family val="2"/>
      </rPr>
      <t>:</t>
    </r>
  </si>
  <si>
    <t>Horizontal line reflects Scottish Stroke Care Standard (2013) of 90% of stroke patients admitted to a Stroke Unit within 1 day of admission.</t>
  </si>
  <si>
    <r>
      <t xml:space="preserve">4. In some instances, </t>
    </r>
    <r>
      <rPr>
        <b/>
        <sz val="8"/>
        <rFont val="Arial"/>
        <family val="2"/>
      </rPr>
      <t>data entered into eSSCA are assigned to admitting hospitals other than the main acute hospitals</t>
    </r>
    <r>
      <rPr>
        <sz val="8"/>
        <rFont val="Arial"/>
        <family val="2"/>
      </rPr>
      <t xml:space="preserve"> participating in the Scottish Stroke Care Audit. Data for these hospitals are combined with data for their respective main acute hospitals.</t>
    </r>
  </si>
  <si>
    <t>Horizontal line reflects Scottish Stroke Care Standard (2013) of 90% of stroke patients to receive a brain scan within 24 hours of admission.</t>
  </si>
  <si>
    <t>2. The denominator for the percentages excludes patients with valid contraindications to aspirin.</t>
  </si>
  <si>
    <t>Horizontal line reflects Scottish Stroke Care Standard (2013) of 80% of TIA patients being seen in specialist stroke/ TIA clinic within 4 days of receipt of referral.</t>
  </si>
  <si>
    <r>
      <t>Notes regarding Chart 1c</t>
    </r>
    <r>
      <rPr>
        <sz val="8"/>
        <color indexed="8"/>
        <rFont val="Arial"/>
        <family val="2"/>
      </rPr>
      <t>:</t>
    </r>
  </si>
  <si>
    <t>Notes regarding Chart 2a:</t>
  </si>
  <si>
    <t>Notes regarding Chart 2b:</t>
  </si>
  <si>
    <t>Notes regarding Chart 2c:</t>
  </si>
  <si>
    <t>Notes regarding Chart 2d:</t>
  </si>
  <si>
    <t>Notes regarding Chart 3:</t>
  </si>
  <si>
    <t>Notes regarding Chart 4:</t>
  </si>
  <si>
    <t>Notes regarding Chart 5:</t>
  </si>
  <si>
    <t>Notes regarding Chart 6:</t>
  </si>
  <si>
    <t>Notes regarding Chart 7:</t>
  </si>
  <si>
    <t>Notes regarding Chart 8:</t>
  </si>
  <si>
    <t xml:space="preserve">    repeat scan is small. This small denominator can then result in a large percentage for those with evidence of haemorrhage when the absolute numbers involved are small.</t>
  </si>
  <si>
    <r>
      <rPr>
        <b/>
        <sz val="8"/>
        <rFont val="Arial"/>
        <family val="2"/>
      </rPr>
      <t>1.</t>
    </r>
    <r>
      <rPr>
        <sz val="8"/>
        <rFont val="Arial"/>
        <family val="2"/>
      </rPr>
      <t xml:space="preserve"> This chart is based upon health board of residence rather than the hospital that provided the carotid intervention service. </t>
    </r>
  </si>
  <si>
    <t>view Chart 1a data</t>
  </si>
  <si>
    <t>view Chart 1b data</t>
  </si>
  <si>
    <t>view Chart 1c data</t>
  </si>
  <si>
    <t>view Chart 2a data</t>
  </si>
  <si>
    <t>view Chart 2b data</t>
  </si>
  <si>
    <t>view Chart 2c data</t>
  </si>
  <si>
    <t>view Chart 2d data</t>
  </si>
  <si>
    <t xml:space="preserve"> - an initial diagnosis of stroke i.e. possible stroke patients who may turn out to have another diagnosis once investigations are complete;</t>
  </si>
  <si>
    <t xml:space="preserve"> - a final diagnosis of stroke i.e. patients confirmed as having had strokes when their initial diagnosis may have been considered as something else;</t>
  </si>
  <si>
    <t xml:space="preserve"> - an initial diagnosis and final diagnosis of stroke i.e. patients suspected of having had a stroke who have this diagnosis confirmed on investigation.</t>
  </si>
  <si>
    <t>1. Both initial diagnosis and final diagnosis may be recorded in the SSCA data relating, respectively, to whether a patient may be suspected of having had a stroke and whether the stroke</t>
  </si>
  <si>
    <t xml:space="preserve">    diagnosis is confirmed on investigation. Chart 15a presents information on three groups of patients, those with:</t>
  </si>
  <si>
    <t>2. In some instances, data entered into eSSCA are assigned to admitting hospitals other than the main acute hospitals participating in the Scottish Stroke Care Audit. Data for these</t>
  </si>
  <si>
    <t xml:space="preserve">     hospitals are combined with data for their respective main acute hospitals.</t>
  </si>
  <si>
    <r>
      <t xml:space="preserve">2. The following </t>
    </r>
    <r>
      <rPr>
        <b/>
        <sz val="8"/>
        <rFont val="Arial"/>
        <family val="2"/>
      </rPr>
      <t>hospitals either do not hold specialist stroke/TIA clinics or do not collect and submit data to SSCA</t>
    </r>
    <r>
      <rPr>
        <sz val="8"/>
        <rFont val="Arial"/>
        <family val="2"/>
      </rPr>
      <t xml:space="preserve"> – Caithness, SGH, WIG, GCH, Belford, GRI, IRH, VI Glasgow, RAH, RIE, Balfour, Gilbert Bain and Uist &amp; Barra. The </t>
    </r>
    <r>
      <rPr>
        <b/>
        <sz val="8"/>
        <rFont val="Arial"/>
        <family val="2"/>
      </rPr>
      <t>omission of these data may affect the estimate of national performance</t>
    </r>
    <r>
      <rPr>
        <sz val="8"/>
        <rFont val="Arial"/>
        <family val="2"/>
      </rPr>
      <t xml:space="preserve"> based on those hospitals contributing to SSCA.</t>
    </r>
  </si>
  <si>
    <t xml:space="preserve"> Borders</t>
  </si>
  <si>
    <t xml:space="preserve"> Western Isles</t>
  </si>
  <si>
    <t xml:space="preserve"> Shetland</t>
  </si>
  <si>
    <t xml:space="preserve"> Dumfries &amp; Galloway</t>
  </si>
  <si>
    <t xml:space="preserve"> Fife</t>
  </si>
  <si>
    <t xml:space="preserve"> Lanarkshire</t>
  </si>
  <si>
    <t xml:space="preserve"> Forth Valley</t>
  </si>
  <si>
    <t xml:space="preserve"> Ayrshire &amp; Arran</t>
  </si>
  <si>
    <t xml:space="preserve"> Grampian</t>
  </si>
  <si>
    <t xml:space="preserve"> Greater Glasgow &amp; Clyde</t>
  </si>
  <si>
    <t xml:space="preserve"> Tayside</t>
  </si>
  <si>
    <t xml:space="preserve"> Lothian</t>
  </si>
  <si>
    <t xml:space="preserve"> Highland</t>
  </si>
  <si>
    <t xml:space="preserve"> Orkney</t>
  </si>
  <si>
    <t>Percentage
(ranked high-to-low for 2015 by board)</t>
  </si>
  <si>
    <t>2015 (%)</t>
  </si>
  <si>
    <t>Confidence Interval 2014 (%)</t>
  </si>
  <si>
    <t>Confidence interval 2015 (%)</t>
  </si>
  <si>
    <r>
      <t xml:space="preserve">Chart 1b (Health Board) Percentage of stroke patients receiving an 'appropriate' Stroke Care Bundle (i.e. Stroke Unit admission, swallow screen, brain scan and aspirin) - indicative baseline performance, 2015 data (based on </t>
    </r>
    <r>
      <rPr>
        <b/>
        <i/>
        <sz val="10"/>
        <rFont val="Arial"/>
        <family val="2"/>
      </rPr>
      <t>initial</t>
    </r>
    <r>
      <rPr>
        <b/>
        <sz val="10"/>
        <rFont val="Arial"/>
        <family val="2"/>
      </rPr>
      <t xml:space="preserve"> diagnosis).</t>
    </r>
  </si>
  <si>
    <t>Trajectories were to be achieved by March 2015 have been set locally by individual Health Boards and are presented on the chart as orange lines.</t>
  </si>
  <si>
    <t xml:space="preserve"> Western Isles*</t>
  </si>
  <si>
    <t xml:space="preserve"> Dumfries &amp; Galloway*</t>
  </si>
  <si>
    <t xml:space="preserve"> Shetland*</t>
  </si>
  <si>
    <t xml:space="preserve"> Highland*</t>
  </si>
  <si>
    <t xml:space="preserve"> Orkney*</t>
  </si>
  <si>
    <t>Note that the Scotland columns in the chart are coloured light green and dark green simply to differentiate them from the hospital columns and the colours are not indicative of performance. Light green corresponds to '2014' and dark green corresponds to '2015'.</t>
  </si>
  <si>
    <t>CI
2015</t>
  </si>
  <si>
    <t>Queen Elizabeth University Hospital - Glasgow</t>
  </si>
  <si>
    <t>QEUHG</t>
  </si>
  <si>
    <t>Confidence Interval 2015 (%)</t>
  </si>
  <si>
    <r>
      <t xml:space="preserve">Chart 1c (Hospital) Percentage of stroke patients receiving an 'appropriate' Stroke Care Bundle (i.e. Stroke Unit admission, swallow screen, brain scan and aspirin), 2015 data (based on </t>
    </r>
    <r>
      <rPr>
        <b/>
        <i/>
        <sz val="10"/>
        <rFont val="Arial"/>
        <family val="2"/>
      </rPr>
      <t>initial</t>
    </r>
    <r>
      <rPr>
        <b/>
        <sz val="10"/>
        <rFont val="Arial"/>
        <family val="2"/>
      </rPr>
      <t xml:space="preserve"> diagnosis).</t>
    </r>
  </si>
  <si>
    <t>2015 (%) - statistically significant improvement</t>
  </si>
  <si>
    <t>2015 (%) - no statistically significant change</t>
  </si>
  <si>
    <t>2015 (%) - statistically significant decline</t>
  </si>
  <si>
    <t>Confidence Interval 2014(%)</t>
  </si>
  <si>
    <r>
      <t xml:space="preserve">Chart 2a  Percentage of stroke patients admitted to a Stroke Unit within 1 day of admission to hospital, 2014 and 2015 data (based on </t>
    </r>
    <r>
      <rPr>
        <b/>
        <i/>
        <sz val="10"/>
        <rFont val="Arial"/>
        <family val="2"/>
      </rPr>
      <t>final</t>
    </r>
    <r>
      <rPr>
        <b/>
        <sz val="10"/>
        <rFont val="Arial"/>
        <family val="2"/>
      </rPr>
      <t xml:space="preserve"> diagnosis).</t>
    </r>
  </si>
  <si>
    <r>
      <t xml:space="preserve">Chart 2b Percentage of stroke patients with a swallow screening on day of admission, 2014 and 2015 data (based on </t>
    </r>
    <r>
      <rPr>
        <b/>
        <i/>
        <sz val="10"/>
        <rFont val="Arial"/>
        <family val="2"/>
      </rPr>
      <t>final</t>
    </r>
    <r>
      <rPr>
        <b/>
        <sz val="10"/>
        <rFont val="Arial"/>
        <family val="2"/>
      </rPr>
      <t xml:space="preserve"> diagnosis).</t>
    </r>
  </si>
  <si>
    <r>
      <t xml:space="preserve">Chart 2c  Percentage of stroke patients with a brain scan within 24 hours of admission, 2014 and 2015 data (based on </t>
    </r>
    <r>
      <rPr>
        <b/>
        <i/>
        <sz val="10"/>
        <rFont val="Arial"/>
        <family val="2"/>
      </rPr>
      <t>final</t>
    </r>
    <r>
      <rPr>
        <b/>
        <sz val="10"/>
        <rFont val="Arial"/>
        <family val="2"/>
      </rPr>
      <t xml:space="preserve"> diagnosis).</t>
    </r>
  </si>
  <si>
    <t>Chart 2d  Percentage of acute ischaemic stroke patients given aspirin in hospital within 1 day of admission, 2014 and 2015 data (based on final diagnosis).</t>
  </si>
  <si>
    <t>NHSScotland</t>
  </si>
  <si>
    <t>Numerator 2015</t>
  </si>
  <si>
    <t>Denominator 2015</t>
  </si>
  <si>
    <t>2015 &lt;=14 days</t>
  </si>
  <si>
    <r>
      <t xml:space="preserve"> Confidence Interval 2014</t>
    </r>
    <r>
      <rPr>
        <b/>
        <vertAlign val="superscript"/>
        <sz val="8"/>
        <color indexed="9"/>
        <rFont val="Arial"/>
        <family val="2"/>
      </rPr>
      <t xml:space="preserve">† </t>
    </r>
  </si>
  <si>
    <r>
      <t xml:space="preserve"> Confidence Interval 2015</t>
    </r>
    <r>
      <rPr>
        <b/>
        <vertAlign val="superscript"/>
        <sz val="8"/>
        <color indexed="9"/>
        <rFont val="Arial"/>
        <family val="2"/>
      </rPr>
      <t xml:space="preserve">† </t>
    </r>
  </si>
  <si>
    <t>2014 - 2015</t>
  </si>
  <si>
    <r>
      <t xml:space="preserve">2. </t>
    </r>
    <r>
      <rPr>
        <b/>
        <sz val="8"/>
        <rFont val="Arial"/>
        <family val="2"/>
      </rPr>
      <t>The data included in chart 2d were extracted from eSSCA on the 24th March 2016</t>
    </r>
    <r>
      <rPr>
        <sz val="8"/>
        <rFont val="Arial"/>
        <family val="2"/>
      </rPr>
      <t>. Changes/ updates to the data following this date will therefore not feature in</t>
    </r>
  </si>
  <si>
    <r>
      <t xml:space="preserve">  this analysis. The data relate to patients with </t>
    </r>
    <r>
      <rPr>
        <b/>
        <i/>
        <sz val="8"/>
        <rFont val="Arial"/>
        <family val="2"/>
      </rPr>
      <t>final</t>
    </r>
    <r>
      <rPr>
        <sz val="8"/>
        <rFont val="Arial"/>
        <family val="2"/>
      </rPr>
      <t xml:space="preserve"> diagnosis of stroke and are for </t>
    </r>
    <r>
      <rPr>
        <b/>
        <sz val="8"/>
        <rFont val="Arial"/>
        <family val="2"/>
      </rPr>
      <t>calendar years 2014 and 2015</t>
    </r>
    <r>
      <rPr>
        <sz val="8"/>
        <rFont val="Arial"/>
        <family val="2"/>
      </rPr>
      <t xml:space="preserve"> (i.e. 1 January - 31 December).</t>
    </r>
  </si>
  <si>
    <r>
      <t xml:space="preserve">3. </t>
    </r>
    <r>
      <rPr>
        <b/>
        <sz val="8"/>
        <rFont val="Arial"/>
        <family val="2"/>
      </rPr>
      <t>The data included in chart 2c were extracted from eSSCA on the 24th March 2016</t>
    </r>
    <r>
      <rPr>
        <sz val="8"/>
        <rFont val="Arial"/>
        <family val="2"/>
      </rPr>
      <t>. Changes/ updates to the data following this date will therefore not feature in</t>
    </r>
  </si>
  <si>
    <r>
      <t xml:space="preserve">1. </t>
    </r>
    <r>
      <rPr>
        <b/>
        <sz val="8"/>
        <rFont val="Arial"/>
        <family val="2"/>
      </rPr>
      <t>The data included in chart 2b were extracted from eSSCA on the 24th March 2016</t>
    </r>
    <r>
      <rPr>
        <sz val="8"/>
        <rFont val="Arial"/>
        <family val="2"/>
      </rPr>
      <t>. Changes/ updates to the data following this date will therefore not feature in</t>
    </r>
  </si>
  <si>
    <r>
      <t xml:space="preserve">3. </t>
    </r>
    <r>
      <rPr>
        <b/>
        <sz val="8"/>
        <rFont val="Arial"/>
        <family val="2"/>
      </rPr>
      <t>The data included in chart 2a were extracted from eSSCA on the 24th March 2016</t>
    </r>
    <r>
      <rPr>
        <sz val="8"/>
        <rFont val="Arial"/>
        <family val="2"/>
      </rPr>
      <t>. Changes/ updates to the data following this date will therefore not feature in</t>
    </r>
  </si>
  <si>
    <t>QMH + VHK</t>
  </si>
  <si>
    <t>3. For NHS Fife, the outpatient service for patients with suspected cerebrovascular conditions functions as a single service delivered across two sites, Queen Margaret Hospital and Victoria Hospital Kirkcaldy. Chart 7 separates the performance for these hospitals but they should be considered as a single NHS Fife service. The combined performance for 2014 and 2015 shows 77% and 74% respectively, a decline of 3% between the two years.</t>
  </si>
  <si>
    <r>
      <t xml:space="preserve">3. Some hospitals (e.g. QEUHG) receive a </t>
    </r>
    <r>
      <rPr>
        <b/>
        <sz val="8"/>
        <rFont val="Arial"/>
        <family val="2"/>
      </rPr>
      <t>small number of patients transferred from neighbouring Health Boards</t>
    </r>
    <r>
      <rPr>
        <sz val="8"/>
        <rFont val="Arial"/>
        <family val="2"/>
      </rPr>
      <t xml:space="preserve"> which may affect their onset-to-needle time performance.</t>
    </r>
  </si>
  <si>
    <r>
      <rPr>
        <b/>
        <sz val="8"/>
        <color theme="1"/>
        <rFont val="Arial"/>
        <family val="2"/>
      </rPr>
      <t xml:space="preserve">3. </t>
    </r>
    <r>
      <rPr>
        <sz val="8"/>
        <color theme="1"/>
        <rFont val="Arial"/>
        <family val="2"/>
      </rPr>
      <t>Carotid intervention procedures in Greater Glasgow and Clyde are carried out by a single team of surgeons at Queen Elizabeth University Hospital.</t>
    </r>
  </si>
  <si>
    <r>
      <rPr>
        <b/>
        <sz val="8"/>
        <color theme="1"/>
        <rFont val="Arial"/>
        <family val="2"/>
      </rPr>
      <t>3.</t>
    </r>
    <r>
      <rPr>
        <sz val="8"/>
        <color theme="1"/>
        <rFont val="Arial"/>
        <family val="2"/>
      </rPr>
      <t xml:space="preserve"> Carotid intervention procedures in Greater Glasgow and Clyde are carried out by a single team of surgeons Queen Elizabeth University Hospital.</t>
    </r>
  </si>
  <si>
    <t>QEUH</t>
  </si>
  <si>
    <t>Queen Elizabeth University Hospital (QEUH)</t>
  </si>
  <si>
    <r>
      <t xml:space="preserve">Chart 3 Percentage of stroke patients with a swallow screening by number of days to swallow screening, 2015 data (based on </t>
    </r>
    <r>
      <rPr>
        <b/>
        <i/>
        <sz val="10"/>
        <rFont val="Arial"/>
        <family val="2"/>
      </rPr>
      <t>final</t>
    </r>
    <r>
      <rPr>
        <b/>
        <sz val="10"/>
        <rFont val="Arial"/>
        <family val="2"/>
      </rPr>
      <t xml:space="preserve"> diagnosis).</t>
    </r>
  </si>
  <si>
    <t>Scottish Index of Multiple Deprivation</t>
  </si>
  <si>
    <t>SIMD 3</t>
  </si>
  <si>
    <t>SIMD 4</t>
  </si>
  <si>
    <t>SIMD 2</t>
  </si>
  <si>
    <t>SIMD 1 (most deprived)</t>
  </si>
  <si>
    <t>SIMD 5 (least deprived)</t>
  </si>
  <si>
    <t>Queen Elizabeth University Hospital</t>
  </si>
  <si>
    <t>Queen Elizabeth University Hospital (QEUH), Glasgow</t>
  </si>
  <si>
    <t>Number of acute strokes discharged in 2015</t>
  </si>
  <si>
    <r>
      <t xml:space="preserve">1. The column "Number of acute strokes </t>
    </r>
    <r>
      <rPr>
        <b/>
        <sz val="8"/>
        <rFont val="Arial"/>
        <family val="2"/>
      </rPr>
      <t>discharged</t>
    </r>
    <r>
      <rPr>
        <sz val="8"/>
        <rFont val="Arial"/>
        <family val="2"/>
      </rPr>
      <t xml:space="preserve"> in 2015" is based on inpatients with a final diagnosis of stroke discharged during Jan-Dec 2015 and this cohort of patients differs slightly from the inpatient cohort reported upon elsewhere in this National Report. For inpatients, the report focuses principally on those patients with a final diagnosis of stroke </t>
    </r>
    <r>
      <rPr>
        <b/>
        <sz val="8"/>
        <rFont val="Arial"/>
        <family val="2"/>
      </rPr>
      <t>admitted</t>
    </r>
    <r>
      <rPr>
        <sz val="8"/>
        <rFont val="Arial"/>
        <family val="2"/>
      </rPr>
      <t xml:space="preserve"> during Jan-Dec 2015. Some patients discharged in 2015 may have been admitted in 2014. Some patients admitted in 2015 may have been discharged in 2016.</t>
    </r>
  </si>
  <si>
    <t>Number of patients receiving thrombolysis in 2015</t>
  </si>
  <si>
    <t>Queen Elizabeth University Hospital, Glasgow (QEUH)</t>
  </si>
  <si>
    <r>
      <t>Mid-Year Population Estimate</t>
    </r>
    <r>
      <rPr>
        <b/>
        <vertAlign val="superscript"/>
        <sz val="10"/>
        <color indexed="9"/>
        <rFont val="Arial"/>
        <family val="2"/>
      </rPr>
      <t>2</t>
    </r>
    <r>
      <rPr>
        <b/>
        <sz val="10"/>
        <color indexed="9"/>
        <rFont val="Arial"/>
        <family val="2"/>
      </rPr>
      <t xml:space="preserve"> 2014</t>
    </r>
  </si>
  <si>
    <t>Residents</t>
  </si>
  <si>
    <t>Non-residents</t>
  </si>
  <si>
    <r>
      <t xml:space="preserve">Non-resident NHS Boards
</t>
    </r>
    <r>
      <rPr>
        <b/>
        <sz val="8"/>
        <color indexed="9"/>
        <rFont val="Arial"/>
        <family val="2"/>
      </rPr>
      <t>(ranked on number of events, high-to-low)</t>
    </r>
  </si>
  <si>
    <t>Orkney; Outside Scotland/ Not Known/ Other</t>
  </si>
  <si>
    <t>Greater Glasgow &amp; Clyde; Outside Scotland/ Not Known/ Other</t>
  </si>
  <si>
    <t>Fife; Outside Scotland/ Not Known/ Other</t>
  </si>
  <si>
    <t>Highland; Lanarkshire; Outside Scotland/ Not Known/ Other; Ayrshire &amp; Arran</t>
  </si>
  <si>
    <t>Outside Scotland/ Not Known/ Other; Western Isles</t>
  </si>
  <si>
    <t>Borders; Outside Scotland/ Not Known/ Other</t>
  </si>
  <si>
    <t>Victoria Hospital, Kirkcaldy</t>
  </si>
  <si>
    <t>1. Hospitals shown are those that provide a carotid intervention service and have submitted data to eSSCA for 2015.</t>
  </si>
  <si>
    <r>
      <t xml:space="preserve">2. Carotid intervention procedures </t>
    </r>
    <r>
      <rPr>
        <b/>
        <sz val="8"/>
        <rFont val="Arial"/>
        <family val="2"/>
      </rPr>
      <t>in Greater Glasgow and Clyde are carried out by a single team of surgeons on two sites</t>
    </r>
    <r>
      <rPr>
        <sz val="8"/>
        <rFont val="Arial"/>
        <family val="2"/>
      </rPr>
      <t xml:space="preserve"> - Western Infirmary Glasgow (WIG) and Southern General Hospital (SGH), prior to the transfer of services to the Queen Elizabeth University Hospital.</t>
    </r>
  </si>
  <si>
    <t>4. Health Board boundary changes occurred from April 2014. SSCA data use the revised Health Board boundaries. The issue primarily affects NHS Greater Glasgow &amp; Clyde and NHS Lanarkshire.</t>
  </si>
  <si>
    <t>Queen Elizabeth University Hospital, Glasgow</t>
  </si>
  <si>
    <t>Ayrshire &amp; Arran; Outside Scotland/ Not Known/ Other</t>
  </si>
  <si>
    <t>Lanarkshire; Outside Scotland/ Not Known/ Other; Highland; Ayrshire &amp; Arran</t>
  </si>
  <si>
    <t>Outside Scotland/ Not Known/ Other; Greater Glasgow &amp; Clyde</t>
  </si>
  <si>
    <t>Borders; Outside Scotland/ Not Known/ Other; Fife; Forth Valley</t>
  </si>
  <si>
    <t>Fife; Highland; OutsideScotland/ NotKnown/ Other</t>
  </si>
  <si>
    <t>Thrombolysis - numbers thrombolysed, 2014-2015 data.</t>
  </si>
  <si>
    <t>Thrombolysis - numbers thrombolysed and crude rate per 100,000 by Health Board of residence of patient, 2015 data.</t>
  </si>
  <si>
    <t>Thrombolysis - numbers thrombolysed as percentage of stroke patients, and as a rate per 100,000 total population, Scotland, 2008-2015.</t>
  </si>
  <si>
    <t>Carotid Endarterectomy - number of patients receiving a carotid endarterectomy in acute hospitals in Scotland during Jan-Dec 2015.</t>
  </si>
  <si>
    <r>
      <t xml:space="preserve">Chart 5  Percentage of acute ischaemic stroke patients given aspirin in hospital by number of days to receipt, 2015 data (based on </t>
    </r>
    <r>
      <rPr>
        <b/>
        <i/>
        <sz val="10"/>
        <rFont val="Arial"/>
        <family val="2"/>
      </rPr>
      <t>final</t>
    </r>
    <r>
      <rPr>
        <b/>
        <sz val="10"/>
        <rFont val="Arial"/>
        <family val="2"/>
      </rPr>
      <t xml:space="preserve"> diagnosis).</t>
    </r>
  </si>
  <si>
    <t>Table 1  Numbers of stroke patients by age, sex, case mix, deprivation category and NHS board of residence, 2015 data (final diagnosis).</t>
  </si>
  <si>
    <t>Stroke Patients Discharged during 2015</t>
  </si>
  <si>
    <t>FVRH3</t>
  </si>
  <si>
    <t>GRI3</t>
  </si>
  <si>
    <t>Hyper Acute  Stroke Unit (HASU)  beds</t>
  </si>
  <si>
    <t>(a) Within 30 mins</t>
  </si>
  <si>
    <t>(b) &gt;30&lt;=60 mins*</t>
  </si>
  <si>
    <t>(c) &gt;60&lt;=75 mins*</t>
  </si>
  <si>
    <t>Within 30 mins</t>
  </si>
  <si>
    <t>&gt;30&lt;=60 mins</t>
  </si>
  <si>
    <t>Note that the Scotland column in the chart is coloured green and red simply to differentiate it from the hospital columns and the colours are not indicative of performance. Light green corresponds to '&gt;60&lt;=75 mins', red corresponds to '&gt;30&lt;=60 mins' and dark green corresponds to 'Within 30 mins'.</t>
  </si>
  <si>
    <r>
      <t xml:space="preserve">Chart 1b (Health Board) Percentage of stroke patients receiving an 'appropriate' Stroke Care Bundle (i.e. Stroke Unit admission, swallow screen, brain scan and aspirin) - indicative baseline performance, 2015 data (based on </t>
    </r>
    <r>
      <rPr>
        <b/>
        <i/>
        <u/>
        <sz val="10"/>
        <rFont val="Arial"/>
        <family val="2"/>
      </rPr>
      <t>final</t>
    </r>
    <r>
      <rPr>
        <b/>
        <sz val="10"/>
        <rFont val="Arial"/>
        <family val="2"/>
      </rPr>
      <t xml:space="preserve"> diagnosis).</t>
    </r>
  </si>
  <si>
    <t>view Chart 1b (final diag) data</t>
  </si>
  <si>
    <t>Percentage
(ranked high-to-low for 2015 "Initial &amp; Final" by board)</t>
  </si>
  <si>
    <t>Dumfries &amp; Galloway (+)</t>
  </si>
  <si>
    <t>Grampian (-s)</t>
  </si>
  <si>
    <t>Lanarkshire (-)</t>
  </si>
  <si>
    <t>Tayside (-s)</t>
  </si>
  <si>
    <t>Ayrshire &amp; Arran (-s)</t>
  </si>
  <si>
    <t>Shetland (-)</t>
  </si>
  <si>
    <t>Western Isles (+s)</t>
  </si>
  <si>
    <t>Lothian (-)</t>
  </si>
  <si>
    <t>Orkney (+s)</t>
  </si>
  <si>
    <t>Tayside (+)</t>
  </si>
  <si>
    <r>
      <t xml:space="preserve">Chart 1a Trend in percentage of stroke patients receiving an 'appropriate' Stroke Care Bundle (i.e. Stroke Unit admission, swallow screen, brain scan and aspirin), by NHS Board, 2011 - 2015 data (based on </t>
    </r>
    <r>
      <rPr>
        <b/>
        <i/>
        <sz val="10"/>
        <rFont val="Arial"/>
        <family val="2"/>
      </rPr>
      <t>final</t>
    </r>
    <r>
      <rPr>
        <b/>
        <sz val="10"/>
        <rFont val="Arial"/>
        <family val="2"/>
      </rPr>
      <t xml:space="preserve"> diagnosis).</t>
    </r>
  </si>
  <si>
    <t>Trend in percentage of stroke patients receiving an 'appropriate' Stroke Care Bundle (i.e. Stroke Unit admission, swallow screen, brain scan and aspirin), by NHS Board, 2011 - 2015 data (based on initial diagnosis and, separately, on final diagnosis).</t>
  </si>
  <si>
    <r>
      <t xml:space="preserve">Percentage of stroke patients admitted to a Stroke Unit within 1 day of admission to hospital, 2014 and 2015 data (based on </t>
    </r>
    <r>
      <rPr>
        <b/>
        <i/>
        <sz val="10"/>
        <rFont val="Arial"/>
        <family val="2"/>
      </rPr>
      <t>final</t>
    </r>
    <r>
      <rPr>
        <sz val="10"/>
        <rFont val="Arial"/>
        <family val="2"/>
      </rPr>
      <t xml:space="preserve"> diagnosis).</t>
    </r>
  </si>
  <si>
    <r>
      <t xml:space="preserve">Percentage of stroke patients with a swallow screening on day of admission, 2014 and 2015 data (based on </t>
    </r>
    <r>
      <rPr>
        <b/>
        <i/>
        <sz val="10"/>
        <rFont val="Arial"/>
        <family val="2"/>
      </rPr>
      <t>final</t>
    </r>
    <r>
      <rPr>
        <sz val="10"/>
        <rFont val="Arial"/>
        <family val="2"/>
      </rPr>
      <t xml:space="preserve"> diagnosis).</t>
    </r>
  </si>
  <si>
    <r>
      <t xml:space="preserve">Percentage of stroke patients with a brain scan within 24 hours of admission, 2014 and 2015 data (based on </t>
    </r>
    <r>
      <rPr>
        <b/>
        <i/>
        <sz val="10"/>
        <rFont val="Arial"/>
        <family val="2"/>
      </rPr>
      <t>final</t>
    </r>
    <r>
      <rPr>
        <sz val="10"/>
        <rFont val="Arial"/>
        <family val="2"/>
      </rPr>
      <t xml:space="preserve"> diagnosis).</t>
    </r>
  </si>
  <si>
    <r>
      <t>Percentage of acute ischaemic stroke patients given aspirin in hospital within 1 day of admission, 2014 and 2015 data (based on</t>
    </r>
    <r>
      <rPr>
        <b/>
        <i/>
        <sz val="10"/>
        <rFont val="Arial"/>
        <family val="2"/>
      </rPr>
      <t xml:space="preserve"> final</t>
    </r>
    <r>
      <rPr>
        <sz val="10"/>
        <rFont val="Arial"/>
        <family val="2"/>
      </rPr>
      <t xml:space="preserve"> diagnosis).</t>
    </r>
  </si>
  <si>
    <r>
      <t xml:space="preserve">Percentage of stroke patients with a swallow screening by number of days to swallow screening, 2015 data (based on </t>
    </r>
    <r>
      <rPr>
        <b/>
        <i/>
        <sz val="10"/>
        <rFont val="Arial"/>
        <family val="2"/>
      </rPr>
      <t>final</t>
    </r>
    <r>
      <rPr>
        <sz val="10"/>
        <rFont val="Arial"/>
        <family val="2"/>
      </rPr>
      <t xml:space="preserve"> diagnosis).</t>
    </r>
  </si>
  <si>
    <r>
      <t xml:space="preserve">Percentage of stroke patients with a brain scan by number of hours to scan, 2015 data (based on </t>
    </r>
    <r>
      <rPr>
        <b/>
        <i/>
        <sz val="10"/>
        <rFont val="Arial"/>
        <family val="2"/>
      </rPr>
      <t>final</t>
    </r>
    <r>
      <rPr>
        <sz val="10"/>
        <rFont val="Arial"/>
        <family val="2"/>
      </rPr>
      <t xml:space="preserve"> diagnosis).</t>
    </r>
  </si>
  <si>
    <r>
      <t xml:space="preserve">Percentage of acute ischaemic stroke patients given aspirin in hospital by number of days to receipt, 2015 data (based on </t>
    </r>
    <r>
      <rPr>
        <b/>
        <i/>
        <sz val="10"/>
        <rFont val="Arial"/>
        <family val="2"/>
      </rPr>
      <t>final</t>
    </r>
    <r>
      <rPr>
        <sz val="10"/>
        <rFont val="Arial"/>
        <family val="2"/>
      </rPr>
      <t xml:space="preserve"> diagnosis).</t>
    </r>
  </si>
  <si>
    <t>Percentage of patients with definite cerebrovascular diagnosis seen in neurovascular clinic with referral to examination time within 4 days, 2014 and 2015 data.</t>
  </si>
  <si>
    <t>Percentage of patients with door to needle times for thrombolysis within 1 hour, 2014 and 2015 data.</t>
  </si>
  <si>
    <t>Percentage of patients undergoing a carotid intervention within 14 days of the event that led the patient to first seek medical assistance, 2014 and 2015 data.</t>
  </si>
  <si>
    <r>
      <rPr>
        <sz val="10"/>
        <rFont val="Arial"/>
        <family val="2"/>
      </rPr>
      <t xml:space="preserve">Length of stay for stroke patients - percentage of stay in Acute/ Integrated Stroke Unit, Stroke Rehabilitation Unit and percentage of patients admitted to a Stroke Unit during their stay, by hospital, 2015 data (based on </t>
    </r>
    <r>
      <rPr>
        <b/>
        <sz val="10"/>
        <rFont val="Arial"/>
        <family val="2"/>
      </rPr>
      <t>final</t>
    </r>
    <r>
      <rPr>
        <sz val="10"/>
        <rFont val="Arial"/>
        <family val="2"/>
      </rPr>
      <t xml:space="preserve"> diagnosis).</t>
    </r>
  </si>
  <si>
    <t>(Health Board) Percentage of stroke patients receiving an 'appropriate' Stroke Care Bundle (i.e. Stroke Unit admission, swallow screen, brain scan and aspirin), 2015 data (comparing initial diagnosis, final diagnosis and initial &amp; final diagnosis).</t>
  </si>
  <si>
    <t>Table 3  Thrombolysis - numbers thrombolysed, 2014 &amp; 2015 data.</t>
  </si>
  <si>
    <t>Table 4 Thrombolysis - numbers thrombolysed and crude rate per 100,000 by Health Board of residence of patient, 2015 data.</t>
  </si>
  <si>
    <t>Table 4 Thrombolysis - numbers thrombolysed and crude rate per 100,000 by Health Board of residence of patient, 2014 data.</t>
  </si>
  <si>
    <t>Table 5  Thrombolysis - numbers thrombolysed as percentage of stroke patients, and as a rate per 100,000 total population, Scotland, 2008-2015.</t>
  </si>
  <si>
    <t>Table 6  Carotid Endarterectomy - number of patients receiving a carotid endarterectomy in acute hospitals in Scotland during Jan-Dec 2015.</t>
  </si>
  <si>
    <t>Table 6  Carotid Endarterectomy - number of patients receiving a carotid endarterectomy in acute hospitals in Scotland during Jan-Dec 2014.</t>
  </si>
  <si>
    <t>Table 3</t>
  </si>
  <si>
    <t>Table 4</t>
  </si>
  <si>
    <t>Bracketed percentages in the chart legend relate to the 2013 Scottish Stroke Care Standards that NHS Boards are expected to achieve.There is no national standard for the 'appropriate bundle'' as NHS Boards set their own local targets for achievement by March 2016.</t>
  </si>
  <si>
    <t>Chart 17a</t>
  </si>
  <si>
    <t>Chart 17b</t>
  </si>
  <si>
    <t>Notes regarding Table 3:</t>
  </si>
  <si>
    <t>1. Note that this table is not directly comparable with Table 4 because it is based on hospital/ NHS board of treatment rather than Health Board of residence, upon which Table 6 is based. Health Boards may treat patients from outside their board area or may treat non-Scottish residents.</t>
  </si>
  <si>
    <r>
      <t>Notes regarding Table 4</t>
    </r>
    <r>
      <rPr>
        <sz val="8"/>
        <rFont val="Arial"/>
        <family val="2"/>
      </rPr>
      <t>:</t>
    </r>
  </si>
  <si>
    <t>1. Note that this table is not directly comparable with Table 3 because it is based on Health Board of residence rather than hospital/ NHS board of treatment , upon which Table 3 is based. Health Board residents may travel for treatment at hospitals outside their immediate Health Board area. Also, some patients may be non-Scottish residents.</t>
  </si>
  <si>
    <r>
      <t>3. At the time of preparing the table the population estimates used were the latest available from National Records of Scotland (formerly General Register Office for Scotland, which merged with National Archives of Scotland from 1</t>
    </r>
    <r>
      <rPr>
        <vertAlign val="superscript"/>
        <sz val="8"/>
        <rFont val="Arial"/>
        <family val="2"/>
      </rPr>
      <t>st</t>
    </r>
    <r>
      <rPr>
        <sz val="8"/>
        <rFont val="Arial"/>
        <family val="2"/>
      </rPr>
      <t xml:space="preserve"> April 2011). Health Board boundary changes occurred from April 2014. SSCA data and mid-year population estimates use the revised Health Board boundaries. The issue primarily affects NHS Greater Glasgow &amp; Clyde and NHS Lanarkshire.</t>
    </r>
  </si>
  <si>
    <r>
      <t>Notes regarding Table 4 (2014)</t>
    </r>
    <r>
      <rPr>
        <sz val="8"/>
        <rFont val="Arial"/>
        <family val="2"/>
      </rPr>
      <t>:</t>
    </r>
  </si>
  <si>
    <r>
      <t>Note regarding Table 5</t>
    </r>
    <r>
      <rPr>
        <sz val="8"/>
        <rFont val="Arial"/>
        <family val="2"/>
      </rPr>
      <t>:</t>
    </r>
  </si>
  <si>
    <t>Notes regarding Table 6:</t>
  </si>
  <si>
    <t>Notes regarding Table 6 (2014):</t>
  </si>
  <si>
    <t>1. Hospitals shown are those that provide a carotid intervention service and have submitted data to eSSCA for 2014.</t>
  </si>
  <si>
    <r>
      <t xml:space="preserve">2. Carotid intervention procedures </t>
    </r>
    <r>
      <rPr>
        <b/>
        <sz val="8"/>
        <rFont val="Arial"/>
        <family val="2"/>
      </rPr>
      <t>in Greater Glasgow and Clyde are carried out by a single team of surgeons on two sites</t>
    </r>
    <r>
      <rPr>
        <sz val="8"/>
        <rFont val="Arial"/>
        <family val="2"/>
      </rPr>
      <t xml:space="preserve"> - Western Infirmary Glasgow (WIG) and Southern General Hospital (SGH).</t>
    </r>
  </si>
  <si>
    <t>3. Balfour Hospital, NHS Orkney, implemented a CT scanning service during 2015. Prior to the introduction of this service, patients were airlifted to Aberdeen Royal Infirmary and a proportion may have arrived in sufficient time to have brain imaging within 24 hours of admission.</t>
  </si>
  <si>
    <t>Notes regarding Chart 4 (2014):</t>
  </si>
  <si>
    <t>Notes regarding Chart 3 (2014):</t>
  </si>
  <si>
    <t>Notes regarding Chart 5 (2014):</t>
  </si>
  <si>
    <t>1. Appropriate Bundle (final diagnosis)</t>
  </si>
  <si>
    <t>There is no national Scottish Stroke Care Standard to be achieved but NHS Boards set their own local targets for achievement by March 2016.</t>
  </si>
  <si>
    <r>
      <rPr>
        <b/>
        <sz val="8"/>
        <color theme="1"/>
        <rFont val="Arial"/>
        <family val="2"/>
      </rPr>
      <t>1.</t>
    </r>
    <r>
      <rPr>
        <sz val="8"/>
        <color theme="1"/>
        <rFont val="Arial"/>
        <family val="2"/>
      </rPr>
      <t xml:space="preserve"> Hospital shown are those that provide a carotid intervention service and have submitted data to eSSCA for 2014/2015. </t>
    </r>
  </si>
  <si>
    <t xml:space="preserve">    or discharge. This means the table is not directly comparable to the discharge figures shown in Table 2.</t>
  </si>
  <si>
    <r>
      <t xml:space="preserve">Chart 1a Trend in percentage of stroke patients receiving an 'appropriate' Stroke Care Bundle (i.e. Stroke Unit admission, swallow screen, brain scan and aspirin), by NHS Board, 2011 - 2015 data (based on </t>
    </r>
    <r>
      <rPr>
        <b/>
        <i/>
        <sz val="10"/>
        <rFont val="Arial"/>
        <family val="2"/>
      </rPr>
      <t>initial</t>
    </r>
    <r>
      <rPr>
        <b/>
        <sz val="10"/>
        <rFont val="Arial"/>
        <family val="2"/>
      </rPr>
      <t xml:space="preserve"> diagnosis).</t>
    </r>
  </si>
  <si>
    <t>1. Balfour Hospital, NHS Orkney, implemented a CT scanning service during 2015. Prior to the introduction of this service, patients were airlifted to Aberdeen Royal Infirmary and a proportion may have arrived in sufficient time to have brain imaging within 24 hours of admission. This should be borne in mind when comparing brain imaging performance for NHS Orkney between 2014 and 2015.</t>
  </si>
  <si>
    <t>From 30/11/2015, all HASU beds have been located at Crosshouse Hospital on an interim basis.</t>
  </si>
  <si>
    <t>Number of Final Diagnosis Strokes</t>
  </si>
  <si>
    <t>Monklands Hospital, Airdrie</t>
  </si>
  <si>
    <t>32 ASU beds until July 2015, then changed to 44 ISU beds. SRU beds off site at Astley Ainslie Hospital.</t>
  </si>
  <si>
    <t>40 beds fulfilled definition of SU but shared with Medicine of the Elderly (MoE).</t>
  </si>
  <si>
    <t>4. Galloway Community Hospital recorded only one outpatient imaging event in 2015 and has not been included in the chart. However, this event is included in calculating the median waits for Scotland.</t>
  </si>
  <si>
    <t>5. Royal Infirmary of Edinburgh and Stracathro Hospital did not perform outpatient imaging in 2015. However, their 2014 events have been included in the 2014 median waits for Scotland.</t>
  </si>
  <si>
    <t>1. In some instances, data entered into eSSCA are assigned to admitting hospitals other than the main acute hospitals participating in the Scottish Stroke Care Audit. Data for these hospitals are combined with data for their respective main acute hospitals.</t>
  </si>
  <si>
    <t>3. The chart only includes events where all relevant dates (last event, event to referral, referral received, appointment, attendance and imaging) are present and ordered chronologically.</t>
  </si>
  <si>
    <t>2.  Five Hospitals (Balfour Hospital, Belford Hospital, Gilbert Bain Hospital, Glasgow Royal Infirmary and Royal Alexandra Hospital) did not thrombolyse enough patients to present meaningfully as a box plot.</t>
  </si>
  <si>
    <t>3.  In some instances, data entered into eSSCA are assigned to admitting hospitals other than the main acute hospitals participating in the Scottish Stroke Care Audit. Data for these hospitals are combined with data for their respective main acute hospitals.</t>
  </si>
  <si>
    <t>4. Some hospitals (e.g. Queen Elizabeth University Hospital) receive a small number of patients transferred from neighbouring Health Boards which may affect their onset-to-needle time performance.</t>
  </si>
  <si>
    <t>5. The entry for Scotland includes the thrombolysis events for the five hospitals not listed. The calculations for the Scotland box plot also include all the data points beyond the chart axis although these are not annotated on the Scotland entry in the chart.</t>
  </si>
  <si>
    <t>6. The central boxes display the middle 50% of the data which is any data point within the 2nd and 3rd quartiles.  The meeting point of the the two boxes is the median.  Data outside this is included in the whisker unless the data point is greater than 1.5x the interquartile range (the two grey boxes). These data points are deemed to be outliers and are reported as a point separate from the box and whisker plot.</t>
  </si>
  <si>
    <t>Rate per 100,000 residents</t>
  </si>
  <si>
    <t>5. At the time of preparing the table the population estimates used were the latest available from National Records of Scotland (formerly General Register Office for Scotland, which merged with National Archives of Scotland from 1st April 2011). Health Board boundary changes occurred from April 2014. SSCA data and mid-year population estimates use the revised Health Board boundaries. The issue primarily affects NHS Greater Glasgow &amp; Clyde and NHS Lanarkshire.</t>
  </si>
  <si>
    <t>Mean Age Males (years)</t>
  </si>
  <si>
    <t>Mean Age Females (years)</t>
  </si>
  <si>
    <t>Males</t>
  </si>
  <si>
    <t>Ischaemic Strokes</t>
  </si>
  <si>
    <t>SIMD 1
(Most deprived)</t>
  </si>
  <si>
    <t>SIMD 5
(Least deprived)</t>
  </si>
  <si>
    <t>Percentage of Confirmed Strokes</t>
  </si>
  <si>
    <t>Table 1  Numbers of confirmed stroke patients by NHS Board of Residence, showing percentage by age, sex, stroke type, case mix and deprivation category, 2015 data (final diagnosis).</t>
  </si>
  <si>
    <t>Crude rate per 100,000 residents</t>
  </si>
  <si>
    <t>Standard60</t>
  </si>
  <si>
    <t>Chart 4  Percentage of stroke patients with a brain scan by number of hours to scan, 2015 data (based on final diagnosis).</t>
  </si>
  <si>
    <t>Chart 4  Percentage of stroke patients with a brain scan by number of hours to scan, 2014 data (based on final diagnosis).</t>
  </si>
  <si>
    <t>Confirmed Strokes admitted during 2015</t>
  </si>
  <si>
    <r>
      <t xml:space="preserve">Chart 1c (Hospital) Percentage of stroke patients receiving an 'appropriate' Stroke Care Bundle (i.e. Stroke Unit admission, swallow screen, brain scan and aspirin), 2015 data (based on </t>
    </r>
    <r>
      <rPr>
        <b/>
        <i/>
        <u/>
        <sz val="10"/>
        <rFont val="Arial"/>
        <family val="2"/>
      </rPr>
      <t>final</t>
    </r>
    <r>
      <rPr>
        <b/>
        <sz val="10"/>
        <rFont val="Arial"/>
        <family val="2"/>
      </rPr>
      <t xml:space="preserve"> diagnosis).</t>
    </r>
  </si>
  <si>
    <t>view Chart 1c (final) data</t>
  </si>
  <si>
    <r>
      <t>Notes regarding Chart 1c (final diagnosis)</t>
    </r>
    <r>
      <rPr>
        <sz val="8"/>
        <color indexed="8"/>
        <rFont val="Arial"/>
        <family val="2"/>
      </rPr>
      <t>:</t>
    </r>
  </si>
  <si>
    <r>
      <t xml:space="preserve">1. The denominator for the </t>
    </r>
    <r>
      <rPr>
        <b/>
        <sz val="8"/>
        <rFont val="Arial"/>
        <family val="2"/>
      </rPr>
      <t>percentages excludes patients with valid reasons not to give early aspirin</t>
    </r>
    <r>
      <rPr>
        <sz val="8"/>
        <rFont val="Arial"/>
        <family val="2"/>
      </rPr>
      <t>.</t>
    </r>
  </si>
  <si>
    <r>
      <t xml:space="preserve">2. The following </t>
    </r>
    <r>
      <rPr>
        <b/>
        <sz val="8"/>
        <rFont val="Arial"/>
        <family val="2"/>
      </rPr>
      <t>hospitals either do not hold specialist stroke/TIA clinics or do not collect and submit data to SSCA</t>
    </r>
    <r>
      <rPr>
        <sz val="8"/>
        <rFont val="Arial"/>
        <family val="2"/>
      </rPr>
      <t xml:space="preserve"> – Caithness, QEUH, WIG, GCH, Belford, GRI, IRH, VI Glasgow, RAH, RIE, Balfour, Gilbert Bain and Uist &amp; Barra. The </t>
    </r>
    <r>
      <rPr>
        <b/>
        <sz val="8"/>
        <rFont val="Arial"/>
        <family val="2"/>
      </rPr>
      <t>omission of these data may affect the estimate of national performance</t>
    </r>
    <r>
      <rPr>
        <sz val="8"/>
        <rFont val="Arial"/>
        <family val="2"/>
      </rPr>
      <t xml:space="preserve"> based on those hospitals contributing to SSCA.</t>
    </r>
  </si>
  <si>
    <t>Chart 6  Percentage of patients with definite cerebrovascular diagnosis seen in specialist stroke/ TIA clinic with referral to examination time within 4 days, 2014 and 2015 data.</t>
  </si>
  <si>
    <t>Chart 7   Percentage of patients with definite cerebrovascular diagnosis seen in specialist stroke/ TIA clinic with referral to examination time (days): same day and within 1, 2-4 and 5-7 days, 2015 data.</t>
  </si>
  <si>
    <t>Chart 7   Percentage of patients with definite cerebrovascular diagnosis seen in specialist stroke/ TIA clinic with referral to examination time (days): same day and within 1, 2-4 and 5-7 days, 2014 data.</t>
  </si>
  <si>
    <t>Notes regarding Chart 7 (2014):</t>
  </si>
  <si>
    <t>Chart 8 Median waits since stroke event to points on the outpatient imaging timeline, 2015 and 2014 data.</t>
  </si>
  <si>
    <t>2. The following hospitals either do not hold specialist stroke/TIA clinics or do not collect and submit data to SSCA – Caithness, GCH, Belford, GRI, IRH, QEUH, RAH, RIE, Balfour, Gilbert Bain and Uist &amp; Barra. The omission of these data may affect the estimate of national performance based on those hospitals contributing to SSCA.</t>
  </si>
  <si>
    <t>Chart 9   Percentage of patients with door-to-needle times for thrombolysis within 1 hour, 2014 and 2015 data.</t>
  </si>
  <si>
    <t>For notes regarding Chart 9 please see notes regarding Chart 10.</t>
  </si>
  <si>
    <t>Chart 10  Percentage of patients receiving thrombolysis within 30, 60 &amp; 75 minutes of arrival at first hospital,  2015 data.</t>
  </si>
  <si>
    <t>Chart 10  Percentage of patients receiving thrombolysis within 30, 60 &amp; 75 minutes of arrival at first hospital,  2014 data.</t>
  </si>
  <si>
    <t>Notes regarding Charts 9 and 10:</t>
  </si>
  <si>
    <t>Notes regarding Charts 9 and 10 (2014):</t>
  </si>
  <si>
    <t>Chart 11 Thrombolysis door-to-needle time distributions (minutes) by hospital, 2014 and 2015 data.</t>
  </si>
  <si>
    <r>
      <t>Notes regarding Chart 11</t>
    </r>
    <r>
      <rPr>
        <sz val="8"/>
        <color indexed="8"/>
        <rFont val="Arial"/>
        <family val="2"/>
      </rPr>
      <t>:</t>
    </r>
  </si>
  <si>
    <t>Chart 12  Percentage of patients undergoing a carotid intervention within 14 days of the event that led the patient to first seek medical assistance, 2014 and 2015 data.</t>
  </si>
  <si>
    <t>Notes regarding chart 12:</t>
  </si>
  <si>
    <t>Bracketed number on chart x-axis indicates number of patients in denominator for 2015.</t>
  </si>
  <si>
    <r>
      <t xml:space="preserve">1. </t>
    </r>
    <r>
      <rPr>
        <b/>
        <sz val="8"/>
        <rFont val="Arial"/>
        <family val="2"/>
      </rPr>
      <t>Hospitals shown are those that provide a carotid intervention service</t>
    </r>
    <r>
      <rPr>
        <sz val="8"/>
        <rFont val="Arial"/>
        <family val="2"/>
      </rPr>
      <t xml:space="preserve"> </t>
    </r>
    <r>
      <rPr>
        <b/>
        <sz val="8"/>
        <rFont val="Arial"/>
        <family val="2"/>
      </rPr>
      <t>and have submitted data to eSSCA for 2015</t>
    </r>
    <r>
      <rPr>
        <sz val="8"/>
        <rFont val="Arial"/>
        <family val="2"/>
      </rPr>
      <t xml:space="preserve">. </t>
    </r>
    <r>
      <rPr>
        <b/>
        <sz val="8"/>
        <rFont val="Arial"/>
        <family val="2"/>
      </rPr>
      <t/>
    </r>
  </si>
  <si>
    <t>3. A small proportion of records have a carotid intervention date but no date recorded for the event that led to the first medical assessment. These records are included in the denominator because the presence of an intervention date indicates that a carotid intervention was performed. The absence of a date for the event that led to the first medical assessment, however, prevents the calculation of days to carotid intervention so these cases cannot be measured against the 14 day standard and cannot be confirmed as having achieved it and are assumed not to have done so. This is a slightly different approach from Chart 16b where inclusion in the chart requires both a carotid intervention date and date recorded for the event that led to the first medical assessment. As a result, the Chart 12 denominators, for individual hospitals, may be slightly higher than those in Chart 16b.</t>
  </si>
  <si>
    <r>
      <t xml:space="preserve">Chart 13 Length of stay for stroke patients - percentage of stay in Stroke Unit and percentage of patients admitted to a Stroke Unit during their stay, by hospital, 2015 data (based on </t>
    </r>
    <r>
      <rPr>
        <b/>
        <i/>
        <sz val="10"/>
        <rFont val="Arial"/>
        <family val="2"/>
      </rPr>
      <t>final</t>
    </r>
    <r>
      <rPr>
        <b/>
        <sz val="10"/>
        <rFont val="Arial"/>
        <family val="2"/>
      </rPr>
      <t xml:space="preserve"> diagnosis).</t>
    </r>
  </si>
  <si>
    <r>
      <t xml:space="preserve">Chart 14a Comparison of </t>
    </r>
    <r>
      <rPr>
        <b/>
        <i/>
        <sz val="10"/>
        <rFont val="Arial"/>
        <family val="2"/>
      </rPr>
      <t>initial</t>
    </r>
    <r>
      <rPr>
        <b/>
        <sz val="10"/>
        <rFont val="Arial"/>
        <family val="2"/>
      </rPr>
      <t xml:space="preserve"> diagnosis of stroke versus </t>
    </r>
    <r>
      <rPr>
        <b/>
        <i/>
        <sz val="10"/>
        <rFont val="Arial"/>
        <family val="2"/>
      </rPr>
      <t>final</t>
    </r>
    <r>
      <rPr>
        <b/>
        <sz val="10"/>
        <rFont val="Arial"/>
        <family val="2"/>
      </rPr>
      <t xml:space="preserve"> diagnosis of stroke, 2015 data.</t>
    </r>
  </si>
  <si>
    <t>Notes regarding chart 14a:</t>
  </si>
  <si>
    <r>
      <t xml:space="preserve">Chart 14a Comparison of </t>
    </r>
    <r>
      <rPr>
        <b/>
        <i/>
        <sz val="10"/>
        <rFont val="Arial"/>
        <family val="2"/>
      </rPr>
      <t>initial</t>
    </r>
    <r>
      <rPr>
        <b/>
        <sz val="10"/>
        <rFont val="Arial"/>
        <family val="2"/>
      </rPr>
      <t xml:space="preserve"> diagnosis of stroke versus </t>
    </r>
    <r>
      <rPr>
        <b/>
        <i/>
        <sz val="10"/>
        <rFont val="Arial"/>
        <family val="2"/>
      </rPr>
      <t>final</t>
    </r>
    <r>
      <rPr>
        <b/>
        <sz val="10"/>
        <rFont val="Arial"/>
        <family val="2"/>
      </rPr>
      <t xml:space="preserve"> diagnosis of stroke, 2014 data.</t>
    </r>
  </si>
  <si>
    <t>Notes regarding chart 14a (2014):</t>
  </si>
  <si>
    <r>
      <t xml:space="preserve">Chart 14b (Health Board) Percentage of stroke patients receiving an 'appropriate' Stroke Care Bundle (i.e. Stroke Unit admission, swallow screen, brain scan and aspirin), 2015 data (comparing </t>
    </r>
    <r>
      <rPr>
        <b/>
        <i/>
        <sz val="10"/>
        <rFont val="Arial"/>
        <family val="2"/>
      </rPr>
      <t>initial</t>
    </r>
    <r>
      <rPr>
        <b/>
        <sz val="10"/>
        <rFont val="Arial"/>
        <family val="2"/>
      </rPr>
      <t xml:space="preserve"> diagnosis, </t>
    </r>
    <r>
      <rPr>
        <b/>
        <i/>
        <sz val="10"/>
        <rFont val="Arial"/>
        <family val="2"/>
      </rPr>
      <t>final</t>
    </r>
    <r>
      <rPr>
        <b/>
        <sz val="10"/>
        <rFont val="Arial"/>
        <family val="2"/>
      </rPr>
      <t xml:space="preserve"> diagnosis and </t>
    </r>
    <r>
      <rPr>
        <b/>
        <i/>
        <sz val="10"/>
        <rFont val="Arial"/>
        <family val="2"/>
      </rPr>
      <t>initial &amp; final</t>
    </r>
    <r>
      <rPr>
        <b/>
        <sz val="10"/>
        <rFont val="Arial"/>
        <family val="2"/>
      </rPr>
      <t xml:space="preserve"> diagnosis).</t>
    </r>
  </si>
  <si>
    <t>Chart 15  Ischaemic stroke patients thrombolysed, receiving repeat scans and showing evidence of haemorrhage on repeat scan, 2015 data (final diagnosis)</t>
  </si>
  <si>
    <t>Notes regarding chart 15:</t>
  </si>
  <si>
    <t>Chart 15  Ischaemic stroke patients thrombolysed, receiving repeat scans and showing evidence of haemorrhage on repeat scan, 2014 data (final diagnosis)</t>
  </si>
  <si>
    <t>Chart 16a Distribution of time between stroke event and carotid intervention by health board of residence, 2014 and 2015 data.</t>
  </si>
  <si>
    <t>Notes regarding Chart 16a:</t>
  </si>
  <si>
    <r>
      <rPr>
        <b/>
        <sz val="8"/>
        <color theme="1"/>
        <rFont val="Arial"/>
        <family val="2"/>
      </rPr>
      <t>4.</t>
    </r>
    <r>
      <rPr>
        <sz val="8"/>
        <color theme="1"/>
        <rFont val="Arial"/>
        <family val="2"/>
      </rPr>
      <t xml:space="preserve"> Only cases where there are valid dates for the event that led to the first medical assessment and date of carotid intervention have been included. This is a slightly different approach from the denominators used in Table 5 where records with a date of carotid intervention but no dates for the event that led to the first medical assessment may be included. As a result, the Chart 16a denominators, for individual Health Boards, may be slightly lower than those in Table 5.</t>
    </r>
  </si>
  <si>
    <t>Chart 16b Distribution of time between stroke event and carotid intervention by interventionist location, 2014 and 2015 data.</t>
  </si>
  <si>
    <t>Notes regarding Chart 16b:</t>
  </si>
  <si>
    <r>
      <t xml:space="preserve">Chart 17a Trend in percentage of stroke patients admitted to a stroke unit within 1 day of admission to hospital, by NHS Board, 2011 - 2015 data (based on </t>
    </r>
    <r>
      <rPr>
        <b/>
        <i/>
        <sz val="10"/>
        <rFont val="Arial"/>
        <family val="2"/>
      </rPr>
      <t>final</t>
    </r>
    <r>
      <rPr>
        <b/>
        <sz val="10"/>
        <rFont val="Arial"/>
        <family val="2"/>
      </rPr>
      <t xml:space="preserve"> diagnosis).</t>
    </r>
  </si>
  <si>
    <t>For notes affecting the interpretation of Chart 17a please see Chart 2a.</t>
  </si>
  <si>
    <r>
      <t xml:space="preserve">Chart 17b Trend in percentage of stroke patients receiving a swallow screen on the day of admission to hospital, by NHS Board, 2011 - 2015 data (based on </t>
    </r>
    <r>
      <rPr>
        <b/>
        <i/>
        <sz val="10"/>
        <rFont val="Arial"/>
        <family val="2"/>
      </rPr>
      <t>final</t>
    </r>
    <r>
      <rPr>
        <b/>
        <sz val="10"/>
        <rFont val="Arial"/>
        <family val="2"/>
      </rPr>
      <t xml:space="preserve"> diagnosis).</t>
    </r>
  </si>
  <si>
    <t>For notes affecting the interpretation of Chart 17b please see Chart 2b.</t>
  </si>
  <si>
    <r>
      <t xml:space="preserve">Chart 17c Trend in percentage of stroke patients receiving a brain scan within 24 hours of admission to hospital, by NHS Board, 2010 - 2014 data (based on </t>
    </r>
    <r>
      <rPr>
        <b/>
        <i/>
        <sz val="10"/>
        <rFont val="Arial"/>
        <family val="2"/>
      </rPr>
      <t>final</t>
    </r>
    <r>
      <rPr>
        <b/>
        <sz val="10"/>
        <rFont val="Arial"/>
        <family val="2"/>
      </rPr>
      <t xml:space="preserve"> diagnosis).</t>
    </r>
  </si>
  <si>
    <t>For notes affecting the interpretation of Chart 17c please see Chart 2c.</t>
  </si>
  <si>
    <t>the period presented in Chart 17c and this should be borne in mind when interpreting the information in the accompanying data table (Chart 17c DATA).</t>
  </si>
  <si>
    <r>
      <t xml:space="preserve">Chart 17d Trend in percentage of stroke patients receiving aspirin within 1 day of admission to hospital, by NHS Board, 2011 - 2015 data (based on </t>
    </r>
    <r>
      <rPr>
        <b/>
        <i/>
        <sz val="10"/>
        <rFont val="Arial"/>
        <family val="2"/>
      </rPr>
      <t>final</t>
    </r>
    <r>
      <rPr>
        <b/>
        <sz val="10"/>
        <rFont val="Arial"/>
        <family val="2"/>
      </rPr>
      <t xml:space="preserve"> diagnosis).</t>
    </r>
  </si>
  <si>
    <t>For notes affecting the interpretation of Chart 17d please see Chart 2d.</t>
  </si>
  <si>
    <t>Chart 17e Trends in Scotland percentages for Scottish Stroke Care Standards for inpatients, 2011 - 2015 data.</t>
  </si>
  <si>
    <t>view Chart 17b data</t>
  </si>
  <si>
    <t>view Chart 17c data</t>
  </si>
  <si>
    <t>view Chart 17d data</t>
  </si>
  <si>
    <t>view Chart 17e data</t>
  </si>
  <si>
    <t>view Chart 17a data</t>
  </si>
  <si>
    <t>view Chart 14b data</t>
  </si>
  <si>
    <t>view Chart 9 data</t>
  </si>
  <si>
    <t>view Chart 6 data</t>
  </si>
  <si>
    <t>The information in this table provides details of the numerators and denominators used to calculate the percentages appearing in Tables 1a, 1b and 1c of the PDF version of the annual report.</t>
  </si>
  <si>
    <t>The information in this table is presented as Tables 1a, 1b and 1c of the PDF version of the annual report.</t>
  </si>
  <si>
    <t>Thrombolysis door-to-needle time distribution, minutes, by hospital, 2014 and 2015 data.</t>
  </si>
  <si>
    <t>Chart 14a</t>
  </si>
  <si>
    <t>Chart 14b</t>
  </si>
  <si>
    <t>Chart 15</t>
  </si>
  <si>
    <t>Notes regarding chart 15 (2014):</t>
  </si>
  <si>
    <t>Chart 16a</t>
  </si>
  <si>
    <t>Chart 16b</t>
  </si>
  <si>
    <t>the period presented in Chart 17b and this should be borne in mind when interpreting the information in the accompanying data table (Chart 17b DATA).</t>
  </si>
  <si>
    <t>Chart 17c</t>
  </si>
  <si>
    <t>Chart 17d</t>
  </si>
  <si>
    <t>Chart 17e</t>
  </si>
  <si>
    <t>Tables 1a 1b 1c</t>
  </si>
  <si>
    <t>1. Hospitals shown are those that provide a thrombolysis service. Records included must have date and time of arrival at first hospital and date and time of thrombolysis to permit the calculation of time to thrombolysis and a small proportion of records are missing these data items.  These records have been excluded from Chart 11. This is a slightly different approach from the denominators used in Chart 9 and Chart 10 where records with a thrombolysis date but no thrombolysis time may be included. As a result, the Chart 11 denominators, for individual hospitals, may be slightly lower than those in either Chart 9 or Chart 10.</t>
  </si>
  <si>
    <r>
      <t>1.</t>
    </r>
    <r>
      <rPr>
        <b/>
        <sz val="8"/>
        <rFont val="Arial"/>
        <family val="2"/>
      </rPr>
      <t xml:space="preserve"> Hospitals shown are those that provide a thrombolysis service</t>
    </r>
    <r>
      <rPr>
        <sz val="8"/>
        <rFont val="Arial"/>
        <family val="2"/>
      </rPr>
      <t>. See Table 3 for further details. Records included must have date and time of arrival at first hospital and date and time of thrombolysis to permit the calculation of time to thrombolysis and a small proportion of records are missing these data items.</t>
    </r>
  </si>
  <si>
    <t>6. A small proportion of records have thrombolysis date recorded but no thrombolysis time. These records are included in the denominator because the presence of a date indicates thrombolysis occurred. The absence of a thrombolysis time, however, prevents the calculation of door-to-needle time so these cases cannot be measured against the 60 minute standard and cannot be confirmed as having achieved it and are assumed not to have done so. This is a slightly different approach from Chart 11 where inclusion in the chart requires both a thrombolysis date and thrombolysis time. As a result, the Chart 9 and Chart 10 denominators, for individual hospitals, may be slightly higher than those in Chart 11.</t>
  </si>
  <si>
    <r>
      <rPr>
        <b/>
        <sz val="8"/>
        <color theme="1"/>
        <rFont val="Arial"/>
        <family val="2"/>
      </rPr>
      <t xml:space="preserve">4. </t>
    </r>
    <r>
      <rPr>
        <sz val="8"/>
        <color theme="1"/>
        <rFont val="Arial"/>
        <family val="2"/>
      </rPr>
      <t>Only hospitals where there are valid dates for the event that led to the first medical assessment and date of carotid intervention have been included. This is a slightly different approach from the denominators used in Table 6 and Chart 12 where records with a date of carotid intervention but no dates for the event that led to the first medical assessment may be included. As a result, the Chart 16b denominators, for individual hospitals, may be slightly lower than those in Table 5 and Chart 12.</t>
    </r>
  </si>
  <si>
    <t>For notes affecting the interpretation of Chart 18e please see the individual charts for the respective components detailed in Chart 17e. These are listed below.</t>
  </si>
  <si>
    <t>the period presented in Chart 18e and this should be borne in mind when interpreting the information in the accompanying data table (Chart 17e DATA).</t>
  </si>
  <si>
    <t>view Chart 7 data</t>
  </si>
  <si>
    <t>view Chart 5 data</t>
  </si>
  <si>
    <t>view Chart 4 data</t>
  </si>
  <si>
    <t>view Chart 3 data</t>
  </si>
  <si>
    <t>view Chart 1a (final diagnosis) data</t>
  </si>
  <si>
    <t>Numbers and percentages of stroke patients by age, sex, case mix, deprivation category and NHS board of residence, 2015 data (final diagnosis).</t>
  </si>
  <si>
    <t>Tables 1a 1b 1c extra detail</t>
  </si>
  <si>
    <t>For a more detailed version of this table please see worksheet …</t>
  </si>
  <si>
    <t>view Chart 13 data</t>
  </si>
  <si>
    <r>
      <t xml:space="preserve">Chart 13 Length of stay for stroke patients - percentage of stay in Stroke Unit and percentage of patients admitted to a Stroke Unit during their stay, by hospital, 2014 data (based on </t>
    </r>
    <r>
      <rPr>
        <b/>
        <i/>
        <sz val="10"/>
        <rFont val="Arial"/>
        <family val="2"/>
      </rPr>
      <t>final</t>
    </r>
    <r>
      <rPr>
        <b/>
        <sz val="10"/>
        <rFont val="Arial"/>
        <family val="2"/>
      </rPr>
      <t xml:space="preserve"> diagnosis).</t>
    </r>
  </si>
  <si>
    <t>2. Records are included if a thrombolysis date is present; a small proportion of these records will not have an associated thrombolysis time recorded. This table also includes a small proportion of patients who were thrombolysed for a non-index event. This differs slightly from Chart 9 where measurement of the 60 minute thrombolysis door-to-needle time standard focuses on patients thrombolysed for index events only.</t>
  </si>
  <si>
    <t>Chart 1b (final diag)</t>
  </si>
  <si>
    <t>Chart 1c (final diag)</t>
  </si>
  <si>
    <r>
      <rPr>
        <u/>
        <sz val="10"/>
        <rFont val="Arial"/>
        <family val="2"/>
      </rPr>
      <t>Hospital</t>
    </r>
    <r>
      <rPr>
        <sz val="10"/>
        <rFont val="Arial"/>
        <family val="2"/>
      </rPr>
      <t xml:space="preserve">: Percentage of stroke patients receiving an 'appropriate' Stroke Care Bundle (i.e. Stroke Unit admission, swallow screen, brain scan and aspirin), 2015 data (based on </t>
    </r>
    <r>
      <rPr>
        <b/>
        <i/>
        <sz val="10"/>
        <rFont val="Arial"/>
        <family val="2"/>
      </rPr>
      <t>initial</t>
    </r>
    <r>
      <rPr>
        <sz val="10"/>
        <rFont val="Arial"/>
        <family val="2"/>
      </rPr>
      <t xml:space="preserve"> diagnosis).</t>
    </r>
  </si>
  <si>
    <r>
      <rPr>
        <u/>
        <sz val="10"/>
        <rFont val="Arial"/>
        <family val="2"/>
      </rPr>
      <t>Health Board</t>
    </r>
    <r>
      <rPr>
        <sz val="10"/>
        <rFont val="Arial"/>
        <family val="2"/>
      </rPr>
      <t xml:space="preserve">: Percentage of stroke patients receiving an 'appropriate' Stroke Care Bundle (i.e. Stroke Unit admission, swallow screen, brain scan and aspirin), 2015 data (based on </t>
    </r>
    <r>
      <rPr>
        <b/>
        <i/>
        <sz val="10"/>
        <rFont val="Arial"/>
        <family val="2"/>
      </rPr>
      <t>initial</t>
    </r>
    <r>
      <rPr>
        <sz val="10"/>
        <rFont val="Arial"/>
        <family val="2"/>
      </rPr>
      <t xml:space="preserve"> diagnosis).</t>
    </r>
  </si>
  <si>
    <r>
      <rPr>
        <u/>
        <sz val="10"/>
        <rFont val="Arial"/>
        <family val="2"/>
      </rPr>
      <t>Health Board</t>
    </r>
    <r>
      <rPr>
        <sz val="10"/>
        <rFont val="Arial"/>
        <family val="2"/>
      </rPr>
      <t xml:space="preserve">: Percentage of stroke patients receiving an 'appropriate' Stroke Care Bundle (i.e. Stroke Unit admission, swallow screen, brain scan and aspirin), 2015 data (based on </t>
    </r>
    <r>
      <rPr>
        <b/>
        <i/>
        <sz val="10"/>
        <rFont val="Arial"/>
        <family val="2"/>
      </rPr>
      <t>final</t>
    </r>
    <r>
      <rPr>
        <sz val="10"/>
        <rFont val="Arial"/>
        <family val="2"/>
      </rPr>
      <t xml:space="preserve"> diagnosis).</t>
    </r>
  </si>
  <si>
    <r>
      <rPr>
        <u/>
        <sz val="10"/>
        <rFont val="Arial"/>
        <family val="2"/>
      </rPr>
      <t>Hospital</t>
    </r>
    <r>
      <rPr>
        <sz val="10"/>
        <rFont val="Arial"/>
        <family val="2"/>
      </rPr>
      <t xml:space="preserve">: Percentage of stroke patients receiving an 'appropriate' Stroke Care Bundle (i.e. Stroke Unit admission, swallow screen, brain scan and aspirin), 2015 data (based on </t>
    </r>
    <r>
      <rPr>
        <b/>
        <i/>
        <sz val="10"/>
        <rFont val="Arial"/>
        <family val="2"/>
      </rPr>
      <t>final</t>
    </r>
    <r>
      <rPr>
        <sz val="10"/>
        <rFont val="Arial"/>
        <family val="2"/>
      </rPr>
      <t xml:space="preserve"> diagnosis).</t>
    </r>
  </si>
  <si>
    <t>Horizontal line reflects Scottish Stroke Care Standard (2013) of 95% ischaemic stroke patients to receive aspirin within 1 day of admission.</t>
  </si>
  <si>
    <t>Horizontal line reflects Scottish Stroke Care Standard (2013) of 95% of acute ischaemic stroke patients to receive aspirin within 1 day of admission.</t>
  </si>
  <si>
    <t>Percentage of patients with definite cerebrovascular diagnosis seen in neurovascular clinic with referral to examination time (days): same day and within 1, 2-4 and 5-7 days, 2015 data.</t>
  </si>
  <si>
    <t>Distribution of time between stroke event and outpatient imaging, 2014 and 2015 data.</t>
  </si>
  <si>
    <t>Percentage of patients receiving thrombolysis within 30, 60 and 75 minutes of arrival at first hospital, 2015 data.</t>
  </si>
  <si>
    <t>Distribution of time between stroke event and carotid intervention by health board of residence, 2014 and 2015 data.</t>
  </si>
  <si>
    <t>Distribution of time between stroke event and carotid intervention by hospital of interventionist, 2014 and 2015 data.</t>
  </si>
  <si>
    <t>Trend in percentage of stroke patients admitted to a stroke unit within 1 day of admission to hospital, by NHS Board, 2011 - 2015 data (based on final diagnosis).</t>
  </si>
  <si>
    <t>Trend in percentage of stroke patients receiving a swallow screen on the day of admission to hospital, by NHS Board, 2011 - 2015 data (based on final diagnosis).</t>
  </si>
  <si>
    <t>Trend in percentage of stroke patients receiving a brain scan within 24 hours of admission to hospital, by NHS Board, 2011 - 2015 data (based on final diagnosis).</t>
  </si>
  <si>
    <t>Trend in percentage of stroke patients receiving aspirin within 1 day of admission to hospital, by NHS Board, 2011 - 2015 data (based on final diagnosis).</t>
  </si>
  <si>
    <t>Trends in Scotland percentages for Scottish Stroke Care Standards for inpatients, 2011 - 2015 data.</t>
  </si>
  <si>
    <t>*</t>
  </si>
  <si>
    <t>Note</t>
  </si>
  <si>
    <t>The charts marked with an asterisk do not appear in the National Report PDF file and they are only available in this Excel file.</t>
  </si>
  <si>
    <t>7. A small proportion of records may involve admission dates at the end of one year and thrombolysis dates at the beginning of the next year.</t>
  </si>
  <si>
    <t>8. A small proportion of records may involve clot retrieval as well as thrombolysis.</t>
  </si>
  <si>
    <t>Scottish Stroke Care Audit 2016 National Report: Stroke Services in Scottish Hospitals, Data Relating to 2015.</t>
  </si>
</sst>
</file>

<file path=xl/styles.xml><?xml version="1.0" encoding="utf-8"?>
<styleSheet xmlns="http://schemas.openxmlformats.org/spreadsheetml/2006/main">
  <numFmts count="6">
    <numFmt numFmtId="43" formatCode="_-* #,##0.00_-;\-* #,##0.00_-;_-* &quot;-&quot;??_-;_-@_-"/>
    <numFmt numFmtId="164" formatCode="\(\%\)"/>
    <numFmt numFmtId="165" formatCode="#,###,##0"/>
    <numFmt numFmtId="166" formatCode="0.0"/>
    <numFmt numFmtId="167" formatCode="#\ ###\ ##0"/>
    <numFmt numFmtId="168" formatCode="0.0%"/>
  </numFmts>
  <fonts count="88">
    <font>
      <sz val="11"/>
      <color theme="1"/>
      <name val="Calibri"/>
      <family val="2"/>
      <scheme val="minor"/>
    </font>
    <font>
      <sz val="11"/>
      <color indexed="8"/>
      <name val="Calibri"/>
      <family val="2"/>
    </font>
    <font>
      <sz val="10"/>
      <name val="Arial"/>
      <family val="2"/>
    </font>
    <font>
      <b/>
      <sz val="10"/>
      <name val="Arial"/>
      <family val="2"/>
    </font>
    <font>
      <sz val="11"/>
      <color indexed="8"/>
      <name val="Calibri"/>
      <family val="2"/>
    </font>
    <font>
      <b/>
      <sz val="8"/>
      <color indexed="9"/>
      <name val="Arial"/>
      <family val="2"/>
    </font>
    <font>
      <sz val="8"/>
      <color indexed="8"/>
      <name val="Arial"/>
      <family val="2"/>
    </font>
    <font>
      <sz val="8"/>
      <name val="Arial"/>
      <family val="2"/>
    </font>
    <font>
      <sz val="9"/>
      <color indexed="8"/>
      <name val="Calibri"/>
      <family val="2"/>
    </font>
    <font>
      <b/>
      <i/>
      <sz val="10"/>
      <name val="Arial"/>
      <family val="2"/>
    </font>
    <font>
      <sz val="9"/>
      <name val="Arial"/>
      <family val="2"/>
    </font>
    <font>
      <u/>
      <sz val="10"/>
      <color indexed="12"/>
      <name val="Arial"/>
      <family val="2"/>
    </font>
    <font>
      <i/>
      <u/>
      <sz val="8"/>
      <color indexed="12"/>
      <name val="Arial"/>
      <family val="2"/>
    </font>
    <font>
      <sz val="10"/>
      <name val="Arial"/>
      <family val="2"/>
    </font>
    <font>
      <b/>
      <sz val="8"/>
      <name val="Arial"/>
      <family val="2"/>
    </font>
    <font>
      <i/>
      <sz val="10"/>
      <name val="Arial"/>
      <family val="2"/>
    </font>
    <font>
      <b/>
      <sz val="10"/>
      <color indexed="9"/>
      <name val="Arial"/>
      <family val="2"/>
    </font>
    <font>
      <b/>
      <sz val="10"/>
      <color indexed="62"/>
      <name val="Arial"/>
      <family val="2"/>
    </font>
    <font>
      <i/>
      <sz val="10"/>
      <color indexed="22"/>
      <name val="Arial"/>
      <family val="2"/>
    </font>
    <font>
      <b/>
      <vertAlign val="superscript"/>
      <sz val="8"/>
      <color indexed="9"/>
      <name val="Arial"/>
      <family val="2"/>
    </font>
    <font>
      <sz val="10"/>
      <color indexed="9"/>
      <name val="Arial"/>
      <family val="2"/>
    </font>
    <font>
      <vertAlign val="superscript"/>
      <sz val="10"/>
      <name val="Arial"/>
      <family val="2"/>
    </font>
    <font>
      <i/>
      <sz val="8"/>
      <name val="Arial"/>
      <family val="2"/>
    </font>
    <font>
      <b/>
      <vertAlign val="superscript"/>
      <sz val="10"/>
      <color indexed="9"/>
      <name val="Arial"/>
      <family val="2"/>
    </font>
    <font>
      <sz val="10"/>
      <color indexed="55"/>
      <name val="Arial"/>
      <family val="2"/>
    </font>
    <font>
      <sz val="8"/>
      <name val="Arial"/>
      <family val="2"/>
    </font>
    <font>
      <b/>
      <i/>
      <u/>
      <sz val="10"/>
      <color indexed="12"/>
      <name val="Arial"/>
      <family val="2"/>
    </font>
    <font>
      <sz val="8"/>
      <color indexed="9"/>
      <name val="Arial"/>
      <family val="2"/>
    </font>
    <font>
      <sz val="10"/>
      <color indexed="9"/>
      <name val="Trebuchet MS"/>
      <family val="2"/>
    </font>
    <font>
      <sz val="10"/>
      <color indexed="9"/>
      <name val="Arial"/>
      <family val="2"/>
    </font>
    <font>
      <u/>
      <sz val="10"/>
      <color indexed="12"/>
      <name val="Arial"/>
      <family val="2"/>
    </font>
    <font>
      <i/>
      <sz val="10"/>
      <color indexed="9"/>
      <name val="Arial"/>
      <family val="2"/>
    </font>
    <font>
      <vertAlign val="superscript"/>
      <sz val="8"/>
      <name val="Arial"/>
      <family val="2"/>
    </font>
    <font>
      <sz val="10"/>
      <color indexed="8"/>
      <name val="Arial"/>
      <family val="2"/>
    </font>
    <font>
      <b/>
      <sz val="10"/>
      <color indexed="8"/>
      <name val="Arial"/>
      <family val="2"/>
    </font>
    <font>
      <b/>
      <sz val="8"/>
      <color indexed="8"/>
      <name val="Arial"/>
      <family val="2"/>
    </font>
    <font>
      <sz val="10"/>
      <name val="Arial"/>
      <family val="2"/>
    </font>
    <font>
      <i/>
      <u/>
      <sz val="8"/>
      <color indexed="12"/>
      <name val="Arial"/>
      <family val="2"/>
    </font>
    <font>
      <sz val="8"/>
      <name val="Arial"/>
      <family val="2"/>
    </font>
    <font>
      <b/>
      <sz val="10"/>
      <color indexed="9"/>
      <name val="Arial"/>
      <family val="2"/>
    </font>
    <font>
      <b/>
      <sz val="10"/>
      <color indexed="62"/>
      <name val="Arial"/>
      <family val="2"/>
    </font>
    <font>
      <b/>
      <sz val="8"/>
      <color indexed="9"/>
      <name val="Arial"/>
      <family val="2"/>
    </font>
    <font>
      <sz val="10"/>
      <color indexed="9"/>
      <name val="Arial"/>
      <family val="2"/>
    </font>
    <font>
      <b/>
      <sz val="8"/>
      <color indexed="55"/>
      <name val="Arial"/>
      <family val="2"/>
    </font>
    <font>
      <b/>
      <sz val="7"/>
      <color indexed="55"/>
      <name val="Arial"/>
      <family val="2"/>
    </font>
    <font>
      <sz val="8"/>
      <color indexed="55"/>
      <name val="Arial"/>
      <family val="2"/>
    </font>
    <font>
      <b/>
      <sz val="9"/>
      <color indexed="9"/>
      <name val="Arial"/>
      <family val="2"/>
    </font>
    <font>
      <b/>
      <sz val="7"/>
      <color indexed="55"/>
      <name val="Cambria"/>
      <family val="1"/>
    </font>
    <font>
      <sz val="9"/>
      <color indexed="55"/>
      <name val="Cambria"/>
      <family val="1"/>
    </font>
    <font>
      <sz val="9"/>
      <color indexed="55"/>
      <name val="Calibri"/>
      <family val="2"/>
    </font>
    <font>
      <i/>
      <sz val="10"/>
      <color indexed="9"/>
      <name val="Arial"/>
      <family val="2"/>
    </font>
    <font>
      <sz val="10"/>
      <color indexed="9"/>
      <name val="Arial"/>
      <family val="2"/>
    </font>
    <font>
      <sz val="10"/>
      <color indexed="8"/>
      <name val="Calibri"/>
      <family val="2"/>
    </font>
    <font>
      <u/>
      <sz val="10"/>
      <name val="Arial"/>
      <family val="2"/>
    </font>
    <font>
      <sz val="10"/>
      <color indexed="8"/>
      <name val="Calibri"/>
      <family val="2"/>
    </font>
    <font>
      <sz val="8"/>
      <color indexed="8"/>
      <name val="Arial"/>
      <family val="2"/>
    </font>
    <font>
      <sz val="11"/>
      <name val="Calibri"/>
      <family val="2"/>
    </font>
    <font>
      <sz val="8"/>
      <name val="Calibri"/>
      <family val="2"/>
    </font>
    <font>
      <sz val="8"/>
      <color indexed="26"/>
      <name val="Arial"/>
      <family val="2"/>
    </font>
    <font>
      <b/>
      <sz val="8"/>
      <color indexed="26"/>
      <name val="Arial"/>
      <family val="2"/>
    </font>
    <font>
      <sz val="11"/>
      <color indexed="26"/>
      <name val="Calibri"/>
      <family val="2"/>
    </font>
    <font>
      <sz val="10"/>
      <color indexed="26"/>
      <name val="Arial"/>
      <family val="2"/>
    </font>
    <font>
      <b/>
      <sz val="8"/>
      <color rgb="FF000000"/>
      <name val="Arial"/>
      <family val="2"/>
    </font>
    <font>
      <sz val="8"/>
      <color rgb="FF000000"/>
      <name val="Arial"/>
      <family val="2"/>
    </font>
    <font>
      <i/>
      <sz val="10"/>
      <color theme="0" tint="-0.24994659260841701"/>
      <name val="Arial"/>
      <family val="2"/>
    </font>
    <font>
      <strike/>
      <sz val="10"/>
      <name val="Arial"/>
      <family val="2"/>
    </font>
    <font>
      <b/>
      <strike/>
      <sz val="10"/>
      <color indexed="8"/>
      <name val="Arial"/>
      <family val="2"/>
    </font>
    <font>
      <sz val="10"/>
      <color theme="1"/>
      <name val="Arial"/>
      <family val="2"/>
    </font>
    <font>
      <b/>
      <sz val="10"/>
      <color theme="0"/>
      <name val="Arial"/>
      <family val="2"/>
    </font>
    <font>
      <b/>
      <sz val="10"/>
      <color theme="1"/>
      <name val="Arial"/>
      <family val="2"/>
    </font>
    <font>
      <sz val="10"/>
      <color theme="0"/>
      <name val="Arial"/>
      <family val="2"/>
    </font>
    <font>
      <i/>
      <sz val="10"/>
      <color theme="1"/>
      <name val="Arial"/>
      <family val="2"/>
    </font>
    <font>
      <b/>
      <i/>
      <sz val="10"/>
      <color theme="0"/>
      <name val="Arial"/>
      <family val="2"/>
    </font>
    <font>
      <sz val="8"/>
      <name val="Courier"/>
      <family val="3"/>
    </font>
    <font>
      <b/>
      <sz val="11"/>
      <color theme="1"/>
      <name val="Calibri"/>
      <family val="2"/>
      <scheme val="minor"/>
    </font>
    <font>
      <sz val="8"/>
      <color theme="1"/>
      <name val="Calibri"/>
      <family val="2"/>
      <scheme val="minor"/>
    </font>
    <font>
      <sz val="8"/>
      <color theme="1"/>
      <name val="Arial"/>
      <family val="2"/>
    </font>
    <font>
      <b/>
      <sz val="8"/>
      <color theme="1"/>
      <name val="Arial"/>
      <family val="2"/>
    </font>
    <font>
      <b/>
      <sz val="8"/>
      <color theme="0"/>
      <name val="Arial"/>
      <family val="2"/>
    </font>
    <font>
      <u/>
      <sz val="8"/>
      <color indexed="12"/>
      <name val="Arial"/>
      <family val="2"/>
    </font>
    <font>
      <b/>
      <vertAlign val="superscript"/>
      <sz val="8"/>
      <name val="Arial"/>
      <family val="2"/>
    </font>
    <font>
      <b/>
      <i/>
      <sz val="8"/>
      <name val="Arial"/>
      <family val="2"/>
    </font>
    <font>
      <i/>
      <sz val="10"/>
      <color indexed="8"/>
      <name val="Arial"/>
      <family val="2"/>
    </font>
    <font>
      <sz val="10"/>
      <color theme="0" tint="-0.34998626667073579"/>
      <name val="Arial"/>
      <family val="2"/>
    </font>
    <font>
      <b/>
      <i/>
      <u/>
      <sz val="10"/>
      <name val="Arial"/>
      <family val="2"/>
    </font>
    <font>
      <b/>
      <i/>
      <sz val="10"/>
      <color theme="1"/>
      <name val="Arial"/>
      <family val="2"/>
    </font>
    <font>
      <sz val="9"/>
      <color theme="1"/>
      <name val="Arial"/>
      <family val="2"/>
    </font>
    <font>
      <i/>
      <u/>
      <sz val="10"/>
      <color indexed="12"/>
      <name val="Arial"/>
      <family val="2"/>
    </font>
  </fonts>
  <fills count="13">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55"/>
        <bgColor indexed="64"/>
      </patternFill>
    </fill>
    <fill>
      <patternFill patternType="solid">
        <fgColor indexed="57"/>
        <bgColor indexed="64"/>
      </patternFill>
    </fill>
    <fill>
      <patternFill patternType="solid">
        <fgColor indexed="47"/>
        <bgColor indexed="64"/>
      </patternFill>
    </fill>
    <fill>
      <patternFill patternType="solid">
        <fgColor indexed="10"/>
        <bgColor indexed="64"/>
      </patternFill>
    </fill>
    <fill>
      <patternFill patternType="solid">
        <fgColor rgb="FF333399"/>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DBE5F1"/>
        <bgColor indexed="64"/>
      </patternFill>
    </fill>
  </fills>
  <borders count="166">
    <border>
      <left/>
      <right/>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9"/>
      </left>
      <right style="thin">
        <color indexed="9"/>
      </right>
      <top/>
      <bottom style="thin">
        <color indexed="12"/>
      </bottom>
      <diagonal/>
    </border>
    <border>
      <left style="thin">
        <color indexed="9"/>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9"/>
      </right>
      <top style="hair">
        <color indexed="64"/>
      </top>
      <bottom style="hair">
        <color indexed="64"/>
      </bottom>
      <diagonal/>
    </border>
    <border>
      <left style="thin">
        <color indexed="62"/>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64"/>
      </right>
      <top style="thin">
        <color indexed="64"/>
      </top>
      <bottom style="thin">
        <color indexed="64"/>
      </bottom>
      <diagonal/>
    </border>
    <border>
      <left style="thin">
        <color indexed="62"/>
      </left>
      <right style="thin">
        <color indexed="62"/>
      </right>
      <top style="thin">
        <color indexed="62"/>
      </top>
      <bottom style="thin">
        <color indexed="62"/>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9"/>
      </left>
      <right style="thin">
        <color indexed="62"/>
      </right>
      <top style="thin">
        <color indexed="62"/>
      </top>
      <bottom style="thin">
        <color indexed="62"/>
      </bottom>
      <diagonal/>
    </border>
    <border>
      <left/>
      <right style="thin">
        <color indexed="62"/>
      </right>
      <top style="thin">
        <color indexed="62"/>
      </top>
      <bottom style="thin">
        <color indexed="62"/>
      </bottom>
      <diagonal/>
    </border>
    <border>
      <left style="thin">
        <color indexed="62"/>
      </left>
      <right style="thin">
        <color indexed="9"/>
      </right>
      <top/>
      <bottom style="thin">
        <color indexed="62"/>
      </bottom>
      <diagonal/>
    </border>
    <border>
      <left style="thin">
        <color indexed="9"/>
      </left>
      <right style="thin">
        <color indexed="9"/>
      </right>
      <top/>
      <bottom style="thin">
        <color indexed="62"/>
      </bottom>
      <diagonal/>
    </border>
    <border>
      <left style="thin">
        <color indexed="9"/>
      </left>
      <right style="thin">
        <color indexed="9"/>
      </right>
      <top style="thin">
        <color indexed="9"/>
      </top>
      <bottom style="thin">
        <color indexed="62"/>
      </bottom>
      <diagonal/>
    </border>
    <border>
      <left style="thin">
        <color indexed="62"/>
      </left>
      <right style="thin">
        <color indexed="9"/>
      </right>
      <top style="thin">
        <color indexed="62"/>
      </top>
      <bottom style="thin">
        <color indexed="9"/>
      </bottom>
      <diagonal/>
    </border>
    <border>
      <left/>
      <right style="thin">
        <color indexed="9"/>
      </right>
      <top style="thin">
        <color indexed="62"/>
      </top>
      <bottom style="thin">
        <color indexed="9"/>
      </bottom>
      <diagonal/>
    </border>
    <border>
      <left style="thin">
        <color indexed="9"/>
      </left>
      <right style="thin">
        <color indexed="9"/>
      </right>
      <top style="thin">
        <color indexed="62"/>
      </top>
      <bottom style="thin">
        <color indexed="9"/>
      </bottom>
      <diagonal/>
    </border>
    <border>
      <left style="thin">
        <color indexed="9"/>
      </left>
      <right style="thin">
        <color indexed="62"/>
      </right>
      <top style="thin">
        <color indexed="62"/>
      </top>
      <bottom style="thin">
        <color indexed="9"/>
      </bottom>
      <diagonal/>
    </border>
    <border>
      <left style="thin">
        <color indexed="62"/>
      </left>
      <right style="thin">
        <color indexed="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thin">
        <color indexed="62"/>
      </right>
      <top/>
      <bottom style="thin">
        <color indexed="9"/>
      </bottom>
      <diagonal/>
    </border>
    <border>
      <left style="thin">
        <color indexed="62"/>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62"/>
      </right>
      <top style="thin">
        <color indexed="9"/>
      </top>
      <bottom style="thin">
        <color indexed="9"/>
      </bottom>
      <diagonal/>
    </border>
    <border>
      <left style="thin">
        <color indexed="62"/>
      </left>
      <right style="thin">
        <color indexed="9"/>
      </right>
      <top style="thin">
        <color indexed="9"/>
      </top>
      <bottom style="thin">
        <color indexed="62"/>
      </bottom>
      <diagonal/>
    </border>
    <border>
      <left/>
      <right style="thin">
        <color indexed="9"/>
      </right>
      <top style="thin">
        <color indexed="9"/>
      </top>
      <bottom style="thin">
        <color indexed="62"/>
      </bottom>
      <diagonal/>
    </border>
    <border>
      <left style="thin">
        <color indexed="9"/>
      </left>
      <right style="thin">
        <color indexed="62"/>
      </right>
      <top style="thin">
        <color indexed="9"/>
      </top>
      <bottom style="thin">
        <color indexed="62"/>
      </bottom>
      <diagonal/>
    </border>
    <border>
      <left style="thin">
        <color indexed="9"/>
      </left>
      <right/>
      <top style="thin">
        <color indexed="9"/>
      </top>
      <bottom style="thin">
        <color indexed="62"/>
      </bottom>
      <diagonal/>
    </border>
    <border>
      <left/>
      <right/>
      <top style="thin">
        <color indexed="62"/>
      </top>
      <bottom style="thin">
        <color indexed="62"/>
      </bottom>
      <diagonal/>
    </border>
    <border>
      <left/>
      <right/>
      <top style="thin">
        <color indexed="62"/>
      </top>
      <bottom style="thin">
        <color indexed="9"/>
      </bottom>
      <diagonal/>
    </border>
    <border>
      <left/>
      <right/>
      <top/>
      <bottom style="thin">
        <color indexed="9"/>
      </bottom>
      <diagonal/>
    </border>
    <border>
      <left/>
      <right/>
      <top style="thin">
        <color indexed="9"/>
      </top>
      <bottom style="thin">
        <color indexed="9"/>
      </bottom>
      <diagonal/>
    </border>
    <border>
      <left/>
      <right/>
      <top style="thin">
        <color indexed="9"/>
      </top>
      <bottom style="thin">
        <color indexed="62"/>
      </bottom>
      <diagonal/>
    </border>
    <border>
      <left style="thin">
        <color indexed="62"/>
      </left>
      <right style="thin">
        <color indexed="9"/>
      </right>
      <top style="thin">
        <color indexed="62"/>
      </top>
      <bottom style="thin">
        <color indexed="62"/>
      </bottom>
      <diagonal/>
    </border>
    <border>
      <left/>
      <right/>
      <top/>
      <bottom style="thin">
        <color indexed="62"/>
      </bottom>
      <diagonal/>
    </border>
    <border>
      <left/>
      <right/>
      <top style="thin">
        <color indexed="62"/>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62"/>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top style="thin">
        <color indexed="9"/>
      </top>
      <bottom/>
      <diagonal/>
    </border>
    <border>
      <left style="thin">
        <color indexed="9"/>
      </left>
      <right style="thin">
        <color indexed="62"/>
      </right>
      <top/>
      <bottom style="thin">
        <color indexed="62"/>
      </bottom>
      <diagonal/>
    </border>
    <border>
      <left/>
      <right/>
      <top style="thin">
        <color indexed="36"/>
      </top>
      <bottom/>
      <diagonal/>
    </border>
    <border>
      <left style="thin">
        <color indexed="62"/>
      </left>
      <right/>
      <top style="thin">
        <color indexed="62"/>
      </top>
      <bottom style="thin">
        <color indexed="62"/>
      </bottom>
      <diagonal/>
    </border>
    <border>
      <left style="medium">
        <color indexed="62"/>
      </left>
      <right style="thin">
        <color indexed="9"/>
      </right>
      <top style="medium">
        <color indexed="62"/>
      </top>
      <bottom style="thin">
        <color indexed="62"/>
      </bottom>
      <diagonal/>
    </border>
    <border>
      <left style="thin">
        <color indexed="9"/>
      </left>
      <right style="thin">
        <color indexed="9"/>
      </right>
      <top style="medium">
        <color indexed="62"/>
      </top>
      <bottom style="thin">
        <color indexed="62"/>
      </bottom>
      <diagonal/>
    </border>
    <border>
      <left style="thin">
        <color indexed="9"/>
      </left>
      <right style="medium">
        <color indexed="62"/>
      </right>
      <top style="medium">
        <color indexed="62"/>
      </top>
      <bottom style="thin">
        <color indexed="62"/>
      </bottom>
      <diagonal/>
    </border>
    <border>
      <left style="thin">
        <color indexed="62"/>
      </left>
      <right style="medium">
        <color indexed="62"/>
      </right>
      <top style="thin">
        <color indexed="62"/>
      </top>
      <bottom style="medium">
        <color indexed="62"/>
      </bottom>
      <diagonal/>
    </border>
    <border>
      <left style="medium">
        <color indexed="62"/>
      </left>
      <right style="thin">
        <color indexed="62"/>
      </right>
      <top style="medium">
        <color indexed="62"/>
      </top>
      <bottom style="medium">
        <color indexed="62"/>
      </bottom>
      <diagonal/>
    </border>
    <border>
      <left style="thin">
        <color indexed="62"/>
      </left>
      <right style="thin">
        <color indexed="62"/>
      </right>
      <top style="medium">
        <color indexed="62"/>
      </top>
      <bottom style="medium">
        <color indexed="62"/>
      </bottom>
      <diagonal/>
    </border>
    <border>
      <left style="thin">
        <color indexed="62"/>
      </left>
      <right style="medium">
        <color indexed="62"/>
      </right>
      <top style="medium">
        <color indexed="62"/>
      </top>
      <bottom style="medium">
        <color indexed="62"/>
      </bottom>
      <diagonal/>
    </border>
    <border>
      <left style="medium">
        <color indexed="62"/>
      </left>
      <right/>
      <top style="medium">
        <color indexed="62"/>
      </top>
      <bottom style="thin">
        <color indexed="62"/>
      </bottom>
      <diagonal/>
    </border>
    <border>
      <left/>
      <right/>
      <top style="medium">
        <color indexed="62"/>
      </top>
      <bottom style="thin">
        <color indexed="62"/>
      </bottom>
      <diagonal/>
    </border>
    <border>
      <left/>
      <right style="medium">
        <color indexed="62"/>
      </right>
      <top style="medium">
        <color indexed="62"/>
      </top>
      <bottom style="thin">
        <color indexed="62"/>
      </bottom>
      <diagonal/>
    </border>
    <border>
      <left style="medium">
        <color indexed="62"/>
      </left>
      <right style="thin">
        <color indexed="62"/>
      </right>
      <top/>
      <bottom style="thin">
        <color indexed="62"/>
      </bottom>
      <diagonal/>
    </border>
    <border>
      <left style="thin">
        <color indexed="62"/>
      </left>
      <right style="thin">
        <color indexed="62"/>
      </right>
      <top/>
      <bottom style="thin">
        <color indexed="62"/>
      </bottom>
      <diagonal/>
    </border>
    <border>
      <left style="thin">
        <color indexed="62"/>
      </left>
      <right/>
      <top/>
      <bottom style="thin">
        <color indexed="62"/>
      </bottom>
      <diagonal/>
    </border>
    <border>
      <left style="thin">
        <color indexed="62"/>
      </left>
      <right style="medium">
        <color indexed="62"/>
      </right>
      <top/>
      <bottom style="thin">
        <color indexed="62"/>
      </bottom>
      <diagonal/>
    </border>
    <border>
      <left style="medium">
        <color indexed="62"/>
      </left>
      <right style="thin">
        <color indexed="62"/>
      </right>
      <top style="thin">
        <color indexed="62"/>
      </top>
      <bottom/>
      <diagonal/>
    </border>
    <border>
      <left style="thin">
        <color indexed="62"/>
      </left>
      <right style="thin">
        <color indexed="62"/>
      </right>
      <top style="thin">
        <color indexed="62"/>
      </top>
      <bottom/>
      <diagonal/>
    </border>
    <border>
      <left style="thin">
        <color indexed="62"/>
      </left>
      <right style="medium">
        <color indexed="62"/>
      </right>
      <top style="thin">
        <color indexed="62"/>
      </top>
      <bottom/>
      <diagonal/>
    </border>
    <border>
      <left style="medium">
        <color indexed="62"/>
      </left>
      <right style="thin">
        <color indexed="62"/>
      </right>
      <top/>
      <bottom style="medium">
        <color indexed="62"/>
      </bottom>
      <diagonal/>
    </border>
    <border>
      <left style="thin">
        <color indexed="62"/>
      </left>
      <right style="thin">
        <color indexed="62"/>
      </right>
      <top/>
      <bottom style="medium">
        <color indexed="62"/>
      </bottom>
      <diagonal/>
    </border>
    <border>
      <left style="thin">
        <color indexed="62"/>
      </left>
      <right style="medium">
        <color indexed="62"/>
      </right>
      <top/>
      <bottom style="medium">
        <color indexed="62"/>
      </bottom>
      <diagonal/>
    </border>
    <border>
      <left style="medium">
        <color indexed="62"/>
      </left>
      <right style="thin">
        <color indexed="62"/>
      </right>
      <top style="thin">
        <color indexed="62"/>
      </top>
      <bottom style="medium">
        <color indexed="62"/>
      </bottom>
      <diagonal/>
    </border>
    <border>
      <left style="thin">
        <color indexed="62"/>
      </left>
      <right style="thin">
        <color indexed="62"/>
      </right>
      <top style="thin">
        <color indexed="62"/>
      </top>
      <bottom style="medium">
        <color indexed="62"/>
      </bottom>
      <diagonal/>
    </border>
    <border>
      <left style="medium">
        <color indexed="62"/>
      </left>
      <right style="thin">
        <color indexed="62"/>
      </right>
      <top style="thin">
        <color indexed="62"/>
      </top>
      <bottom style="thin">
        <color indexed="62"/>
      </bottom>
      <diagonal/>
    </border>
    <border>
      <left style="thin">
        <color indexed="62"/>
      </left>
      <right style="medium">
        <color indexed="62"/>
      </right>
      <top style="thin">
        <color indexed="62"/>
      </top>
      <bottom style="thin">
        <color indexed="62"/>
      </bottom>
      <diagonal/>
    </border>
    <border>
      <left style="medium">
        <color indexed="62"/>
      </left>
      <right style="thin">
        <color indexed="62"/>
      </right>
      <top style="medium">
        <color indexed="62"/>
      </top>
      <bottom style="thin">
        <color indexed="62"/>
      </bottom>
      <diagonal/>
    </border>
    <border>
      <left style="thin">
        <color indexed="62"/>
      </left>
      <right style="thin">
        <color indexed="62"/>
      </right>
      <top style="medium">
        <color indexed="62"/>
      </top>
      <bottom style="thin">
        <color indexed="62"/>
      </bottom>
      <diagonal/>
    </border>
    <border>
      <left style="thin">
        <color indexed="62"/>
      </left>
      <right style="medium">
        <color indexed="62"/>
      </right>
      <top style="medium">
        <color indexed="62"/>
      </top>
      <bottom style="thin">
        <color indexed="62"/>
      </bottom>
      <diagonal/>
    </border>
    <border>
      <left/>
      <right/>
      <top style="medium">
        <color indexed="62"/>
      </top>
      <bottom/>
      <diagonal/>
    </border>
    <border>
      <left style="thin">
        <color indexed="9"/>
      </left>
      <right style="thin">
        <color indexed="9"/>
      </right>
      <top style="thin">
        <color indexed="62"/>
      </top>
      <bottom style="thin">
        <color indexed="62"/>
      </bottom>
      <diagonal/>
    </border>
    <border>
      <left style="thin">
        <color indexed="9"/>
      </left>
      <right/>
      <top style="thin">
        <color indexed="62"/>
      </top>
      <bottom style="thin">
        <color indexed="62"/>
      </bottom>
      <diagonal/>
    </border>
    <border>
      <left style="thin">
        <color indexed="9"/>
      </left>
      <right/>
      <top style="thin">
        <color indexed="62"/>
      </top>
      <bottom style="thin">
        <color indexed="9"/>
      </bottom>
      <diagonal/>
    </border>
    <border>
      <left style="thin">
        <color indexed="62"/>
      </left>
      <right/>
      <top/>
      <bottom/>
      <diagonal/>
    </border>
    <border>
      <left/>
      <right/>
      <top/>
      <bottom style="medium">
        <color indexed="62"/>
      </bottom>
      <diagonal/>
    </border>
    <border>
      <left style="thin">
        <color indexed="62"/>
      </left>
      <right style="thin">
        <color indexed="62"/>
      </right>
      <top/>
      <bottom/>
      <diagonal/>
    </border>
    <border>
      <left/>
      <right style="thin">
        <color indexed="9"/>
      </right>
      <top/>
      <bottom style="thin">
        <color indexed="62"/>
      </bottom>
      <diagonal/>
    </border>
    <border>
      <left style="thin">
        <color indexed="62"/>
      </left>
      <right style="thin">
        <color indexed="62"/>
      </right>
      <top style="thin">
        <color indexed="9"/>
      </top>
      <bottom style="thin">
        <color indexed="62"/>
      </bottom>
      <diagonal/>
    </border>
    <border>
      <left/>
      <right style="thin">
        <color indexed="62"/>
      </right>
      <top style="thin">
        <color indexed="62"/>
      </top>
      <bottom style="thin">
        <color indexed="9"/>
      </bottom>
      <diagonal/>
    </border>
    <border>
      <left/>
      <right style="thin">
        <color indexed="62"/>
      </right>
      <top style="thin">
        <color indexed="9"/>
      </top>
      <bottom style="thin">
        <color indexed="9"/>
      </bottom>
      <diagonal/>
    </border>
    <border>
      <left style="medium">
        <color indexed="62"/>
      </left>
      <right style="medium">
        <color indexed="9"/>
      </right>
      <top style="medium">
        <color indexed="62"/>
      </top>
      <bottom/>
      <diagonal/>
    </border>
    <border>
      <left style="medium">
        <color indexed="62"/>
      </left>
      <right style="medium">
        <color indexed="9"/>
      </right>
      <top/>
      <bottom style="medium">
        <color indexed="62"/>
      </bottom>
      <diagonal/>
    </border>
    <border>
      <left style="medium">
        <color indexed="9"/>
      </left>
      <right style="medium">
        <color indexed="9"/>
      </right>
      <top style="medium">
        <color indexed="62"/>
      </top>
      <bottom/>
      <diagonal/>
    </border>
    <border>
      <left style="medium">
        <color indexed="9"/>
      </left>
      <right style="medium">
        <color indexed="9"/>
      </right>
      <top/>
      <bottom style="medium">
        <color indexed="62"/>
      </bottom>
      <diagonal/>
    </border>
    <border>
      <left style="medium">
        <color indexed="9"/>
      </left>
      <right style="medium">
        <color indexed="62"/>
      </right>
      <top style="medium">
        <color indexed="62"/>
      </top>
      <bottom/>
      <diagonal/>
    </border>
    <border>
      <left style="medium">
        <color indexed="9"/>
      </left>
      <right style="medium">
        <color indexed="62"/>
      </right>
      <top/>
      <bottom style="medium">
        <color indexed="62"/>
      </bottom>
      <diagonal/>
    </border>
    <border>
      <left style="thin">
        <color indexed="9"/>
      </left>
      <right/>
      <top style="thin">
        <color indexed="62"/>
      </top>
      <bottom/>
      <diagonal/>
    </border>
    <border>
      <left/>
      <right style="thin">
        <color indexed="62"/>
      </right>
      <top style="thin">
        <color indexed="62"/>
      </top>
      <bottom/>
      <diagonal/>
    </border>
    <border>
      <left style="thin">
        <color indexed="9"/>
      </left>
      <right/>
      <top/>
      <bottom style="thin">
        <color indexed="62"/>
      </bottom>
      <diagonal/>
    </border>
    <border>
      <left/>
      <right style="thin">
        <color indexed="62"/>
      </right>
      <top/>
      <bottom style="thin">
        <color indexed="62"/>
      </bottom>
      <diagonal/>
    </border>
    <border>
      <left style="thin">
        <color indexed="9"/>
      </left>
      <right/>
      <top/>
      <bottom style="thin">
        <color indexed="12"/>
      </bottom>
      <diagonal/>
    </border>
    <border>
      <left/>
      <right style="thin">
        <color indexed="9"/>
      </right>
      <top/>
      <bottom/>
      <diagonal/>
    </border>
    <border>
      <left/>
      <right style="thin">
        <color indexed="9"/>
      </right>
      <top/>
      <bottom style="thin">
        <color indexed="12"/>
      </bottom>
      <diagonal/>
    </border>
    <border>
      <left style="thin">
        <color indexed="62"/>
      </left>
      <right/>
      <top style="thin">
        <color indexed="62"/>
      </top>
      <bottom style="thin">
        <color indexed="9"/>
      </bottom>
      <diagonal/>
    </border>
    <border>
      <left/>
      <right style="thin">
        <color indexed="9"/>
      </right>
      <top style="thin">
        <color indexed="62"/>
      </top>
      <bottom/>
      <diagonal/>
    </border>
    <border>
      <left/>
      <right style="thin">
        <color indexed="62"/>
      </right>
      <top/>
      <bottom/>
      <diagonal/>
    </border>
    <border>
      <left style="thin">
        <color indexed="9"/>
      </left>
      <right/>
      <top/>
      <bottom/>
      <diagonal/>
    </border>
    <border>
      <left style="thin">
        <color indexed="9"/>
      </left>
      <right style="thin">
        <color indexed="62"/>
      </right>
      <top style="thin">
        <color indexed="9"/>
      </top>
      <bottom/>
      <diagonal/>
    </border>
    <border>
      <left style="thin">
        <color indexed="62"/>
      </left>
      <right style="thin">
        <color indexed="9"/>
      </right>
      <top style="thin">
        <color indexed="62"/>
      </top>
      <bottom/>
      <diagonal/>
    </border>
    <border>
      <left/>
      <right style="thin">
        <color indexed="62"/>
      </right>
      <top style="thin">
        <color indexed="9"/>
      </top>
      <bottom style="thin">
        <color indexed="62"/>
      </bottom>
      <diagonal/>
    </border>
    <border>
      <left/>
      <right style="thin">
        <color indexed="9"/>
      </right>
      <top/>
      <bottom style="thin">
        <color indexed="64"/>
      </bottom>
      <diagonal/>
    </border>
    <border>
      <left style="thin">
        <color rgb="FF333399"/>
      </left>
      <right style="thin">
        <color rgb="FF333399"/>
      </right>
      <top style="thin">
        <color rgb="FF333399"/>
      </top>
      <bottom style="thin">
        <color rgb="FF333399"/>
      </bottom>
      <diagonal/>
    </border>
    <border>
      <left style="thin">
        <color theme="0"/>
      </left>
      <right style="thin">
        <color theme="0"/>
      </right>
      <top style="thin">
        <color rgb="FF333399"/>
      </top>
      <bottom style="thin">
        <color theme="0"/>
      </bottom>
      <diagonal/>
    </border>
    <border>
      <left style="thin">
        <color theme="0"/>
      </left>
      <right style="thin">
        <color rgb="FF333399"/>
      </right>
      <top style="thin">
        <color rgb="FF333399"/>
      </top>
      <bottom style="thin">
        <color theme="0"/>
      </bottom>
      <diagonal/>
    </border>
    <border>
      <left style="thin">
        <color theme="0"/>
      </left>
      <right style="thin">
        <color theme="0"/>
      </right>
      <top style="thin">
        <color theme="0"/>
      </top>
      <bottom style="thin">
        <color rgb="FF333399"/>
      </bottom>
      <diagonal/>
    </border>
    <border>
      <left style="thin">
        <color theme="0"/>
      </left>
      <right style="thin">
        <color rgb="FF333399"/>
      </right>
      <top style="thin">
        <color theme="0"/>
      </top>
      <bottom style="thin">
        <color rgb="FF333399"/>
      </bottom>
      <diagonal/>
    </border>
    <border>
      <left style="thin">
        <color theme="0"/>
      </left>
      <right style="thin">
        <color theme="0"/>
      </right>
      <top/>
      <bottom style="thin">
        <color rgb="FF333399"/>
      </bottom>
      <diagonal/>
    </border>
    <border>
      <left style="thin">
        <color theme="0"/>
      </left>
      <right style="thin">
        <color rgb="FF333399"/>
      </right>
      <top/>
      <bottom style="thin">
        <color rgb="FF333399"/>
      </bottom>
      <diagonal/>
    </border>
    <border>
      <left style="thin">
        <color theme="0"/>
      </left>
      <right/>
      <top style="thin">
        <color rgb="FF333399"/>
      </top>
      <bottom style="thin">
        <color theme="0"/>
      </bottom>
      <diagonal/>
    </border>
    <border>
      <left/>
      <right/>
      <top style="thin">
        <color rgb="FF333399"/>
      </top>
      <bottom style="thin">
        <color theme="0"/>
      </bottom>
      <diagonal/>
    </border>
    <border>
      <left/>
      <right style="thin">
        <color rgb="FF333399"/>
      </right>
      <top style="thin">
        <color rgb="FF333399"/>
      </top>
      <bottom style="thin">
        <color theme="0"/>
      </bottom>
      <diagonal/>
    </border>
    <border>
      <left style="thin">
        <color rgb="FF333399"/>
      </left>
      <right/>
      <top style="thin">
        <color rgb="FF333399"/>
      </top>
      <bottom style="thin">
        <color rgb="FF333399"/>
      </bottom>
      <diagonal/>
    </border>
    <border>
      <left/>
      <right style="thin">
        <color theme="0"/>
      </right>
      <top style="thin">
        <color rgb="FF333399"/>
      </top>
      <bottom style="thin">
        <color rgb="FF333399"/>
      </bottom>
      <diagonal/>
    </border>
    <border>
      <left style="thin">
        <color indexed="9"/>
      </left>
      <right style="thin">
        <color theme="0"/>
      </right>
      <top style="thin">
        <color indexed="62"/>
      </top>
      <bottom style="thin">
        <color indexed="62"/>
      </bottom>
      <diagonal/>
    </border>
    <border>
      <left style="thin">
        <color theme="0"/>
      </left>
      <right style="thin">
        <color indexed="62"/>
      </right>
      <top style="thin">
        <color indexed="62"/>
      </top>
      <bottom style="thin">
        <color indexed="62"/>
      </bottom>
      <diagonal/>
    </border>
    <border>
      <left style="thin">
        <color indexed="62"/>
      </left>
      <right style="thin">
        <color theme="0"/>
      </right>
      <top/>
      <bottom style="thin">
        <color indexed="62"/>
      </bottom>
      <diagonal/>
    </border>
    <border>
      <left style="thin">
        <color indexed="9"/>
      </left>
      <right style="thin">
        <color indexed="62"/>
      </right>
      <top style="thin">
        <color indexed="62"/>
      </top>
      <bottom/>
      <diagonal/>
    </border>
    <border>
      <left/>
      <right style="thin">
        <color indexed="9"/>
      </right>
      <top style="thin">
        <color indexed="9"/>
      </top>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rgb="FF333399"/>
      </left>
      <right style="thin">
        <color theme="0"/>
      </right>
      <top style="thin">
        <color rgb="FF333399"/>
      </top>
      <bottom/>
      <diagonal/>
    </border>
    <border>
      <left style="thin">
        <color rgb="FF333399"/>
      </left>
      <right style="thin">
        <color theme="0"/>
      </right>
      <top/>
      <bottom style="thin">
        <color rgb="FF333399"/>
      </bottom>
      <diagonal/>
    </border>
    <border>
      <left style="thin">
        <color auto="1"/>
      </left>
      <right style="thin">
        <color auto="1"/>
      </right>
      <top style="thin">
        <color auto="1"/>
      </top>
      <bottom style="thin">
        <color auto="1"/>
      </bottom>
      <diagonal/>
    </border>
    <border>
      <left/>
      <right style="thin">
        <color indexed="9"/>
      </right>
      <top/>
      <bottom style="thin">
        <color theme="0"/>
      </bottom>
      <diagonal/>
    </border>
    <border>
      <left/>
      <right style="thin">
        <color indexed="9"/>
      </right>
      <top style="thin">
        <color theme="0"/>
      </top>
      <bottom style="thin">
        <color auto="1"/>
      </bottom>
      <diagonal/>
    </border>
    <border>
      <left/>
      <right style="thin">
        <color theme="0"/>
      </right>
      <top style="thin">
        <color rgb="FF333399"/>
      </top>
      <bottom style="thin">
        <color theme="0"/>
      </bottom>
      <diagonal/>
    </border>
    <border>
      <left/>
      <right/>
      <top/>
      <bottom style="thin">
        <color theme="0"/>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theme="0"/>
      </right>
      <top/>
      <bottom style="thin">
        <color indexed="62"/>
      </bottom>
      <diagonal/>
    </border>
    <border>
      <left style="thin">
        <color theme="0"/>
      </left>
      <right style="thin">
        <color theme="0"/>
      </right>
      <top/>
      <bottom style="thin">
        <color indexed="62"/>
      </bottom>
      <diagonal/>
    </border>
    <border>
      <left style="thin">
        <color theme="0"/>
      </left>
      <right style="thin">
        <color indexed="62"/>
      </right>
      <top/>
      <bottom style="thin">
        <color indexed="62"/>
      </bottom>
      <diagonal/>
    </border>
    <border>
      <left style="thin">
        <color theme="0"/>
      </left>
      <right style="thin">
        <color theme="0"/>
      </right>
      <top style="thin">
        <color rgb="FF333399"/>
      </top>
      <bottom/>
      <diagonal/>
    </border>
    <border>
      <left style="thin">
        <color rgb="FF333399"/>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rgb="FF333399"/>
      </right>
      <top/>
      <bottom style="thin">
        <color theme="0"/>
      </bottom>
      <diagonal/>
    </border>
    <border>
      <left style="thin">
        <color theme="0"/>
      </left>
      <right/>
      <top/>
      <bottom/>
      <diagonal/>
    </border>
    <border>
      <left/>
      <right style="thin">
        <color rgb="FF333399"/>
      </right>
      <top/>
      <bottom/>
      <diagonal/>
    </border>
    <border>
      <left style="thin">
        <color rgb="FF333399"/>
      </left>
      <right style="thin">
        <color rgb="FF333399"/>
      </right>
      <top style="thin">
        <color rgb="FF333399"/>
      </top>
      <bottom/>
      <diagonal/>
    </border>
    <border>
      <left style="thin">
        <color rgb="FF333399"/>
      </left>
      <right style="thin">
        <color rgb="FF333399"/>
      </right>
      <top/>
      <bottom/>
      <diagonal/>
    </border>
    <border>
      <left style="thin">
        <color rgb="FF333399"/>
      </left>
      <right/>
      <top style="thin">
        <color rgb="FF333399"/>
      </top>
      <bottom/>
      <diagonal/>
    </border>
    <border>
      <left/>
      <right/>
      <top style="thin">
        <color rgb="FF333399"/>
      </top>
      <bottom/>
      <diagonal/>
    </border>
    <border>
      <left style="thin">
        <color rgb="FF333399"/>
      </left>
      <right/>
      <top/>
      <bottom/>
      <diagonal/>
    </border>
    <border>
      <left style="thin">
        <color rgb="FF333399"/>
      </left>
      <right style="thin">
        <color rgb="FF333399"/>
      </right>
      <top/>
      <bottom style="thin">
        <color rgb="FF333399"/>
      </bottom>
      <diagonal/>
    </border>
    <border>
      <left style="thin">
        <color rgb="FF333399"/>
      </left>
      <right/>
      <top/>
      <bottom style="thin">
        <color rgb="FF333399"/>
      </bottom>
      <diagonal/>
    </border>
    <border>
      <left/>
      <right/>
      <top/>
      <bottom style="thin">
        <color rgb="FF333399"/>
      </bottom>
      <diagonal/>
    </border>
    <border>
      <left/>
      <right style="thin">
        <color rgb="FF333399"/>
      </right>
      <top/>
      <bottom style="thin">
        <color rgb="FF333399"/>
      </bottom>
      <diagonal/>
    </border>
    <border>
      <left style="thin">
        <color indexed="62"/>
      </left>
      <right/>
      <top style="thin">
        <color indexed="62"/>
      </top>
      <bottom/>
      <diagonal/>
    </border>
    <border>
      <left style="thin">
        <color indexed="9"/>
      </left>
      <right style="thin">
        <color indexed="9"/>
      </right>
      <top style="thin">
        <color indexed="62"/>
      </top>
      <bottom/>
      <diagonal/>
    </border>
    <border>
      <left/>
      <right style="thin">
        <color theme="0"/>
      </right>
      <top style="thin">
        <color theme="0"/>
      </top>
      <bottom style="thin">
        <color rgb="FF333399"/>
      </bottom>
      <diagonal/>
    </border>
    <border>
      <left style="thin">
        <color indexed="62"/>
      </left>
      <right style="thin">
        <color theme="0"/>
      </right>
      <top style="thin">
        <color indexed="62"/>
      </top>
      <bottom style="thin">
        <color indexed="62"/>
      </bottom>
      <diagonal/>
    </border>
  </borders>
  <cellStyleXfs count="10">
    <xf numFmtId="0" fontId="0" fillId="0" borderId="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36" fillId="0" borderId="0"/>
    <xf numFmtId="0" fontId="4" fillId="0" borderId="0"/>
    <xf numFmtId="0" fontId="1" fillId="0" borderId="0"/>
    <xf numFmtId="0" fontId="73" fillId="0" borderId="0"/>
    <xf numFmtId="0" fontId="2" fillId="0" borderId="0"/>
  </cellStyleXfs>
  <cellXfs count="993">
    <xf numFmtId="0" fontId="0" fillId="0" borderId="0" xfId="0"/>
    <xf numFmtId="0" fontId="2" fillId="0" borderId="0" xfId="4" applyAlignment="1">
      <alignment horizontal="center"/>
    </xf>
    <xf numFmtId="0" fontId="2" fillId="0" borderId="0" xfId="4"/>
    <xf numFmtId="0" fontId="43" fillId="2" borderId="1" xfId="6" applyFont="1" applyFill="1" applyBorder="1" applyAlignment="1">
      <alignment vertical="center"/>
    </xf>
    <xf numFmtId="0" fontId="43" fillId="2" borderId="2" xfId="6" applyFont="1" applyFill="1" applyBorder="1" applyAlignment="1">
      <alignment vertical="center"/>
    </xf>
    <xf numFmtId="0" fontId="6" fillId="0" borderId="0" xfId="6" applyFont="1"/>
    <xf numFmtId="0" fontId="5" fillId="3" borderId="3" xfId="6" applyFont="1" applyFill="1" applyBorder="1" applyAlignment="1">
      <alignment horizontal="center" vertical="center"/>
    </xf>
    <xf numFmtId="0" fontId="5" fillId="3" borderId="3" xfId="6" applyFont="1" applyFill="1" applyBorder="1" applyAlignment="1">
      <alignment horizontal="center" vertical="center" wrapText="1"/>
    </xf>
    <xf numFmtId="0" fontId="43" fillId="2" borderId="4" xfId="6" applyFont="1" applyFill="1" applyBorder="1" applyAlignment="1">
      <alignment horizontal="center" vertical="center" wrapText="1"/>
    </xf>
    <xf numFmtId="0" fontId="43" fillId="2" borderId="5" xfId="6" applyFont="1" applyFill="1" applyBorder="1" applyAlignment="1">
      <alignment horizontal="center" vertical="center" wrapText="1"/>
    </xf>
    <xf numFmtId="0" fontId="44" fillId="2" borderId="5" xfId="6" applyFont="1" applyFill="1" applyBorder="1" applyAlignment="1">
      <alignment horizontal="center" vertical="center" wrapText="1"/>
    </xf>
    <xf numFmtId="0" fontId="43" fillId="2" borderId="6" xfId="6" applyFont="1" applyFill="1" applyBorder="1" applyAlignment="1">
      <alignment horizontal="center" vertical="center" wrapText="1"/>
    </xf>
    <xf numFmtId="0" fontId="5" fillId="3" borderId="7" xfId="6" applyFont="1" applyFill="1" applyBorder="1" applyAlignment="1">
      <alignment horizontal="center" vertical="center"/>
    </xf>
    <xf numFmtId="0" fontId="5" fillId="3" borderId="8" xfId="6" applyFont="1" applyFill="1" applyBorder="1" applyAlignment="1">
      <alignment horizontal="center" vertical="center"/>
    </xf>
    <xf numFmtId="0" fontId="6" fillId="0" borderId="9" xfId="6" applyFont="1" applyFill="1" applyBorder="1" applyAlignment="1">
      <alignment horizontal="center" vertical="center"/>
    </xf>
    <xf numFmtId="1" fontId="6" fillId="0" borderId="9" xfId="6" applyNumberFormat="1" applyFont="1" applyBorder="1" applyAlignment="1">
      <alignment horizontal="center" vertical="center"/>
    </xf>
    <xf numFmtId="1" fontId="7" fillId="0" borderId="10" xfId="4" applyNumberFormat="1" applyFont="1" applyFill="1" applyBorder="1" applyAlignment="1">
      <alignment horizontal="center" wrapText="1"/>
    </xf>
    <xf numFmtId="0" fontId="6" fillId="0" borderId="9" xfId="6" applyFont="1" applyBorder="1" applyAlignment="1">
      <alignment horizontal="center" vertical="center"/>
    </xf>
    <xf numFmtId="1" fontId="45" fillId="2" borderId="11" xfId="6" applyNumberFormat="1" applyFont="1" applyFill="1" applyBorder="1" applyAlignment="1">
      <alignment horizontal="center" vertical="center"/>
    </xf>
    <xf numFmtId="0" fontId="45" fillId="2" borderId="5" xfId="6" applyFont="1" applyFill="1" applyBorder="1" applyAlignment="1">
      <alignment horizontal="center" vertical="center"/>
    </xf>
    <xf numFmtId="0" fontId="45" fillId="2" borderId="12" xfId="6" applyFont="1" applyFill="1" applyBorder="1" applyAlignment="1">
      <alignment horizontal="center" vertical="center"/>
    </xf>
    <xf numFmtId="0" fontId="45" fillId="2" borderId="13" xfId="6" applyFont="1" applyFill="1" applyBorder="1" applyAlignment="1">
      <alignment horizontal="center" vertical="center"/>
    </xf>
    <xf numFmtId="0" fontId="6" fillId="0" borderId="0" xfId="6" applyFont="1" applyAlignment="1">
      <alignment horizontal="center"/>
    </xf>
    <xf numFmtId="0" fontId="3" fillId="0" borderId="0" xfId="4" applyFont="1"/>
    <xf numFmtId="0" fontId="44" fillId="2" borderId="17" xfId="6" applyFont="1" applyFill="1" applyBorder="1" applyAlignment="1">
      <alignment horizontal="center" vertical="center" wrapText="1"/>
    </xf>
    <xf numFmtId="0" fontId="8" fillId="0" borderId="0" xfId="6" applyFont="1" applyFill="1" applyAlignment="1">
      <alignment horizontal="center" vertical="center"/>
    </xf>
    <xf numFmtId="0" fontId="3" fillId="0" borderId="0" xfId="4" applyFont="1" applyAlignment="1"/>
    <xf numFmtId="0" fontId="10" fillId="0" borderId="0" xfId="4" applyFont="1" applyAlignment="1">
      <alignment vertical="center" wrapText="1"/>
    </xf>
    <xf numFmtId="0" fontId="10" fillId="0" borderId="0" xfId="4" applyFont="1" applyAlignment="1">
      <alignment wrapText="1"/>
    </xf>
    <xf numFmtId="0" fontId="7" fillId="0" borderId="0" xfId="4" applyFont="1" applyAlignment="1">
      <alignment vertical="center" wrapText="1"/>
    </xf>
    <xf numFmtId="0" fontId="12" fillId="0" borderId="0" xfId="1" applyFont="1" applyAlignment="1" applyProtection="1">
      <alignment wrapText="1"/>
    </xf>
    <xf numFmtId="0" fontId="2" fillId="0" borderId="0" xfId="4" applyAlignment="1">
      <alignment wrapText="1"/>
    </xf>
    <xf numFmtId="0" fontId="14" fillId="0" borderId="0" xfId="4" applyFont="1"/>
    <xf numFmtId="0" fontId="15" fillId="0" borderId="0" xfId="4" applyFont="1"/>
    <xf numFmtId="0" fontId="2" fillId="0" borderId="0" xfId="4" applyFill="1" applyBorder="1" applyAlignment="1">
      <alignment wrapText="1"/>
    </xf>
    <xf numFmtId="0" fontId="2" fillId="0" borderId="0" xfId="4" applyAlignment="1">
      <alignment horizontal="right"/>
    </xf>
    <xf numFmtId="0" fontId="16" fillId="3" borderId="19" xfId="4" applyNumberFormat="1" applyFont="1" applyFill="1" applyBorder="1" applyAlignment="1">
      <alignment vertical="center" wrapText="1"/>
    </xf>
    <xf numFmtId="0" fontId="16" fillId="3" borderId="20" xfId="4" applyNumberFormat="1" applyFont="1" applyFill="1" applyBorder="1" applyAlignment="1">
      <alignment vertical="center" wrapText="1"/>
    </xf>
    <xf numFmtId="0" fontId="16" fillId="3" borderId="21" xfId="4" applyFont="1" applyFill="1" applyBorder="1" applyAlignment="1">
      <alignment vertical="center"/>
    </xf>
    <xf numFmtId="0" fontId="16" fillId="3" borderId="22" xfId="4" applyFont="1" applyFill="1" applyBorder="1" applyAlignment="1">
      <alignment vertical="center"/>
    </xf>
    <xf numFmtId="0" fontId="5" fillId="3" borderId="23" xfId="4" applyNumberFormat="1" applyFont="1" applyFill="1" applyBorder="1" applyAlignment="1">
      <alignment horizontal="center" vertical="center" wrapText="1"/>
    </xf>
    <xf numFmtId="0" fontId="17" fillId="3" borderId="19" xfId="4" applyNumberFormat="1" applyFont="1" applyFill="1" applyBorder="1" applyAlignment="1">
      <alignment horizontal="center" vertical="center" wrapText="1"/>
    </xf>
    <xf numFmtId="0" fontId="17" fillId="3" borderId="20" xfId="4" applyNumberFormat="1" applyFont="1" applyFill="1" applyBorder="1" applyAlignment="1">
      <alignment horizontal="center" vertical="center" wrapText="1"/>
    </xf>
    <xf numFmtId="0" fontId="5" fillId="3" borderId="23" xfId="4" applyNumberFormat="1" applyFont="1" applyFill="1" applyBorder="1" applyAlignment="1">
      <alignment horizontal="right" vertical="center" wrapText="1"/>
    </xf>
    <xf numFmtId="0" fontId="20" fillId="0" borderId="0" xfId="4" applyFont="1"/>
    <xf numFmtId="0" fontId="2" fillId="0" borderId="10" xfId="4" applyFill="1" applyBorder="1"/>
    <xf numFmtId="1" fontId="2" fillId="0" borderId="10" xfId="4" applyNumberFormat="1" applyFill="1" applyBorder="1" applyAlignment="1">
      <alignment horizontal="center" wrapText="1"/>
    </xf>
    <xf numFmtId="1" fontId="20" fillId="0" borderId="28" xfId="4" applyNumberFormat="1" applyFont="1" applyFill="1" applyBorder="1" applyAlignment="1">
      <alignment horizontal="center" wrapText="1"/>
    </xf>
    <xf numFmtId="1" fontId="20" fillId="0" borderId="32" xfId="4" applyNumberFormat="1" applyFont="1" applyFill="1" applyBorder="1" applyAlignment="1">
      <alignment horizontal="center" wrapText="1"/>
    </xf>
    <xf numFmtId="1" fontId="20" fillId="0" borderId="36" xfId="4" applyNumberFormat="1" applyFont="1" applyFill="1" applyBorder="1" applyAlignment="1">
      <alignment horizontal="center" wrapText="1"/>
    </xf>
    <xf numFmtId="0" fontId="7" fillId="0" borderId="0" xfId="4" applyFont="1" applyFill="1" applyBorder="1"/>
    <xf numFmtId="0" fontId="2" fillId="0" borderId="0" xfId="4" applyFill="1" applyBorder="1"/>
    <xf numFmtId="0" fontId="20" fillId="3" borderId="36" xfId="4" applyFont="1" applyFill="1" applyBorder="1"/>
    <xf numFmtId="0" fontId="16" fillId="3" borderId="23" xfId="4" applyFont="1" applyFill="1" applyBorder="1" applyAlignment="1">
      <alignment vertical="center"/>
    </xf>
    <xf numFmtId="164" fontId="16" fillId="3" borderId="23" xfId="4" applyNumberFormat="1" applyFont="1" applyFill="1" applyBorder="1" applyAlignment="1">
      <alignment horizontal="center" vertical="center" wrapText="1"/>
    </xf>
    <xf numFmtId="164" fontId="5" fillId="3" borderId="23" xfId="4" applyNumberFormat="1" applyFont="1" applyFill="1" applyBorder="1" applyAlignment="1">
      <alignment horizontal="center" vertical="center" wrapText="1"/>
    </xf>
    <xf numFmtId="164" fontId="5" fillId="3" borderId="39" xfId="4" applyNumberFormat="1" applyFont="1" applyFill="1" applyBorder="1" applyAlignment="1">
      <alignment horizontal="center" vertical="center" wrapText="1"/>
    </xf>
    <xf numFmtId="0" fontId="5" fillId="3" borderId="37" xfId="4" applyFont="1" applyFill="1" applyBorder="1" applyAlignment="1">
      <alignment horizontal="right" vertical="center" wrapText="1"/>
    </xf>
    <xf numFmtId="0" fontId="5" fillId="3" borderId="23" xfId="4" applyFont="1" applyFill="1" applyBorder="1" applyAlignment="1">
      <alignment horizontal="right" vertical="center" wrapText="1"/>
    </xf>
    <xf numFmtId="0" fontId="5" fillId="3" borderId="38" xfId="4" applyFont="1" applyFill="1" applyBorder="1" applyAlignment="1">
      <alignment horizontal="right" vertical="center" wrapText="1"/>
    </xf>
    <xf numFmtId="0" fontId="2" fillId="0" borderId="10" xfId="4" applyBorder="1"/>
    <xf numFmtId="0" fontId="7" fillId="0" borderId="0" xfId="4" applyFont="1"/>
    <xf numFmtId="0" fontId="7" fillId="0" borderId="0" xfId="4" applyFont="1" applyFill="1" applyAlignment="1">
      <alignment vertical="center"/>
    </xf>
    <xf numFmtId="0" fontId="16" fillId="3" borderId="40" xfId="4" applyNumberFormat="1" applyFont="1" applyFill="1" applyBorder="1" applyAlignment="1">
      <alignment vertical="center" wrapText="1"/>
    </xf>
    <xf numFmtId="0" fontId="17" fillId="3" borderId="40" xfId="4" applyNumberFormat="1" applyFont="1" applyFill="1" applyBorder="1" applyAlignment="1">
      <alignment horizontal="center" vertical="center" wrapText="1"/>
    </xf>
    <xf numFmtId="0" fontId="5" fillId="3" borderId="38" xfId="4" applyNumberFormat="1" applyFont="1" applyFill="1" applyBorder="1" applyAlignment="1">
      <alignment horizontal="right" vertical="center" wrapText="1"/>
    </xf>
    <xf numFmtId="0" fontId="2" fillId="0" borderId="0" xfId="4" applyFill="1"/>
    <xf numFmtId="0" fontId="7" fillId="0" borderId="0" xfId="4" applyNumberFormat="1" applyFont="1"/>
    <xf numFmtId="1" fontId="2" fillId="0" borderId="0" xfId="4" applyNumberFormat="1" applyFill="1" applyBorder="1" applyAlignment="1">
      <alignment horizontal="center" wrapText="1"/>
    </xf>
    <xf numFmtId="1" fontId="20" fillId="0" borderId="0" xfId="4" applyNumberFormat="1" applyFont="1" applyFill="1" applyBorder="1" applyAlignment="1">
      <alignment horizontal="center" wrapText="1"/>
    </xf>
    <xf numFmtId="0" fontId="20" fillId="0" borderId="0" xfId="4" applyFont="1" applyFill="1" applyBorder="1" applyAlignment="1">
      <alignment horizontal="center" wrapText="1"/>
    </xf>
    <xf numFmtId="1" fontId="2" fillId="0" borderId="0" xfId="4" applyNumberFormat="1" applyFill="1" applyBorder="1" applyAlignment="1">
      <alignment wrapText="1"/>
    </xf>
    <xf numFmtId="0" fontId="3" fillId="0" borderId="0" xfId="4" applyFont="1" applyAlignment="1">
      <alignment wrapText="1"/>
    </xf>
    <xf numFmtId="0" fontId="7" fillId="0" borderId="0" xfId="4" applyFont="1" applyAlignment="1">
      <alignment horizontal="left" vertical="center" wrapText="1"/>
    </xf>
    <xf numFmtId="0" fontId="2" fillId="0" borderId="0" xfId="4" applyFill="1" applyAlignment="1">
      <alignment wrapText="1"/>
    </xf>
    <xf numFmtId="0" fontId="16" fillId="3" borderId="23" xfId="4" applyNumberFormat="1" applyFont="1" applyFill="1" applyBorder="1" applyAlignment="1">
      <alignment horizontal="center" vertical="center" wrapText="1"/>
    </xf>
    <xf numFmtId="0" fontId="12" fillId="0" borderId="0" xfId="1" applyFont="1" applyAlignment="1" applyProtection="1"/>
    <xf numFmtId="0" fontId="14" fillId="0" borderId="0" xfId="4" applyFont="1" applyFill="1" applyBorder="1"/>
    <xf numFmtId="0" fontId="7" fillId="0" borderId="46" xfId="4" applyFont="1" applyBorder="1" applyAlignment="1">
      <alignment horizontal="left" vertical="center" wrapText="1"/>
    </xf>
    <xf numFmtId="0" fontId="16" fillId="3" borderId="47" xfId="4" applyNumberFormat="1" applyFont="1" applyFill="1" applyBorder="1" applyAlignment="1">
      <alignment vertical="center" wrapText="1"/>
    </xf>
    <xf numFmtId="0" fontId="16" fillId="3" borderId="36" xfId="4" applyFont="1" applyFill="1" applyBorder="1" applyAlignment="1">
      <alignment vertical="center"/>
    </xf>
    <xf numFmtId="0" fontId="5" fillId="3" borderId="39" xfId="4" applyNumberFormat="1" applyFont="1" applyFill="1" applyBorder="1" applyAlignment="1">
      <alignment horizontal="center" vertical="center" wrapText="1"/>
    </xf>
    <xf numFmtId="0" fontId="17" fillId="3" borderId="46" xfId="4" applyNumberFormat="1" applyFont="1" applyFill="1" applyBorder="1" applyAlignment="1">
      <alignment horizontal="center" vertical="center"/>
    </xf>
    <xf numFmtId="0" fontId="5" fillId="3" borderId="37" xfId="4" applyNumberFormat="1" applyFont="1" applyFill="1" applyBorder="1" applyAlignment="1">
      <alignment horizontal="right" vertical="center" wrapText="1"/>
    </xf>
    <xf numFmtId="1" fontId="20" fillId="0" borderId="30" xfId="4" applyNumberFormat="1" applyFont="1" applyFill="1" applyBorder="1" applyAlignment="1">
      <alignment horizontal="center" wrapText="1"/>
    </xf>
    <xf numFmtId="1" fontId="20" fillId="0" borderId="34" xfId="4" applyNumberFormat="1" applyFont="1" applyFill="1" applyBorder="1" applyAlignment="1">
      <alignment horizontal="center" wrapText="1"/>
    </xf>
    <xf numFmtId="1" fontId="20" fillId="0" borderId="50" xfId="4" applyNumberFormat="1" applyFont="1" applyFill="1" applyBorder="1" applyAlignment="1">
      <alignment horizontal="center" wrapText="1"/>
    </xf>
    <xf numFmtId="1" fontId="20" fillId="0" borderId="51" xfId="4" applyNumberFormat="1" applyFont="1" applyFill="1" applyBorder="1" applyAlignment="1">
      <alignment horizontal="center" wrapText="1"/>
    </xf>
    <xf numFmtId="1" fontId="20" fillId="0" borderId="23" xfId="4" applyNumberFormat="1" applyFont="1" applyFill="1" applyBorder="1" applyAlignment="1">
      <alignment horizontal="center" wrapText="1"/>
    </xf>
    <xf numFmtId="0" fontId="16" fillId="3" borderId="36" xfId="4" applyFont="1" applyFill="1" applyBorder="1"/>
    <xf numFmtId="0" fontId="5" fillId="3" borderId="23" xfId="4" applyFont="1" applyFill="1" applyBorder="1" applyAlignment="1">
      <alignment horizontal="center" vertical="center" wrapText="1"/>
    </xf>
    <xf numFmtId="0" fontId="2" fillId="0" borderId="10" xfId="4" applyBorder="1" applyAlignment="1">
      <alignment horizontal="center" wrapText="1"/>
    </xf>
    <xf numFmtId="0" fontId="12" fillId="0" borderId="0" xfId="1" applyFont="1" applyAlignment="1" applyProtection="1">
      <alignment vertical="center" wrapText="1"/>
    </xf>
    <xf numFmtId="0" fontId="20" fillId="0" borderId="0" xfId="4" applyFont="1" applyAlignment="1">
      <alignment wrapText="1"/>
    </xf>
    <xf numFmtId="0" fontId="20" fillId="0" borderId="53" xfId="4" applyFont="1" applyBorder="1" applyAlignment="1">
      <alignment wrapText="1"/>
    </xf>
    <xf numFmtId="0" fontId="7" fillId="0" borderId="0" xfId="4" applyFont="1" applyAlignment="1">
      <alignment vertical="center"/>
    </xf>
    <xf numFmtId="0" fontId="46" fillId="3" borderId="51" xfId="4" applyFont="1" applyFill="1" applyBorder="1" applyAlignment="1">
      <alignment horizontal="center" vertical="center" wrapText="1"/>
    </xf>
    <xf numFmtId="0" fontId="2" fillId="0" borderId="54" xfId="4" applyBorder="1" applyAlignment="1">
      <alignment wrapText="1"/>
    </xf>
    <xf numFmtId="0" fontId="16" fillId="3" borderId="45" xfId="4" applyFont="1" applyFill="1" applyBorder="1" applyAlignment="1">
      <alignment horizontal="center" vertical="center" wrapText="1"/>
    </xf>
    <xf numFmtId="0" fontId="13" fillId="0" borderId="10" xfId="4" applyFont="1" applyFill="1" applyBorder="1" applyAlignment="1">
      <alignment horizontal="left" vertical="center" wrapText="1" indent="1"/>
    </xf>
    <xf numFmtId="0" fontId="2" fillId="0" borderId="10" xfId="4" applyBorder="1" applyAlignment="1">
      <alignment vertical="center"/>
    </xf>
    <xf numFmtId="0" fontId="2" fillId="0" borderId="20" xfId="4" applyBorder="1" applyAlignment="1">
      <alignment vertical="center"/>
    </xf>
    <xf numFmtId="0" fontId="3" fillId="0" borderId="0" xfId="7" applyFont="1" applyAlignment="1">
      <alignment horizontal="left" vertical="center" wrapText="1" indent="1"/>
    </xf>
    <xf numFmtId="0" fontId="13" fillId="0" borderId="0" xfId="7" applyFont="1" applyAlignment="1">
      <alignment vertical="center" wrapText="1"/>
    </xf>
    <xf numFmtId="0" fontId="13" fillId="0" borderId="0" xfId="4" applyFont="1" applyAlignment="1">
      <alignment horizontal="left" vertical="center" indent="1"/>
    </xf>
    <xf numFmtId="0" fontId="3" fillId="0" borderId="0" xfId="4" applyFont="1" applyAlignment="1">
      <alignment horizontal="left"/>
    </xf>
    <xf numFmtId="0" fontId="2" fillId="0" borderId="0" xfId="4" applyAlignment="1"/>
    <xf numFmtId="0" fontId="27" fillId="0" borderId="0" xfId="4" applyFont="1" applyAlignment="1">
      <alignment horizontal="center"/>
    </xf>
    <xf numFmtId="0" fontId="27" fillId="0" borderId="0" xfId="4" applyFont="1" applyAlignment="1"/>
    <xf numFmtId="0" fontId="16" fillId="3" borderId="26" xfId="4" applyNumberFormat="1" applyFont="1" applyFill="1" applyBorder="1" applyAlignment="1">
      <alignment vertical="center"/>
    </xf>
    <xf numFmtId="0" fontId="17" fillId="3" borderId="23" xfId="4" applyNumberFormat="1" applyFont="1" applyFill="1" applyBorder="1" applyAlignment="1">
      <alignment horizontal="center" vertical="center"/>
    </xf>
    <xf numFmtId="0" fontId="16" fillId="3" borderId="23" xfId="4" applyFont="1" applyFill="1" applyBorder="1" applyAlignment="1">
      <alignment horizontal="center" vertical="center" wrapText="1"/>
    </xf>
    <xf numFmtId="0" fontId="2" fillId="0" borderId="55" xfId="4" applyFill="1" applyBorder="1"/>
    <xf numFmtId="1" fontId="2" fillId="0" borderId="0" xfId="4" applyNumberFormat="1"/>
    <xf numFmtId="0" fontId="2" fillId="0" borderId="0" xfId="4" applyAlignment="1">
      <alignment vertical="center"/>
    </xf>
    <xf numFmtId="0" fontId="3" fillId="0" borderId="0" xfId="4" applyFont="1" applyAlignment="1">
      <alignment vertical="center"/>
    </xf>
    <xf numFmtId="0" fontId="14" fillId="0" borderId="0" xfId="4" applyFont="1" applyAlignment="1">
      <alignment vertical="center" wrapText="1"/>
    </xf>
    <xf numFmtId="0" fontId="16" fillId="3" borderId="56" xfId="4" applyFont="1" applyFill="1" applyBorder="1" applyAlignment="1">
      <alignment vertical="center" wrapText="1"/>
    </xf>
    <xf numFmtId="0" fontId="16" fillId="3" borderId="57" xfId="4" applyFont="1" applyFill="1" applyBorder="1" applyAlignment="1">
      <alignment horizontal="center" vertical="center" wrapText="1"/>
    </xf>
    <xf numFmtId="0" fontId="16" fillId="3" borderId="58" xfId="4" applyFont="1" applyFill="1" applyBorder="1" applyAlignment="1">
      <alignment horizontal="center" vertical="center" wrapText="1"/>
    </xf>
    <xf numFmtId="0" fontId="20" fillId="0" borderId="0" xfId="4" applyFont="1" applyFill="1" applyAlignment="1">
      <alignment vertical="center"/>
    </xf>
    <xf numFmtId="0" fontId="2" fillId="0" borderId="0" xfId="4" applyFill="1" applyAlignment="1">
      <alignment vertical="center"/>
    </xf>
    <xf numFmtId="0" fontId="28" fillId="0" borderId="0" xfId="4" applyFont="1" applyFill="1" applyAlignment="1">
      <alignment vertical="center"/>
    </xf>
    <xf numFmtId="165" fontId="2" fillId="0" borderId="0" xfId="4" applyNumberFormat="1" applyFill="1" applyAlignment="1">
      <alignment vertical="center"/>
    </xf>
    <xf numFmtId="1" fontId="2" fillId="0" borderId="0" xfId="4" applyNumberFormat="1" applyFill="1" applyAlignment="1">
      <alignment vertical="center"/>
    </xf>
    <xf numFmtId="0" fontId="20" fillId="0" borderId="0" xfId="4" applyFont="1" applyAlignment="1">
      <alignment vertical="center"/>
    </xf>
    <xf numFmtId="165" fontId="2" fillId="0" borderId="0" xfId="4" applyNumberFormat="1" applyAlignment="1">
      <alignment vertical="center"/>
    </xf>
    <xf numFmtId="1" fontId="2" fillId="0" borderId="0" xfId="4" applyNumberFormat="1" applyAlignment="1">
      <alignment vertical="center"/>
    </xf>
    <xf numFmtId="0" fontId="29" fillId="0" borderId="0" xfId="4" applyFont="1" applyAlignment="1">
      <alignment vertical="center"/>
    </xf>
    <xf numFmtId="0" fontId="14" fillId="0" borderId="0" xfId="4" applyFont="1" applyAlignment="1">
      <alignment vertical="center"/>
    </xf>
    <xf numFmtId="0" fontId="2" fillId="0" borderId="0" xfId="4" applyAlignment="1">
      <alignment vertical="center" wrapText="1"/>
    </xf>
    <xf numFmtId="0" fontId="13" fillId="0" borderId="10" xfId="4" applyFont="1" applyBorder="1" applyAlignment="1">
      <alignment horizontal="center" vertical="center"/>
    </xf>
    <xf numFmtId="0" fontId="3" fillId="0" borderId="0" xfId="4" applyFont="1" applyAlignment="1">
      <alignment horizontal="center"/>
    </xf>
    <xf numFmtId="0" fontId="20" fillId="0" borderId="0" xfId="4" applyFont="1" applyAlignment="1">
      <alignment horizontal="center"/>
    </xf>
    <xf numFmtId="0" fontId="3" fillId="0" borderId="60" xfId="4" applyFont="1" applyBorder="1" applyAlignment="1">
      <alignment vertical="center" wrapText="1"/>
    </xf>
    <xf numFmtId="0" fontId="3" fillId="0" borderId="61" xfId="4" applyFont="1" applyBorder="1" applyAlignment="1">
      <alignment horizontal="center" vertical="center"/>
    </xf>
    <xf numFmtId="0" fontId="3" fillId="0" borderId="62" xfId="4" applyFont="1" applyBorder="1" applyAlignment="1">
      <alignment horizontal="center" vertical="center"/>
    </xf>
    <xf numFmtId="0" fontId="3" fillId="0" borderId="63" xfId="4" applyFont="1" applyBorder="1" applyAlignment="1">
      <alignment vertical="center" wrapText="1"/>
    </xf>
    <xf numFmtId="0" fontId="3" fillId="0" borderId="64" xfId="4" applyFont="1" applyBorder="1" applyAlignment="1">
      <alignment horizontal="center" vertical="center"/>
    </xf>
    <xf numFmtId="0" fontId="3" fillId="0" borderId="65" xfId="4" applyFont="1" applyBorder="1" applyAlignment="1">
      <alignment horizontal="center" vertical="center"/>
    </xf>
    <xf numFmtId="0" fontId="13" fillId="0" borderId="66" xfId="4" applyFont="1" applyBorder="1" applyAlignment="1">
      <alignment vertical="center" wrapText="1"/>
    </xf>
    <xf numFmtId="0" fontId="13" fillId="0" borderId="67" xfId="4" applyFont="1" applyBorder="1" applyAlignment="1">
      <alignment horizontal="center" vertical="center"/>
    </xf>
    <xf numFmtId="0" fontId="13" fillId="0" borderId="69" xfId="4" applyFont="1" applyBorder="1" applyAlignment="1">
      <alignment horizontal="center" vertical="center"/>
    </xf>
    <xf numFmtId="0" fontId="13" fillId="0" borderId="70" xfId="4" applyFont="1" applyBorder="1" applyAlignment="1">
      <alignment vertical="center" wrapText="1"/>
    </xf>
    <xf numFmtId="0" fontId="13" fillId="0" borderId="71" xfId="4" applyFont="1" applyBorder="1" applyAlignment="1">
      <alignment horizontal="center" vertical="center"/>
    </xf>
    <xf numFmtId="0" fontId="13" fillId="0" borderId="72" xfId="4" applyFont="1" applyBorder="1" applyAlignment="1">
      <alignment horizontal="center" vertical="center"/>
    </xf>
    <xf numFmtId="0" fontId="13" fillId="0" borderId="73" xfId="4" applyFont="1" applyBorder="1" applyAlignment="1">
      <alignment vertical="center" wrapText="1"/>
    </xf>
    <xf numFmtId="0" fontId="13" fillId="0" borderId="74" xfId="4" applyFont="1" applyBorder="1" applyAlignment="1">
      <alignment horizontal="center" vertical="center"/>
    </xf>
    <xf numFmtId="0" fontId="13" fillId="0" borderId="75" xfId="4" applyFont="1" applyBorder="1" applyAlignment="1">
      <alignment horizontal="center" vertical="center"/>
    </xf>
    <xf numFmtId="0" fontId="13" fillId="0" borderId="66" xfId="4" applyFont="1" applyFill="1" applyBorder="1" applyAlignment="1">
      <alignment vertical="center" wrapText="1"/>
    </xf>
    <xf numFmtId="0" fontId="13" fillId="0" borderId="76" xfId="4" applyFont="1" applyBorder="1" applyAlignment="1">
      <alignment vertical="center" wrapText="1"/>
    </xf>
    <xf numFmtId="0" fontId="13" fillId="0" borderId="77" xfId="4" applyFont="1" applyBorder="1" applyAlignment="1">
      <alignment horizontal="center" vertical="center"/>
    </xf>
    <xf numFmtId="0" fontId="13" fillId="0" borderId="59" xfId="4" applyFont="1" applyBorder="1" applyAlignment="1">
      <alignment horizontal="center" vertical="center"/>
    </xf>
    <xf numFmtId="0" fontId="13" fillId="0" borderId="78" xfId="4" applyFont="1" applyBorder="1" applyAlignment="1">
      <alignment vertical="center" wrapText="1"/>
    </xf>
    <xf numFmtId="0" fontId="13" fillId="0" borderId="79" xfId="4" applyFont="1" applyBorder="1" applyAlignment="1">
      <alignment horizontal="center" vertical="center"/>
    </xf>
    <xf numFmtId="0" fontId="3" fillId="0" borderId="80" xfId="4" applyFont="1" applyBorder="1" applyAlignment="1">
      <alignment vertical="center" wrapText="1"/>
    </xf>
    <xf numFmtId="0" fontId="3" fillId="0" borderId="81" xfId="4" applyFont="1" applyBorder="1" applyAlignment="1">
      <alignment horizontal="center" vertical="center"/>
    </xf>
    <xf numFmtId="0" fontId="3" fillId="0" borderId="82" xfId="4" applyFont="1" applyBorder="1" applyAlignment="1">
      <alignment horizontal="center" vertical="center"/>
    </xf>
    <xf numFmtId="0" fontId="13" fillId="0" borderId="77" xfId="4" applyFont="1" applyFill="1" applyBorder="1" applyAlignment="1">
      <alignment horizontal="center" vertical="center"/>
    </xf>
    <xf numFmtId="0" fontId="13" fillId="0" borderId="59" xfId="4" applyFont="1" applyFill="1" applyBorder="1" applyAlignment="1">
      <alignment horizontal="center" vertical="center"/>
    </xf>
    <xf numFmtId="0" fontId="3" fillId="0" borderId="64" xfId="4" applyFont="1" applyFill="1" applyBorder="1" applyAlignment="1">
      <alignment horizontal="center" vertical="center"/>
    </xf>
    <xf numFmtId="0" fontId="3" fillId="0" borderId="65" xfId="4" applyFont="1" applyFill="1" applyBorder="1" applyAlignment="1">
      <alignment horizontal="center" vertical="center"/>
    </xf>
    <xf numFmtId="0" fontId="7" fillId="0" borderId="83" xfId="4" applyFont="1" applyFill="1" applyBorder="1" applyAlignment="1">
      <alignment vertical="center"/>
    </xf>
    <xf numFmtId="0" fontId="25" fillId="0" borderId="0" xfId="4" applyFont="1" applyAlignment="1"/>
    <xf numFmtId="0" fontId="16" fillId="3" borderId="84" xfId="4" applyFont="1" applyFill="1" applyBorder="1" applyAlignment="1">
      <alignment horizontal="center" vertical="center" wrapText="1"/>
    </xf>
    <xf numFmtId="0" fontId="3" fillId="0" borderId="10" xfId="4" applyFont="1" applyBorder="1" applyAlignment="1">
      <alignment vertical="center" wrapText="1"/>
    </xf>
    <xf numFmtId="0" fontId="3" fillId="0" borderId="10" xfId="4" applyFont="1" applyBorder="1" applyAlignment="1">
      <alignment horizontal="center" vertical="center"/>
    </xf>
    <xf numFmtId="166" fontId="3" fillId="0" borderId="10" xfId="4" applyNumberFormat="1" applyFont="1" applyBorder="1" applyAlignment="1">
      <alignment horizontal="center" vertical="center"/>
    </xf>
    <xf numFmtId="166" fontId="3" fillId="0" borderId="55" xfId="4" applyNumberFormat="1" applyFont="1" applyBorder="1" applyAlignment="1">
      <alignment horizontal="right" vertical="center"/>
    </xf>
    <xf numFmtId="166" fontId="3" fillId="0" borderId="40" xfId="4" quotePrefix="1" applyNumberFormat="1" applyFont="1" applyBorder="1" applyAlignment="1">
      <alignment horizontal="center" vertical="center"/>
    </xf>
    <xf numFmtId="166" fontId="3" fillId="0" borderId="20" xfId="4" applyNumberFormat="1" applyFont="1" applyBorder="1" applyAlignment="1">
      <alignment horizontal="left" vertical="center"/>
    </xf>
    <xf numFmtId="166" fontId="2" fillId="0" borderId="0" xfId="4" applyNumberFormat="1"/>
    <xf numFmtId="0" fontId="29" fillId="0" borderId="0" xfId="4" applyFont="1"/>
    <xf numFmtId="0" fontId="13" fillId="0" borderId="10" xfId="4" applyFont="1" applyBorder="1" applyAlignment="1">
      <alignment vertical="center" wrapText="1"/>
    </xf>
    <xf numFmtId="166" fontId="13" fillId="0" borderId="10" xfId="4" applyNumberFormat="1" applyFont="1" applyBorder="1" applyAlignment="1">
      <alignment horizontal="center" vertical="center"/>
    </xf>
    <xf numFmtId="166" fontId="13" fillId="0" borderId="55" xfId="4" applyNumberFormat="1" applyFont="1" applyBorder="1" applyAlignment="1">
      <alignment horizontal="right" vertical="center"/>
    </xf>
    <xf numFmtId="166" fontId="13" fillId="0" borderId="40" xfId="4" applyNumberFormat="1" applyFont="1" applyBorder="1" applyAlignment="1">
      <alignment horizontal="center" vertical="center"/>
    </xf>
    <xf numFmtId="166" fontId="13" fillId="0" borderId="20" xfId="4" applyNumberFormat="1" applyFont="1" applyBorder="1" applyAlignment="1">
      <alignment horizontal="left" vertical="center"/>
    </xf>
    <xf numFmtId="167" fontId="13" fillId="0" borderId="10" xfId="4" quotePrefix="1" applyNumberFormat="1" applyFont="1" applyBorder="1" applyAlignment="1">
      <alignment horizontal="center" vertical="center"/>
    </xf>
    <xf numFmtId="166" fontId="13" fillId="0" borderId="10" xfId="4" quotePrefix="1" applyNumberFormat="1" applyFont="1" applyBorder="1" applyAlignment="1">
      <alignment horizontal="center" vertical="center"/>
    </xf>
    <xf numFmtId="0" fontId="13" fillId="0" borderId="0" xfId="4" applyFont="1" applyBorder="1" applyAlignment="1">
      <alignment vertical="center" wrapText="1"/>
    </xf>
    <xf numFmtId="0" fontId="13" fillId="0" borderId="0" xfId="4" applyFont="1" applyBorder="1" applyAlignment="1">
      <alignment horizontal="center" vertical="center"/>
    </xf>
    <xf numFmtId="167" fontId="13" fillId="0" borderId="0" xfId="4" quotePrefix="1" applyNumberFormat="1" applyFont="1" applyBorder="1" applyAlignment="1">
      <alignment horizontal="center" vertical="center"/>
    </xf>
    <xf numFmtId="166" fontId="13" fillId="0" borderId="0" xfId="4" quotePrefix="1" applyNumberFormat="1" applyFont="1" applyBorder="1" applyAlignment="1">
      <alignment horizontal="center" vertical="center"/>
    </xf>
    <xf numFmtId="166" fontId="13" fillId="0" borderId="0" xfId="4" applyNumberFormat="1" applyFont="1" applyBorder="1" applyAlignment="1">
      <alignment horizontal="center" vertical="center"/>
    </xf>
    <xf numFmtId="0" fontId="14" fillId="0" borderId="0" xfId="4" applyFont="1" applyBorder="1" applyAlignment="1">
      <alignment vertical="center" wrapText="1"/>
    </xf>
    <xf numFmtId="0" fontId="7" fillId="0" borderId="0" xfId="4" applyFont="1" applyBorder="1" applyAlignment="1">
      <alignment horizontal="center" vertical="center"/>
    </xf>
    <xf numFmtId="167" fontId="7" fillId="0" borderId="0" xfId="4" quotePrefix="1" applyNumberFormat="1" applyFont="1" applyBorder="1" applyAlignment="1">
      <alignment horizontal="center" vertical="center"/>
    </xf>
    <xf numFmtId="166" fontId="7" fillId="0" borderId="0" xfId="4" quotePrefix="1" applyNumberFormat="1" applyFont="1" applyBorder="1" applyAlignment="1">
      <alignment horizontal="center" vertical="center"/>
    </xf>
    <xf numFmtId="166" fontId="7" fillId="0" borderId="0" xfId="4" applyNumberFormat="1" applyFont="1" applyBorder="1" applyAlignment="1">
      <alignment horizontal="center" vertical="center"/>
    </xf>
    <xf numFmtId="0" fontId="7" fillId="0" borderId="0" xfId="4" applyFont="1" applyAlignment="1"/>
    <xf numFmtId="0" fontId="7" fillId="0" borderId="0" xfId="4" applyFont="1" applyFill="1" applyAlignment="1"/>
    <xf numFmtId="0" fontId="25" fillId="0" borderId="0" xfId="4" applyFont="1"/>
    <xf numFmtId="0" fontId="33" fillId="0" borderId="10" xfId="4" applyFont="1" applyBorder="1" applyAlignment="1">
      <alignment horizontal="center" vertical="center" wrapText="1"/>
    </xf>
    <xf numFmtId="1" fontId="33" fillId="0" borderId="10" xfId="4" applyNumberFormat="1" applyFont="1" applyBorder="1" applyAlignment="1">
      <alignment horizontal="center" vertical="center" wrapText="1"/>
    </xf>
    <xf numFmtId="0" fontId="7" fillId="0" borderId="47" xfId="4" applyFont="1" applyBorder="1" applyAlignment="1">
      <alignment wrapText="1"/>
    </xf>
    <xf numFmtId="0" fontId="7" fillId="0" borderId="0" xfId="4" applyFont="1" applyAlignment="1">
      <alignment wrapText="1"/>
    </xf>
    <xf numFmtId="0" fontId="7" fillId="0" borderId="47" xfId="4" applyFont="1" applyBorder="1" applyAlignment="1"/>
    <xf numFmtId="0" fontId="14" fillId="0" borderId="0" xfId="4" applyFont="1" applyBorder="1" applyAlignment="1"/>
    <xf numFmtId="0" fontId="0" fillId="4" borderId="0" xfId="0" applyFill="1"/>
    <xf numFmtId="0" fontId="0" fillId="5" borderId="0" xfId="0" applyFill="1"/>
    <xf numFmtId="0" fontId="0" fillId="6" borderId="0" xfId="0" applyFill="1"/>
    <xf numFmtId="0" fontId="3" fillId="0" borderId="76" xfId="4" applyFont="1" applyBorder="1" applyAlignment="1">
      <alignment vertical="center"/>
    </xf>
    <xf numFmtId="0" fontId="3" fillId="0" borderId="0" xfId="4" applyFont="1" applyBorder="1" applyAlignment="1">
      <alignment vertical="center"/>
    </xf>
    <xf numFmtId="165" fontId="3" fillId="0" borderId="0" xfId="4" applyNumberFormat="1" applyFont="1" applyBorder="1" applyAlignment="1">
      <alignment horizontal="center" vertical="center"/>
    </xf>
    <xf numFmtId="165" fontId="13" fillId="0" borderId="0" xfId="4" applyNumberFormat="1" applyFont="1" applyFill="1" applyBorder="1" applyAlignment="1">
      <alignment horizontal="left" vertical="center" wrapText="1"/>
    </xf>
    <xf numFmtId="0" fontId="14" fillId="0" borderId="0" xfId="0" applyFont="1"/>
    <xf numFmtId="0" fontId="0" fillId="0" borderId="0" xfId="0" applyFill="1"/>
    <xf numFmtId="0" fontId="0" fillId="0" borderId="0" xfId="0" applyFill="1" applyAlignment="1">
      <alignment wrapText="1"/>
    </xf>
    <xf numFmtId="0" fontId="7" fillId="0" borderId="0" xfId="0" applyFont="1"/>
    <xf numFmtId="0" fontId="35" fillId="0" borderId="0" xfId="7" applyFont="1"/>
    <xf numFmtId="0" fontId="6" fillId="0" borderId="0" xfId="7" applyFont="1"/>
    <xf numFmtId="0" fontId="2" fillId="0" borderId="0" xfId="4" applyFont="1"/>
    <xf numFmtId="0" fontId="3" fillId="0" borderId="0" xfId="5" applyFont="1" applyAlignment="1"/>
    <xf numFmtId="0" fontId="36" fillId="0" borderId="0" xfId="5"/>
    <xf numFmtId="0" fontId="37" fillId="0" borderId="0" xfId="1" applyFont="1" applyAlignment="1" applyProtection="1">
      <alignment horizontal="left"/>
    </xf>
    <xf numFmtId="0" fontId="38" fillId="0" borderId="0" xfId="5" applyFont="1"/>
    <xf numFmtId="0" fontId="14" fillId="0" borderId="0" xfId="5" applyFont="1"/>
    <xf numFmtId="0" fontId="15" fillId="0" borderId="0" xfId="5" applyFont="1"/>
    <xf numFmtId="0" fontId="36" fillId="0" borderId="0" xfId="5" applyFill="1" applyBorder="1" applyAlignment="1">
      <alignment wrapText="1"/>
    </xf>
    <xf numFmtId="0" fontId="36" fillId="0" borderId="0" xfId="5" applyAlignment="1">
      <alignment horizontal="right"/>
    </xf>
    <xf numFmtId="0" fontId="39" fillId="3" borderId="85" xfId="5" applyNumberFormat="1" applyFont="1" applyFill="1" applyBorder="1" applyAlignment="1">
      <alignment vertical="center" wrapText="1"/>
    </xf>
    <xf numFmtId="0" fontId="39" fillId="3" borderId="20" xfId="5" applyNumberFormat="1" applyFont="1" applyFill="1" applyBorder="1" applyAlignment="1">
      <alignment vertical="center" wrapText="1"/>
    </xf>
    <xf numFmtId="0" fontId="39" fillId="3" borderId="36" xfId="5" applyFont="1" applyFill="1" applyBorder="1" applyAlignment="1">
      <alignment vertical="center"/>
    </xf>
    <xf numFmtId="0" fontId="39" fillId="3" borderId="23" xfId="5" applyFont="1" applyFill="1" applyBorder="1" applyAlignment="1">
      <alignment vertical="center"/>
    </xf>
    <xf numFmtId="0" fontId="41" fillId="3" borderId="23" xfId="5" applyNumberFormat="1" applyFont="1" applyFill="1" applyBorder="1" applyAlignment="1">
      <alignment horizontal="center" vertical="center" wrapText="1"/>
    </xf>
    <xf numFmtId="0" fontId="40" fillId="3" borderId="53" xfId="5" applyNumberFormat="1" applyFont="1" applyFill="1" applyBorder="1" applyAlignment="1">
      <alignment horizontal="center" vertical="center" wrapText="1"/>
    </xf>
    <xf numFmtId="0" fontId="40" fillId="3" borderId="67" xfId="5" applyNumberFormat="1" applyFont="1" applyFill="1" applyBorder="1" applyAlignment="1">
      <alignment horizontal="center" vertical="center" wrapText="1"/>
    </xf>
    <xf numFmtId="0" fontId="41" fillId="3" borderId="23" xfId="5" applyNumberFormat="1" applyFont="1" applyFill="1" applyBorder="1" applyAlignment="1">
      <alignment horizontal="right" vertical="center" wrapText="1"/>
    </xf>
    <xf numFmtId="0" fontId="36" fillId="0" borderId="0" xfId="5" applyFont="1" applyBorder="1" applyAlignment="1">
      <alignment horizontal="center" vertical="center" wrapText="1"/>
    </xf>
    <xf numFmtId="0" fontId="36" fillId="0" borderId="0" xfId="5" applyAlignment="1">
      <alignment horizontal="center" vertical="center" wrapText="1"/>
    </xf>
    <xf numFmtId="0" fontId="36" fillId="0" borderId="10" xfId="5" applyFill="1" applyBorder="1"/>
    <xf numFmtId="1" fontId="36" fillId="0" borderId="10" xfId="5" applyNumberFormat="1" applyFill="1" applyBorder="1" applyAlignment="1">
      <alignment horizontal="center" wrapText="1"/>
    </xf>
    <xf numFmtId="1" fontId="42" fillId="0" borderId="24" xfId="5" applyNumberFormat="1" applyFont="1" applyFill="1" applyBorder="1" applyAlignment="1">
      <alignment horizontal="center" wrapText="1"/>
    </xf>
    <xf numFmtId="1" fontId="42" fillId="0" borderId="86" xfId="5" applyNumberFormat="1" applyFont="1" applyFill="1" applyBorder="1" applyAlignment="1">
      <alignment horizontal="center" wrapText="1"/>
    </xf>
    <xf numFmtId="1" fontId="42" fillId="0" borderId="32" xfId="5" applyNumberFormat="1" applyFont="1" applyFill="1" applyBorder="1" applyAlignment="1">
      <alignment horizontal="center" wrapText="1"/>
    </xf>
    <xf numFmtId="1" fontId="42" fillId="0" borderId="49" xfId="5" applyNumberFormat="1" applyFont="1" applyFill="1" applyBorder="1" applyAlignment="1">
      <alignment horizontal="center" wrapText="1"/>
    </xf>
    <xf numFmtId="0" fontId="36" fillId="0" borderId="0" xfId="5" applyFont="1" applyBorder="1" applyAlignment="1">
      <alignment horizontal="center"/>
    </xf>
    <xf numFmtId="1" fontId="42" fillId="0" borderId="36" xfId="5" applyNumberFormat="1" applyFont="1" applyFill="1" applyBorder="1" applyAlignment="1">
      <alignment horizontal="center" wrapText="1"/>
    </xf>
    <xf numFmtId="1" fontId="42" fillId="0" borderId="39" xfId="5" applyNumberFormat="1" applyFont="1" applyFill="1" applyBorder="1" applyAlignment="1">
      <alignment horizontal="center" wrapText="1"/>
    </xf>
    <xf numFmtId="0" fontId="36" fillId="0" borderId="0" xfId="5" applyFill="1" applyBorder="1"/>
    <xf numFmtId="0" fontId="42" fillId="3" borderId="36" xfId="5" applyFont="1" applyFill="1" applyBorder="1"/>
    <xf numFmtId="0" fontId="16" fillId="3" borderId="23" xfId="5" applyFont="1" applyFill="1" applyBorder="1" applyAlignment="1">
      <alignment vertical="center"/>
    </xf>
    <xf numFmtId="164" fontId="16" fillId="3" borderId="23" xfId="5" applyNumberFormat="1" applyFont="1" applyFill="1" applyBorder="1" applyAlignment="1">
      <alignment horizontal="center" vertical="center" wrapText="1"/>
    </xf>
    <xf numFmtId="164" fontId="5" fillId="3" borderId="23" xfId="5" applyNumberFormat="1" applyFont="1" applyFill="1" applyBorder="1" applyAlignment="1">
      <alignment horizontal="center" vertical="center" wrapText="1"/>
    </xf>
    <xf numFmtId="164" fontId="5" fillId="3" borderId="39" xfId="5" applyNumberFormat="1" applyFont="1" applyFill="1" applyBorder="1" applyAlignment="1">
      <alignment horizontal="center" vertical="center" wrapText="1"/>
    </xf>
    <xf numFmtId="0" fontId="5" fillId="3" borderId="37" xfId="5" applyFont="1" applyFill="1" applyBorder="1" applyAlignment="1">
      <alignment horizontal="right" vertical="center" wrapText="1"/>
    </xf>
    <xf numFmtId="0" fontId="5" fillId="3" borderId="23" xfId="5" applyFont="1" applyFill="1" applyBorder="1" applyAlignment="1">
      <alignment horizontal="right" vertical="center" wrapText="1"/>
    </xf>
    <xf numFmtId="0" fontId="5" fillId="3" borderId="38" xfId="5" applyFont="1" applyFill="1" applyBorder="1" applyAlignment="1">
      <alignment horizontal="right" vertical="center" wrapText="1"/>
    </xf>
    <xf numFmtId="0" fontId="36" fillId="0" borderId="87" xfId="5" applyFont="1" applyBorder="1" applyAlignment="1">
      <alignment horizontal="center" vertical="center" wrapText="1"/>
    </xf>
    <xf numFmtId="0" fontId="36" fillId="0" borderId="10" xfId="5" applyBorder="1"/>
    <xf numFmtId="0" fontId="36" fillId="0" borderId="10" xfId="5" applyFill="1" applyBorder="1" applyAlignment="1">
      <alignment horizontal="center" wrapText="1"/>
    </xf>
    <xf numFmtId="0" fontId="36" fillId="0" borderId="87" xfId="5" applyFont="1" applyBorder="1" applyAlignment="1">
      <alignment horizontal="center"/>
    </xf>
    <xf numFmtId="0" fontId="36" fillId="0" borderId="87" xfId="5" applyFont="1" applyBorder="1"/>
    <xf numFmtId="0" fontId="36" fillId="0" borderId="0" xfId="5" applyFont="1" applyBorder="1"/>
    <xf numFmtId="0" fontId="7" fillId="0" borderId="0" xfId="5" applyFont="1" applyFill="1" applyAlignment="1">
      <alignment vertical="center"/>
    </xf>
    <xf numFmtId="0" fontId="2" fillId="0" borderId="0" xfId="4" applyAlignment="1">
      <alignment horizontal="left" wrapText="1"/>
    </xf>
    <xf numFmtId="0" fontId="13" fillId="0" borderId="10" xfId="7" applyFont="1" applyFill="1" applyBorder="1" applyAlignment="1">
      <alignment horizontal="left" vertical="center" wrapText="1" indent="1"/>
    </xf>
    <xf numFmtId="166" fontId="45" fillId="2" borderId="5" xfId="6" applyNumberFormat="1" applyFont="1" applyFill="1" applyBorder="1" applyAlignment="1">
      <alignment horizontal="center" vertical="center"/>
    </xf>
    <xf numFmtId="168" fontId="49" fillId="0" borderId="5" xfId="6" applyNumberFormat="1" applyFont="1" applyFill="1" applyBorder="1" applyAlignment="1">
      <alignment horizontal="center" vertical="center"/>
    </xf>
    <xf numFmtId="0" fontId="50" fillId="0" borderId="0" xfId="4" applyFont="1" applyBorder="1" applyAlignment="1">
      <alignment horizontal="center" vertical="center" wrapText="1"/>
    </xf>
    <xf numFmtId="0" fontId="50" fillId="0" borderId="87" xfId="4" applyFont="1" applyBorder="1" applyAlignment="1">
      <alignment horizontal="center" vertical="center" wrapText="1"/>
    </xf>
    <xf numFmtId="0" fontId="50" fillId="0" borderId="87" xfId="4" applyFont="1" applyBorder="1" applyAlignment="1">
      <alignment horizontal="center"/>
    </xf>
    <xf numFmtId="0" fontId="50" fillId="0" borderId="0" xfId="4" applyFont="1" applyBorder="1" applyAlignment="1">
      <alignment horizontal="center"/>
    </xf>
    <xf numFmtId="1" fontId="2" fillId="0" borderId="10" xfId="4" applyNumberFormat="1" applyFill="1" applyBorder="1" applyAlignment="1">
      <alignment horizontal="center" vertical="center" wrapText="1"/>
    </xf>
    <xf numFmtId="1" fontId="2" fillId="0" borderId="10" xfId="4" applyNumberFormat="1" applyFill="1" applyBorder="1" applyAlignment="1">
      <alignment horizontal="right" vertical="center"/>
    </xf>
    <xf numFmtId="0" fontId="2" fillId="0" borderId="10" xfId="4" applyFill="1" applyBorder="1" applyAlignment="1">
      <alignment horizontal="right" vertical="center"/>
    </xf>
    <xf numFmtId="0" fontId="3" fillId="0" borderId="88" xfId="4" applyFont="1" applyFill="1" applyBorder="1" applyAlignment="1">
      <alignment vertical="center" wrapText="1"/>
    </xf>
    <xf numFmtId="0" fontId="2" fillId="0" borderId="71" xfId="4" applyFill="1" applyBorder="1" applyAlignment="1">
      <alignment horizontal="center"/>
    </xf>
    <xf numFmtId="0" fontId="2" fillId="0" borderId="89" xfId="4" applyFill="1" applyBorder="1" applyAlignment="1">
      <alignment horizontal="center"/>
    </xf>
    <xf numFmtId="0" fontId="2" fillId="0" borderId="67" xfId="4" applyFill="1" applyBorder="1" applyAlignment="1">
      <alignment horizontal="center"/>
    </xf>
    <xf numFmtId="0" fontId="16" fillId="3" borderId="90" xfId="4" applyFont="1" applyFill="1" applyBorder="1" applyAlignment="1">
      <alignment vertical="center"/>
    </xf>
    <xf numFmtId="0" fontId="20" fillId="3" borderId="37" xfId="4" applyFont="1" applyFill="1" applyBorder="1"/>
    <xf numFmtId="0" fontId="16" fillId="3" borderId="68" xfId="4" applyFont="1" applyFill="1" applyBorder="1" applyAlignment="1">
      <alignment vertical="center"/>
    </xf>
    <xf numFmtId="0" fontId="16" fillId="3" borderId="91" xfId="4" applyFont="1" applyFill="1" applyBorder="1" applyAlignment="1">
      <alignment vertical="center"/>
    </xf>
    <xf numFmtId="0" fontId="51" fillId="0" borderId="20" xfId="4" applyFont="1" applyFill="1" applyBorder="1"/>
    <xf numFmtId="0" fontId="52" fillId="0" borderId="0" xfId="0" applyFont="1"/>
    <xf numFmtId="0" fontId="54" fillId="0" borderId="0" xfId="0" applyFont="1"/>
    <xf numFmtId="0" fontId="0" fillId="0" borderId="0" xfId="0" applyAlignment="1">
      <alignment horizontal="left"/>
    </xf>
    <xf numFmtId="0" fontId="2" fillId="0" borderId="78" xfId="4" applyFont="1" applyFill="1" applyBorder="1" applyAlignment="1">
      <alignment vertical="center" wrapText="1"/>
    </xf>
    <xf numFmtId="0" fontId="2" fillId="0" borderId="78" xfId="4" applyFont="1" applyBorder="1" applyAlignment="1">
      <alignment vertical="center" wrapText="1"/>
    </xf>
    <xf numFmtId="0" fontId="7" fillId="0" borderId="0" xfId="4" applyFont="1" applyFill="1" applyBorder="1" applyAlignment="1">
      <alignment wrapText="1"/>
    </xf>
    <xf numFmtId="0" fontId="56" fillId="0" borderId="0" xfId="0" applyFont="1"/>
    <xf numFmtId="0" fontId="0" fillId="7" borderId="0" xfId="0" applyFill="1"/>
    <xf numFmtId="0" fontId="22" fillId="0" borderId="0" xfId="4" applyFont="1" applyAlignment="1">
      <alignment vertical="center" wrapText="1"/>
    </xf>
    <xf numFmtId="0" fontId="22" fillId="0" borderId="0" xfId="4" applyFont="1" applyAlignment="1">
      <alignment vertical="center"/>
    </xf>
    <xf numFmtId="0" fontId="35" fillId="0" borderId="0" xfId="0" applyFont="1"/>
    <xf numFmtId="0" fontId="58" fillId="0" borderId="0" xfId="0" applyFont="1"/>
    <xf numFmtId="0" fontId="60" fillId="0" borderId="0" xfId="0" applyFont="1"/>
    <xf numFmtId="0" fontId="61" fillId="0" borderId="0" xfId="4" applyFont="1"/>
    <xf numFmtId="0" fontId="55" fillId="0" borderId="0" xfId="0" applyNumberFormat="1" applyFont="1" applyAlignment="1">
      <alignment wrapText="1"/>
    </xf>
    <xf numFmtId="0" fontId="55" fillId="0" borderId="0" xfId="0" applyFont="1" applyAlignment="1">
      <alignment wrapText="1"/>
    </xf>
    <xf numFmtId="0" fontId="0" fillId="0" borderId="0" xfId="0" applyAlignment="1">
      <alignment wrapText="1"/>
    </xf>
    <xf numFmtId="0" fontId="2" fillId="0" borderId="0" xfId="4" applyAlignment="1">
      <alignment horizontal="center" vertical="center"/>
    </xf>
    <xf numFmtId="0" fontId="22" fillId="0" borderId="0" xfId="4" applyFont="1" applyAlignment="1"/>
    <xf numFmtId="0" fontId="43" fillId="2" borderId="1" xfId="7" applyFont="1" applyFill="1" applyBorder="1" applyAlignment="1">
      <alignment vertical="center"/>
    </xf>
    <xf numFmtId="0" fontId="43" fillId="2" borderId="2" xfId="7" applyFont="1" applyFill="1" applyBorder="1" applyAlignment="1">
      <alignment vertical="center"/>
    </xf>
    <xf numFmtId="0" fontId="5" fillId="3" borderId="3" xfId="7" applyFont="1" applyFill="1" applyBorder="1" applyAlignment="1">
      <alignment horizontal="center" vertical="center"/>
    </xf>
    <xf numFmtId="0" fontId="5" fillId="3" borderId="3" xfId="7" applyFont="1" applyFill="1" applyBorder="1" applyAlignment="1">
      <alignment horizontal="center" vertical="center" wrapText="1"/>
    </xf>
    <xf numFmtId="0" fontId="43" fillId="2" borderId="4" xfId="7" applyFont="1" applyFill="1" applyBorder="1" applyAlignment="1">
      <alignment horizontal="center" vertical="center" wrapText="1"/>
    </xf>
    <xf numFmtId="0" fontId="43" fillId="2" borderId="5" xfId="7" applyFont="1" applyFill="1" applyBorder="1" applyAlignment="1">
      <alignment horizontal="center" vertical="center" wrapText="1"/>
    </xf>
    <xf numFmtId="0" fontId="44" fillId="2" borderId="5" xfId="7" applyFont="1" applyFill="1" applyBorder="1" applyAlignment="1">
      <alignment horizontal="center" vertical="center" wrapText="1"/>
    </xf>
    <xf numFmtId="0" fontId="44" fillId="2" borderId="17" xfId="7" applyFont="1" applyFill="1" applyBorder="1" applyAlignment="1">
      <alignment horizontal="center" vertical="center" wrapText="1"/>
    </xf>
    <xf numFmtId="0" fontId="43" fillId="2" borderId="6" xfId="7" applyFont="1" applyFill="1" applyBorder="1" applyAlignment="1">
      <alignment horizontal="center" vertical="center" wrapText="1"/>
    </xf>
    <xf numFmtId="0" fontId="5" fillId="3" borderId="7" xfId="7" applyFont="1" applyFill="1" applyBorder="1" applyAlignment="1">
      <alignment horizontal="center" vertical="center"/>
    </xf>
    <xf numFmtId="0" fontId="5" fillId="3" borderId="8" xfId="7" applyFont="1" applyFill="1" applyBorder="1" applyAlignment="1">
      <alignment horizontal="center" vertical="center"/>
    </xf>
    <xf numFmtId="0" fontId="6" fillId="0" borderId="9" xfId="7" applyFont="1" applyFill="1" applyBorder="1" applyAlignment="1">
      <alignment horizontal="center" vertical="center"/>
    </xf>
    <xf numFmtId="1" fontId="6" fillId="0" borderId="9" xfId="7" applyNumberFormat="1" applyFont="1" applyBorder="1" applyAlignment="1">
      <alignment horizontal="center" vertical="center"/>
    </xf>
    <xf numFmtId="0" fontId="6" fillId="0" borderId="9" xfId="7" applyFont="1" applyBorder="1" applyAlignment="1">
      <alignment horizontal="center" vertical="center"/>
    </xf>
    <xf numFmtId="1" fontId="45" fillId="2" borderId="11" xfId="7" applyNumberFormat="1" applyFont="1" applyFill="1" applyBorder="1" applyAlignment="1">
      <alignment horizontal="center" vertical="center"/>
    </xf>
    <xf numFmtId="0" fontId="45" fillId="2" borderId="5" xfId="7" applyFont="1" applyFill="1" applyBorder="1" applyAlignment="1">
      <alignment horizontal="center" vertical="center"/>
    </xf>
    <xf numFmtId="166" fontId="45" fillId="2" borderId="5" xfId="7" applyNumberFormat="1" applyFont="1" applyFill="1" applyBorder="1" applyAlignment="1">
      <alignment horizontal="center" vertical="center"/>
    </xf>
    <xf numFmtId="168" fontId="45" fillId="2" borderId="17" xfId="7" applyNumberFormat="1" applyFont="1" applyFill="1" applyBorder="1" applyAlignment="1">
      <alignment horizontal="center" vertical="center"/>
    </xf>
    <xf numFmtId="0" fontId="45" fillId="2" borderId="12" xfId="7" applyFont="1" applyFill="1" applyBorder="1" applyAlignment="1">
      <alignment horizontal="center" vertical="center"/>
    </xf>
    <xf numFmtId="0" fontId="45" fillId="2" borderId="13" xfId="7" applyFont="1" applyFill="1" applyBorder="1" applyAlignment="1">
      <alignment horizontal="center" vertical="center"/>
    </xf>
    <xf numFmtId="0" fontId="6" fillId="0" borderId="0" xfId="7" applyFont="1" applyAlignment="1">
      <alignment horizontal="center"/>
    </xf>
    <xf numFmtId="0" fontId="62" fillId="0" borderId="0" xfId="0" applyFont="1" applyAlignment="1">
      <alignment horizontal="left" readingOrder="1"/>
    </xf>
    <xf numFmtId="0" fontId="63" fillId="0" borderId="0" xfId="0" applyFont="1" applyAlignment="1">
      <alignment horizontal="left" vertical="top" wrapText="1" readingOrder="1"/>
    </xf>
    <xf numFmtId="0" fontId="63" fillId="0" borderId="0" xfId="0" applyFont="1" applyAlignment="1">
      <alignment horizontal="left" wrapText="1" readingOrder="1"/>
    </xf>
    <xf numFmtId="0" fontId="63" fillId="0" borderId="0" xfId="0" applyFont="1" applyAlignment="1">
      <alignment horizontal="left" readingOrder="1"/>
    </xf>
    <xf numFmtId="168" fontId="49" fillId="0" borderId="5" xfId="7" applyNumberFormat="1" applyFont="1" applyFill="1" applyBorder="1" applyAlignment="1">
      <alignment horizontal="center" vertical="center"/>
    </xf>
    <xf numFmtId="0" fontId="7" fillId="0" borderId="9" xfId="7" applyFont="1" applyFill="1" applyBorder="1" applyAlignment="1">
      <alignment horizontal="center" vertical="center"/>
    </xf>
    <xf numFmtId="0" fontId="43" fillId="2" borderId="18" xfId="7" applyFont="1" applyFill="1" applyBorder="1" applyAlignment="1">
      <alignment vertical="center"/>
    </xf>
    <xf numFmtId="0" fontId="47" fillId="2" borderId="5" xfId="7" applyFont="1" applyFill="1" applyBorder="1" applyAlignment="1">
      <alignment horizontal="center" vertical="center" wrapText="1"/>
    </xf>
    <xf numFmtId="168" fontId="48" fillId="0" borderId="5" xfId="7" applyNumberFormat="1" applyFont="1" applyFill="1" applyBorder="1" applyAlignment="1">
      <alignment horizontal="center" vertical="center"/>
    </xf>
    <xf numFmtId="0" fontId="64" fillId="0" borderId="87" xfId="4" applyFont="1" applyBorder="1" applyAlignment="1">
      <alignment horizontal="center" vertical="center" wrapText="1"/>
    </xf>
    <xf numFmtId="0" fontId="64" fillId="0" borderId="0" xfId="4" applyFont="1" applyBorder="1" applyAlignment="1">
      <alignment horizontal="center" vertical="center" wrapText="1"/>
    </xf>
    <xf numFmtId="0" fontId="64" fillId="0" borderId="87" xfId="4" applyFont="1" applyBorder="1" applyAlignment="1">
      <alignment horizontal="center"/>
    </xf>
    <xf numFmtId="0" fontId="64" fillId="0" borderId="0" xfId="4" applyFont="1" applyBorder="1" applyAlignment="1">
      <alignment horizontal="center"/>
    </xf>
    <xf numFmtId="0" fontId="2" fillId="0" borderId="0" xfId="4"/>
    <xf numFmtId="0" fontId="2" fillId="0" borderId="0" xfId="4" applyAlignment="1">
      <alignment wrapText="1"/>
    </xf>
    <xf numFmtId="166" fontId="13" fillId="0" borderId="40" xfId="4" applyNumberFormat="1" applyFont="1" applyBorder="1" applyAlignment="1">
      <alignment horizontal="center" vertical="center"/>
    </xf>
    <xf numFmtId="0" fontId="7" fillId="0" borderId="0" xfId="4" applyFont="1" applyFill="1" applyAlignment="1">
      <alignment wrapText="1"/>
    </xf>
    <xf numFmtId="0" fontId="3" fillId="0" borderId="0" xfId="4" applyFont="1" applyAlignment="1">
      <alignment horizontal="left"/>
    </xf>
    <xf numFmtId="0" fontId="2" fillId="0" borderId="0" xfId="4" applyFill="1"/>
    <xf numFmtId="0" fontId="2" fillId="0" borderId="0" xfId="4"/>
    <xf numFmtId="0" fontId="67" fillId="0" borderId="0" xfId="0" applyFont="1"/>
    <xf numFmtId="0" fontId="67" fillId="0" borderId="115" xfId="0" applyFont="1" applyBorder="1"/>
    <xf numFmtId="0" fontId="68" fillId="8" borderId="118" xfId="0" applyFont="1" applyFill="1" applyBorder="1" applyAlignment="1">
      <alignment horizontal="center" vertical="center"/>
    </xf>
    <xf numFmtId="0" fontId="68" fillId="8" borderId="119" xfId="0" applyFont="1" applyFill="1" applyBorder="1" applyAlignment="1">
      <alignment horizontal="center" vertical="center"/>
    </xf>
    <xf numFmtId="1" fontId="67" fillId="0" borderId="115" xfId="0" applyNumberFormat="1" applyFont="1" applyBorder="1"/>
    <xf numFmtId="166" fontId="67" fillId="0" borderId="115" xfId="0" applyNumberFormat="1" applyFont="1" applyBorder="1"/>
    <xf numFmtId="0" fontId="2" fillId="0" borderId="0" xfId="4"/>
    <xf numFmtId="0" fontId="50" fillId="0" borderId="0" xfId="4" applyFont="1" applyBorder="1" applyAlignment="1">
      <alignment horizontal="center" vertical="center" wrapText="1"/>
    </xf>
    <xf numFmtId="0" fontId="66" fillId="0" borderId="0" xfId="0" applyFont="1" applyAlignment="1">
      <alignment horizontal="left" wrapText="1"/>
    </xf>
    <xf numFmtId="0" fontId="24" fillId="0" borderId="0" xfId="4" applyFont="1"/>
    <xf numFmtId="0" fontId="45" fillId="2" borderId="14" xfId="7" applyFont="1" applyFill="1" applyBorder="1" applyAlignment="1">
      <alignment horizontal="center" vertical="center"/>
    </xf>
    <xf numFmtId="0" fontId="45" fillId="2" borderId="15" xfId="7" applyFont="1" applyFill="1" applyBorder="1" applyAlignment="1">
      <alignment horizontal="center" vertical="center"/>
    </xf>
    <xf numFmtId="166" fontId="45" fillId="2" borderId="15" xfId="7" applyNumberFormat="1" applyFont="1" applyFill="1" applyBorder="1" applyAlignment="1">
      <alignment horizontal="center" vertical="center"/>
    </xf>
    <xf numFmtId="168" fontId="49" fillId="0" borderId="15" xfId="7" applyNumberFormat="1" applyFont="1" applyFill="1" applyBorder="1" applyAlignment="1">
      <alignment horizontal="center" vertical="center"/>
    </xf>
    <xf numFmtId="0" fontId="45" fillId="2" borderId="16" xfId="7" applyFont="1" applyFill="1" applyBorder="1" applyAlignment="1">
      <alignment horizontal="center" vertical="center"/>
    </xf>
    <xf numFmtId="0" fontId="2" fillId="0" borderId="10" xfId="4" applyFont="1" applyFill="1" applyBorder="1"/>
    <xf numFmtId="1" fontId="70" fillId="0" borderId="50" xfId="4" applyNumberFormat="1" applyFont="1" applyFill="1" applyBorder="1" applyAlignment="1">
      <alignment horizontal="center" wrapText="1"/>
    </xf>
    <xf numFmtId="1" fontId="70" fillId="0" borderId="51" xfId="4" applyNumberFormat="1" applyFont="1" applyFill="1" applyBorder="1" applyAlignment="1">
      <alignment horizontal="center" wrapText="1"/>
    </xf>
    <xf numFmtId="0" fontId="70" fillId="0" borderId="0" xfId="4" applyFont="1" applyAlignment="1">
      <alignment wrapText="1"/>
    </xf>
    <xf numFmtId="0" fontId="0" fillId="0" borderId="0" xfId="0" applyBorder="1"/>
    <xf numFmtId="0" fontId="0" fillId="0" borderId="0" xfId="0" applyBorder="1" applyAlignment="1">
      <alignment wrapText="1"/>
    </xf>
    <xf numFmtId="1" fontId="0" fillId="0" borderId="0" xfId="0" applyNumberFormat="1" applyBorder="1"/>
    <xf numFmtId="166" fontId="0" fillId="0" borderId="0" xfId="0" applyNumberFormat="1" applyBorder="1"/>
    <xf numFmtId="0" fontId="2" fillId="0" borderId="0" xfId="4"/>
    <xf numFmtId="0" fontId="2" fillId="0" borderId="9" xfId="4" applyBorder="1" applyAlignment="1">
      <alignment horizontal="center" vertical="center" wrapText="1"/>
    </xf>
    <xf numFmtId="0" fontId="68" fillId="8" borderId="125" xfId="0" applyFont="1" applyFill="1" applyBorder="1" applyAlignment="1">
      <alignment vertical="center" wrapText="1"/>
    </xf>
    <xf numFmtId="0" fontId="70" fillId="8" borderId="126" xfId="0" applyFont="1" applyFill="1" applyBorder="1" applyAlignment="1">
      <alignment vertical="center"/>
    </xf>
    <xf numFmtId="0" fontId="70" fillId="8" borderId="120" xfId="0" applyFont="1" applyFill="1" applyBorder="1" applyAlignment="1">
      <alignment horizontal="center" vertical="top" wrapText="1"/>
    </xf>
    <xf numFmtId="0" fontId="70" fillId="8" borderId="121" xfId="0" applyFont="1" applyFill="1" applyBorder="1" applyAlignment="1">
      <alignment horizontal="center" vertical="top" wrapText="1"/>
    </xf>
    <xf numFmtId="0" fontId="65" fillId="0" borderId="0" xfId="4" applyFont="1" applyAlignment="1">
      <alignment wrapText="1"/>
    </xf>
    <xf numFmtId="0" fontId="7" fillId="0" borderId="0" xfId="4" applyFont="1" applyAlignment="1">
      <alignment wrapText="1"/>
    </xf>
    <xf numFmtId="0" fontId="2" fillId="0" borderId="0" xfId="4"/>
    <xf numFmtId="0" fontId="70" fillId="0" borderId="0" xfId="4" applyFont="1"/>
    <xf numFmtId="0" fontId="16" fillId="3" borderId="127" xfId="4" applyFont="1" applyFill="1" applyBorder="1" applyAlignment="1">
      <alignment horizontal="center" vertical="center" wrapText="1"/>
    </xf>
    <xf numFmtId="0" fontId="16" fillId="3" borderId="128" xfId="4" applyFont="1" applyFill="1" applyBorder="1" applyAlignment="1">
      <alignment horizontal="center" vertical="center" wrapText="1"/>
    </xf>
    <xf numFmtId="0" fontId="36" fillId="0" borderId="0" xfId="5" applyAlignment="1">
      <alignment wrapText="1"/>
    </xf>
    <xf numFmtId="0" fontId="31" fillId="0" borderId="0" xfId="4" applyFont="1" applyBorder="1" applyAlignment="1">
      <alignment horizontal="center"/>
    </xf>
    <xf numFmtId="0" fontId="31" fillId="0" borderId="87" xfId="4" applyFont="1" applyBorder="1" applyAlignment="1">
      <alignment horizontal="center" wrapText="1"/>
    </xf>
    <xf numFmtId="0" fontId="31" fillId="0" borderId="0" xfId="4" applyFont="1" applyBorder="1"/>
    <xf numFmtId="0" fontId="31" fillId="0" borderId="87" xfId="4" applyFont="1" applyBorder="1" applyAlignment="1">
      <alignment wrapText="1"/>
    </xf>
    <xf numFmtId="0" fontId="2" fillId="0" borderId="0" xfId="4" applyFont="1" applyFill="1" applyBorder="1" applyAlignment="1">
      <alignment horizontal="center"/>
    </xf>
    <xf numFmtId="0" fontId="31" fillId="0" borderId="0" xfId="4" applyFont="1" applyBorder="1" applyAlignment="1">
      <alignment horizontal="center" vertical="center" wrapText="1"/>
    </xf>
    <xf numFmtId="0" fontId="31" fillId="0" borderId="87" xfId="4" applyFont="1" applyBorder="1" applyAlignment="1">
      <alignment horizontal="center" vertical="center" wrapText="1"/>
    </xf>
    <xf numFmtId="0" fontId="16" fillId="3" borderId="129" xfId="4" applyFont="1" applyFill="1" applyBorder="1" applyAlignment="1">
      <alignment horizontal="left" vertical="center" wrapText="1"/>
    </xf>
    <xf numFmtId="0" fontId="7" fillId="0" borderId="0" xfId="4" applyFont="1" applyBorder="1" applyAlignment="1">
      <alignment wrapText="1"/>
    </xf>
    <xf numFmtId="0" fontId="14" fillId="9" borderId="0" xfId="4" applyFont="1" applyFill="1" applyBorder="1" applyAlignment="1">
      <alignment vertical="center" wrapText="1"/>
    </xf>
    <xf numFmtId="1" fontId="2" fillId="0" borderId="10" xfId="4" applyNumberFormat="1" applyFont="1" applyFill="1" applyBorder="1" applyAlignment="1">
      <alignment horizontal="center" wrapText="1"/>
    </xf>
    <xf numFmtId="166" fontId="2" fillId="0" borderId="10" xfId="4" applyNumberFormat="1" applyFont="1" applyFill="1" applyBorder="1" applyAlignment="1">
      <alignment horizontal="center" wrapText="1"/>
    </xf>
    <xf numFmtId="0" fontId="25" fillId="2" borderId="0" xfId="4" applyFont="1" applyFill="1" applyAlignment="1">
      <alignment wrapText="1"/>
    </xf>
    <xf numFmtId="0" fontId="14" fillId="0" borderId="0" xfId="4" applyFont="1" applyBorder="1" applyAlignment="1">
      <alignment vertical="center"/>
    </xf>
    <xf numFmtId="0" fontId="3" fillId="0" borderId="0" xfId="9" applyFont="1" applyAlignment="1">
      <alignment horizontal="left"/>
    </xf>
    <xf numFmtId="0" fontId="2" fillId="0" borderId="0" xfId="4" applyFill="1"/>
    <xf numFmtId="0" fontId="2" fillId="0" borderId="0" xfId="4"/>
    <xf numFmtId="0" fontId="16" fillId="0" borderId="20" xfId="4" applyFont="1" applyFill="1" applyBorder="1" applyAlignment="1">
      <alignment horizontal="center" vertical="center" wrapText="1"/>
    </xf>
    <xf numFmtId="0" fontId="74" fillId="0" borderId="0" xfId="0" applyFont="1"/>
    <xf numFmtId="0" fontId="2" fillId="0" borderId="0" xfId="4" applyAlignment="1">
      <alignment wrapText="1"/>
    </xf>
    <xf numFmtId="0" fontId="12" fillId="0" borderId="0" xfId="1" applyFont="1" applyAlignment="1" applyProtection="1">
      <alignment horizontal="right" vertical="center" wrapText="1"/>
    </xf>
    <xf numFmtId="0" fontId="2" fillId="0" borderId="0" xfId="4"/>
    <xf numFmtId="0" fontId="7" fillId="0" borderId="0" xfId="9" applyFont="1" applyAlignment="1">
      <alignment horizontal="left"/>
    </xf>
    <xf numFmtId="0" fontId="75" fillId="0" borderId="0" xfId="0" applyFont="1"/>
    <xf numFmtId="0" fontId="76" fillId="0" borderId="0" xfId="0" applyFont="1"/>
    <xf numFmtId="0" fontId="2" fillId="0" borderId="0" xfId="4" applyFont="1" applyAlignment="1">
      <alignment vertical="center"/>
    </xf>
    <xf numFmtId="0" fontId="22" fillId="0" borderId="0" xfId="4" applyFont="1" applyAlignment="1">
      <alignment vertical="top" wrapText="1"/>
    </xf>
    <xf numFmtId="0" fontId="12" fillId="0" borderId="0" xfId="1" applyFont="1" applyAlignment="1" applyProtection="1">
      <alignment horizontal="right" vertical="center" wrapText="1"/>
    </xf>
    <xf numFmtId="0" fontId="2" fillId="0" borderId="0" xfId="4"/>
    <xf numFmtId="0" fontId="76" fillId="0" borderId="0" xfId="0" applyFont="1" applyAlignment="1">
      <alignment vertical="center"/>
    </xf>
    <xf numFmtId="0" fontId="76" fillId="0" borderId="115" xfId="0" applyFont="1" applyBorder="1" applyAlignment="1">
      <alignment vertical="center"/>
    </xf>
    <xf numFmtId="1" fontId="76" fillId="0" borderId="115" xfId="0" applyNumberFormat="1" applyFont="1" applyBorder="1" applyAlignment="1">
      <alignment horizontal="center" vertical="center"/>
    </xf>
    <xf numFmtId="0" fontId="78" fillId="8" borderId="118" xfId="0" applyFont="1" applyFill="1" applyBorder="1" applyAlignment="1">
      <alignment horizontal="center" vertical="center"/>
    </xf>
    <xf numFmtId="0" fontId="78" fillId="8" borderId="119" xfId="0" applyFont="1" applyFill="1" applyBorder="1" applyAlignment="1">
      <alignment horizontal="center" vertical="center"/>
    </xf>
    <xf numFmtId="0" fontId="22" fillId="0" borderId="0" xfId="4" quotePrefix="1" applyFont="1" applyAlignment="1">
      <alignment vertical="center"/>
    </xf>
    <xf numFmtId="0" fontId="2" fillId="0" borderId="0" xfId="4" applyBorder="1" applyAlignment="1">
      <alignment vertical="center"/>
    </xf>
    <xf numFmtId="0" fontId="2" fillId="0" borderId="10" xfId="4" applyFont="1" applyFill="1" applyBorder="1" applyAlignment="1">
      <alignment horizontal="left" vertical="center" wrapText="1" indent="1"/>
    </xf>
    <xf numFmtId="0" fontId="2" fillId="0" borderId="0" xfId="9" applyFont="1" applyFill="1" applyAlignment="1">
      <alignment horizontal="left"/>
    </xf>
    <xf numFmtId="167" fontId="3" fillId="0" borderId="10" xfId="4" applyNumberFormat="1" applyFont="1" applyBorder="1" applyAlignment="1">
      <alignment horizontal="center" vertical="center"/>
    </xf>
    <xf numFmtId="167" fontId="13" fillId="0" borderId="10" xfId="4" applyNumberFormat="1" applyFont="1" applyBorder="1" applyAlignment="1">
      <alignment horizontal="center" vertical="center"/>
    </xf>
    <xf numFmtId="167" fontId="33" fillId="0" borderId="10" xfId="4" applyNumberFormat="1" applyFont="1" applyBorder="1" applyAlignment="1">
      <alignment horizontal="center" vertical="center" wrapText="1"/>
    </xf>
    <xf numFmtId="0" fontId="12" fillId="0" borderId="0" xfId="1" applyFont="1" applyAlignment="1" applyProtection="1">
      <alignment horizontal="right" vertical="center" wrapText="1"/>
    </xf>
    <xf numFmtId="0" fontId="2" fillId="0" borderId="0" xfId="4"/>
    <xf numFmtId="0" fontId="6" fillId="0" borderId="136" xfId="7" applyFont="1" applyFill="1" applyBorder="1" applyAlignment="1">
      <alignment horizontal="center" vertical="center"/>
    </xf>
    <xf numFmtId="1" fontId="6" fillId="0" borderId="136" xfId="7" applyNumberFormat="1" applyFont="1" applyBorder="1" applyAlignment="1">
      <alignment horizontal="center" vertical="center"/>
    </xf>
    <xf numFmtId="0" fontId="5" fillId="3" borderId="137" xfId="7" applyFont="1" applyFill="1" applyBorder="1" applyAlignment="1">
      <alignment horizontal="center" vertical="center"/>
    </xf>
    <xf numFmtId="0" fontId="5" fillId="3" borderId="138" xfId="7" applyFont="1" applyFill="1" applyBorder="1" applyAlignment="1">
      <alignment horizontal="center" vertical="center"/>
    </xf>
    <xf numFmtId="0" fontId="5" fillId="3" borderId="138" xfId="7" applyFont="1" applyFill="1" applyBorder="1" applyAlignment="1">
      <alignment horizontal="center" vertical="center" wrapText="1"/>
    </xf>
    <xf numFmtId="0" fontId="12" fillId="0" borderId="0" xfId="1" applyFont="1" applyAlignment="1" applyProtection="1">
      <alignment horizontal="right" vertical="center" wrapText="1"/>
    </xf>
    <xf numFmtId="167" fontId="2" fillId="0" borderId="10" xfId="4" applyNumberFormat="1" applyFont="1" applyFill="1" applyBorder="1" applyAlignment="1">
      <alignment horizontal="center" vertical="center"/>
    </xf>
    <xf numFmtId="167" fontId="2" fillId="0" borderId="10" xfId="4" applyNumberFormat="1" applyFont="1" applyBorder="1" applyAlignment="1">
      <alignment horizontal="center" vertical="center"/>
    </xf>
    <xf numFmtId="167" fontId="3" fillId="0" borderId="77" xfId="4" applyNumberFormat="1" applyFont="1" applyBorder="1" applyAlignment="1">
      <alignment horizontal="center" vertical="center"/>
    </xf>
    <xf numFmtId="167" fontId="76" fillId="0" borderId="115" xfId="0" applyNumberFormat="1" applyFont="1" applyBorder="1" applyAlignment="1">
      <alignment horizontal="center" vertical="center"/>
    </xf>
    <xf numFmtId="167" fontId="6" fillId="0" borderId="9" xfId="7" applyNumberFormat="1" applyFont="1" applyBorder="1" applyAlignment="1">
      <alignment horizontal="center" vertical="center"/>
    </xf>
    <xf numFmtId="0" fontId="2" fillId="0" borderId="0" xfId="4"/>
    <xf numFmtId="167" fontId="2" fillId="0" borderId="10" xfId="4" applyNumberFormat="1" applyFill="1" applyBorder="1" applyAlignment="1">
      <alignment wrapText="1"/>
    </xf>
    <xf numFmtId="167" fontId="2" fillId="0" borderId="10" xfId="4" applyNumberFormat="1" applyFill="1" applyBorder="1" applyAlignment="1">
      <alignment horizontal="right"/>
    </xf>
    <xf numFmtId="167" fontId="2" fillId="0" borderId="10" xfId="4" applyNumberFormat="1" applyFill="1" applyBorder="1"/>
    <xf numFmtId="167" fontId="6" fillId="0" borderId="9" xfId="6" applyNumberFormat="1" applyFont="1" applyBorder="1" applyAlignment="1">
      <alignment horizontal="center" vertical="center"/>
    </xf>
    <xf numFmtId="167" fontId="2" fillId="0" borderId="55" xfId="4" applyNumberFormat="1" applyFill="1" applyBorder="1" applyAlignment="1">
      <alignment wrapText="1"/>
    </xf>
    <xf numFmtId="0" fontId="34" fillId="0" borderId="0" xfId="0" applyFont="1" applyAlignment="1">
      <alignment wrapText="1"/>
    </xf>
    <xf numFmtId="167" fontId="2" fillId="0" borderId="10" xfId="4" applyNumberFormat="1" applyFill="1" applyBorder="1" applyAlignment="1">
      <alignment horizontal="center" wrapText="1"/>
    </xf>
    <xf numFmtId="167" fontId="2" fillId="0" borderId="10" xfId="4" applyNumberFormat="1" applyFont="1" applyFill="1" applyBorder="1" applyAlignment="1">
      <alignment horizontal="center" wrapText="1"/>
    </xf>
    <xf numFmtId="0" fontId="7" fillId="0" borderId="0" xfId="4" applyFont="1" applyFill="1" applyBorder="1" applyAlignment="1">
      <alignment vertical="center" wrapText="1"/>
    </xf>
    <xf numFmtId="0" fontId="2" fillId="0" borderId="0" xfId="4"/>
    <xf numFmtId="0" fontId="55" fillId="0" borderId="0" xfId="0" applyNumberFormat="1" applyFont="1" applyAlignment="1">
      <alignment horizontal="left" vertical="center" wrapText="1"/>
    </xf>
    <xf numFmtId="167" fontId="36" fillId="0" borderId="10" xfId="5" applyNumberFormat="1" applyFill="1" applyBorder="1" applyAlignment="1">
      <alignment wrapText="1"/>
    </xf>
    <xf numFmtId="167" fontId="36" fillId="0" borderId="10" xfId="5" applyNumberFormat="1" applyFill="1" applyBorder="1" applyAlignment="1">
      <alignment horizontal="right"/>
    </xf>
    <xf numFmtId="167" fontId="2" fillId="0" borderId="10" xfId="5" applyNumberFormat="1" applyFont="1" applyFill="1" applyBorder="1" applyAlignment="1">
      <alignment horizontal="right"/>
    </xf>
    <xf numFmtId="167" fontId="36" fillId="0" borderId="10" xfId="5" applyNumberFormat="1" applyFill="1" applyBorder="1"/>
    <xf numFmtId="0" fontId="70" fillId="0" borderId="0" xfId="0" applyFont="1"/>
    <xf numFmtId="1" fontId="70" fillId="0" borderId="0" xfId="0" applyNumberFormat="1" applyFont="1"/>
    <xf numFmtId="0" fontId="76" fillId="0" borderId="0" xfId="0" applyFont="1" applyAlignment="1">
      <alignment horizontal="left" indent="1"/>
    </xf>
    <xf numFmtId="0" fontId="79" fillId="0" borderId="0" xfId="1" applyFont="1" applyAlignment="1" applyProtection="1">
      <alignment horizontal="center"/>
    </xf>
    <xf numFmtId="0" fontId="79" fillId="0" borderId="0" xfId="1" applyFont="1" applyAlignment="1" applyProtection="1">
      <alignment horizontal="center" vertical="center"/>
    </xf>
    <xf numFmtId="9" fontId="82" fillId="0" borderId="10" xfId="4" applyNumberFormat="1" applyFont="1" applyBorder="1" applyAlignment="1">
      <alignment horizontal="center" vertical="center" wrapText="1"/>
    </xf>
    <xf numFmtId="0" fontId="55" fillId="0" borderId="0" xfId="0" applyNumberFormat="1" applyFont="1" applyAlignment="1">
      <alignment vertical="center" wrapText="1"/>
    </xf>
    <xf numFmtId="0" fontId="55" fillId="0" borderId="0" xfId="0" applyFont="1" applyAlignment="1">
      <alignment vertical="center" wrapText="1"/>
    </xf>
    <xf numFmtId="0" fontId="34" fillId="0" borderId="10" xfId="4" applyFont="1" applyBorder="1" applyAlignment="1">
      <alignment horizontal="center" vertical="center" wrapText="1"/>
    </xf>
    <xf numFmtId="0" fontId="15" fillId="0" borderId="0" xfId="5" applyFont="1" applyAlignment="1"/>
    <xf numFmtId="0" fontId="36" fillId="0" borderId="0" xfId="5" applyFill="1" applyBorder="1" applyAlignment="1"/>
    <xf numFmtId="0" fontId="36" fillId="0" borderId="0" xfId="5" applyAlignment="1"/>
    <xf numFmtId="0" fontId="7" fillId="0" borderId="0" xfId="5" applyNumberFormat="1" applyFont="1" applyAlignment="1"/>
    <xf numFmtId="0" fontId="7" fillId="0" borderId="0" xfId="5" applyFont="1" applyAlignment="1">
      <alignment horizontal="left" vertical="center"/>
    </xf>
    <xf numFmtId="0" fontId="7" fillId="0" borderId="0" xfId="5" applyFont="1" applyAlignment="1"/>
    <xf numFmtId="0" fontId="7" fillId="0" borderId="0" xfId="5" applyFont="1"/>
    <xf numFmtId="0" fontId="12" fillId="0" borderId="0" xfId="1" applyFont="1" applyAlignment="1" applyProtection="1">
      <alignment vertical="center"/>
    </xf>
    <xf numFmtId="0" fontId="7" fillId="0" borderId="0" xfId="4" applyFont="1" applyBorder="1" applyAlignment="1">
      <alignment horizontal="left" vertical="center" wrapText="1"/>
    </xf>
    <xf numFmtId="0" fontId="7" fillId="0" borderId="0" xfId="4" applyFont="1" applyAlignment="1">
      <alignment horizontal="left" vertical="center" wrapText="1"/>
    </xf>
    <xf numFmtId="0" fontId="3" fillId="0" borderId="0" xfId="4" applyFont="1" applyAlignment="1">
      <alignment horizontal="left" vertical="center" wrapText="1"/>
    </xf>
    <xf numFmtId="0" fontId="2" fillId="0" borderId="0" xfId="4" applyAlignment="1">
      <alignment wrapText="1"/>
    </xf>
    <xf numFmtId="0" fontId="2" fillId="0" borderId="0" xfId="4"/>
    <xf numFmtId="0" fontId="12" fillId="0" borderId="0" xfId="1" applyFont="1" applyAlignment="1" applyProtection="1">
      <alignment horizontal="right" wrapText="1"/>
    </xf>
    <xf numFmtId="0" fontId="6" fillId="0" borderId="141" xfId="7" applyFont="1" applyFill="1" applyBorder="1" applyAlignment="1">
      <alignment horizontal="center" vertical="center"/>
    </xf>
    <xf numFmtId="0" fontId="7" fillId="0" borderId="136" xfId="7" applyFont="1" applyFill="1" applyBorder="1" applyAlignment="1">
      <alignment horizontal="center" vertical="center"/>
    </xf>
    <xf numFmtId="0" fontId="6" fillId="0" borderId="136" xfId="7" applyFont="1" applyBorder="1" applyAlignment="1">
      <alignment horizontal="center"/>
    </xf>
    <xf numFmtId="0" fontId="6" fillId="0" borderId="142" xfId="7" applyFont="1" applyBorder="1" applyAlignment="1">
      <alignment horizontal="center"/>
    </xf>
    <xf numFmtId="167" fontId="0" fillId="0" borderId="0" xfId="0" applyNumberFormat="1"/>
    <xf numFmtId="9" fontId="0" fillId="0" borderId="0" xfId="0" applyNumberFormat="1"/>
    <xf numFmtId="0" fontId="3" fillId="0" borderId="0" xfId="4" applyFont="1" applyAlignment="1">
      <alignment horizontal="left" vertical="center" wrapText="1"/>
    </xf>
    <xf numFmtId="0" fontId="2" fillId="0" borderId="0" xfId="4"/>
    <xf numFmtId="0" fontId="16" fillId="3" borderId="143" xfId="4" applyFont="1" applyFill="1" applyBorder="1" applyAlignment="1">
      <alignment horizontal="left" vertical="center" wrapText="1"/>
    </xf>
    <xf numFmtId="0" fontId="33" fillId="0" borderId="10" xfId="4" applyFont="1" applyBorder="1" applyAlignment="1">
      <alignment horizontal="left" vertical="center" wrapText="1"/>
    </xf>
    <xf numFmtId="0" fontId="34" fillId="0" borderId="10" xfId="4" applyFont="1" applyBorder="1" applyAlignment="1">
      <alignment horizontal="left" vertical="center" wrapText="1"/>
    </xf>
    <xf numFmtId="0" fontId="16" fillId="3" borderId="144" xfId="4" applyFont="1" applyFill="1" applyBorder="1" applyAlignment="1">
      <alignment horizontal="center" vertical="center" wrapText="1"/>
    </xf>
    <xf numFmtId="0" fontId="16" fillId="3" borderId="145" xfId="4" applyFont="1" applyFill="1" applyBorder="1" applyAlignment="1">
      <alignment horizontal="center" vertical="center" wrapText="1"/>
    </xf>
    <xf numFmtId="0" fontId="2" fillId="0" borderId="0" xfId="4" applyAlignment="1">
      <alignment vertical="top"/>
    </xf>
    <xf numFmtId="0" fontId="2" fillId="0" borderId="0" xfId="4"/>
    <xf numFmtId="0" fontId="11" fillId="0" borderId="10" xfId="1" applyFill="1" applyBorder="1" applyAlignment="1" applyProtection="1">
      <alignment horizontal="center" vertical="center"/>
    </xf>
    <xf numFmtId="0" fontId="69" fillId="0" borderId="0" xfId="0" applyFont="1" applyAlignment="1">
      <alignment horizontal="left" vertical="center" wrapText="1"/>
    </xf>
    <xf numFmtId="0" fontId="22" fillId="0" borderId="0" xfId="4" applyFont="1" applyFill="1" applyAlignment="1">
      <alignment horizontal="left" vertical="center" wrapText="1" indent="4"/>
    </xf>
    <xf numFmtId="0" fontId="2" fillId="0" borderId="0" xfId="4"/>
    <xf numFmtId="0" fontId="15" fillId="0" borderId="10" xfId="4" applyFont="1" applyFill="1" applyBorder="1" applyAlignment="1">
      <alignment horizontal="left" vertical="center" wrapText="1" indent="1"/>
    </xf>
    <xf numFmtId="167" fontId="3" fillId="0" borderId="77" xfId="4" applyNumberFormat="1" applyFont="1" applyFill="1" applyBorder="1" applyAlignment="1">
      <alignment horizontal="center" vertical="center"/>
    </xf>
    <xf numFmtId="165" fontId="2" fillId="0" borderId="10" xfId="4" applyNumberFormat="1" applyFont="1" applyFill="1" applyBorder="1" applyAlignment="1">
      <alignment horizontal="center" vertical="center"/>
    </xf>
    <xf numFmtId="165" fontId="2" fillId="0" borderId="79" xfId="4" applyNumberFormat="1" applyFont="1" applyFill="1" applyBorder="1" applyAlignment="1">
      <alignment horizontal="left" vertical="center" wrapText="1"/>
    </xf>
    <xf numFmtId="165" fontId="2" fillId="0" borderId="79" xfId="4" applyNumberFormat="1" applyFont="1" applyFill="1" applyBorder="1" applyAlignment="1">
      <alignment vertical="center" wrapText="1"/>
    </xf>
    <xf numFmtId="0" fontId="2" fillId="0" borderId="0" xfId="4" applyFont="1" applyFill="1" applyAlignment="1">
      <alignment horizontal="center" vertical="center"/>
    </xf>
    <xf numFmtId="165" fontId="3" fillId="0" borderId="77" xfId="4" applyNumberFormat="1" applyFont="1" applyFill="1" applyBorder="1" applyAlignment="1">
      <alignment horizontal="center" vertical="center"/>
    </xf>
    <xf numFmtId="165" fontId="13" fillId="0" borderId="59" xfId="4" applyNumberFormat="1" applyFont="1" applyFill="1" applyBorder="1" applyAlignment="1">
      <alignment horizontal="left" vertical="center" wrapText="1"/>
    </xf>
    <xf numFmtId="0" fontId="7" fillId="0" borderId="0" xfId="4" applyFont="1" applyBorder="1" applyAlignment="1">
      <alignment horizontal="left" vertical="center" wrapText="1"/>
    </xf>
    <xf numFmtId="0" fontId="7" fillId="0" borderId="0" xfId="4" applyFont="1" applyAlignment="1">
      <alignment horizontal="left" vertical="center" wrapText="1"/>
    </xf>
    <xf numFmtId="0" fontId="2" fillId="0" borderId="0" xfId="4" applyAlignment="1">
      <alignment wrapText="1"/>
    </xf>
    <xf numFmtId="0" fontId="3" fillId="0" borderId="0" xfId="4" applyFont="1" applyAlignment="1">
      <alignment horizontal="left" vertical="center" wrapText="1"/>
    </xf>
    <xf numFmtId="0" fontId="2" fillId="0" borderId="0" xfId="4"/>
    <xf numFmtId="0" fontId="12" fillId="0" borderId="0" xfId="1" applyFont="1" applyAlignment="1" applyProtection="1">
      <alignment horizontal="right" wrapText="1"/>
    </xf>
    <xf numFmtId="0" fontId="12" fillId="0" borderId="0" xfId="1" applyFont="1" applyAlignment="1" applyProtection="1">
      <alignment horizontal="right" vertical="center" wrapText="1"/>
    </xf>
    <xf numFmtId="0" fontId="5" fillId="3" borderId="3" xfId="7" applyFont="1" applyFill="1" applyBorder="1" applyAlignment="1">
      <alignment horizontal="center" vertical="center" wrapText="1"/>
    </xf>
    <xf numFmtId="0" fontId="2" fillId="0" borderId="0" xfId="4"/>
    <xf numFmtId="0" fontId="83" fillId="0" borderId="0" xfId="4" applyFont="1"/>
    <xf numFmtId="0" fontId="12" fillId="0" borderId="0" xfId="1" applyFont="1" applyAlignment="1" applyProtection="1">
      <alignment horizontal="right" vertical="center" wrapText="1"/>
    </xf>
    <xf numFmtId="0" fontId="2" fillId="0" borderId="0" xfId="4"/>
    <xf numFmtId="0" fontId="7" fillId="0" borderId="0" xfId="7" applyFont="1"/>
    <xf numFmtId="0" fontId="7" fillId="0" borderId="0" xfId="7" applyFont="1" applyAlignment="1">
      <alignment horizontal="right"/>
    </xf>
    <xf numFmtId="0" fontId="7" fillId="0" borderId="0" xfId="7" applyFont="1" applyAlignment="1">
      <alignment horizontal="center"/>
    </xf>
    <xf numFmtId="0" fontId="7" fillId="0" borderId="0" xfId="7" applyFont="1" applyAlignment="1">
      <alignment horizontal="center" vertical="center"/>
    </xf>
    <xf numFmtId="0" fontId="12" fillId="0" borderId="0" xfId="1" applyFont="1" applyAlignment="1" applyProtection="1">
      <alignment horizontal="right" vertical="center" wrapText="1"/>
    </xf>
    <xf numFmtId="0" fontId="2" fillId="0" borderId="0" xfId="4" applyFill="1"/>
    <xf numFmtId="0" fontId="2" fillId="0" borderId="0" xfId="4"/>
    <xf numFmtId="0" fontId="76" fillId="0" borderId="115" xfId="0" applyFont="1" applyFill="1" applyBorder="1" applyAlignment="1">
      <alignment vertical="center"/>
    </xf>
    <xf numFmtId="0" fontId="13" fillId="0" borderId="10" xfId="4" applyFont="1" applyFill="1" applyBorder="1" applyAlignment="1">
      <alignment horizontal="left" vertical="center" indent="1"/>
    </xf>
    <xf numFmtId="0" fontId="77" fillId="0" borderId="0" xfId="0" applyFont="1"/>
    <xf numFmtId="0" fontId="0" fillId="0" borderId="0" xfId="0" applyAlignment="1">
      <alignment wrapText="1"/>
    </xf>
    <xf numFmtId="0" fontId="2" fillId="0" borderId="0" xfId="4"/>
    <xf numFmtId="0" fontId="2" fillId="0" borderId="79" xfId="4" applyFont="1" applyFill="1" applyBorder="1" applyAlignment="1">
      <alignment vertical="center" wrapText="1"/>
    </xf>
    <xf numFmtId="0" fontId="2" fillId="0" borderId="0" xfId="4" applyFill="1" applyAlignment="1">
      <alignment horizontal="center" vertical="center"/>
    </xf>
    <xf numFmtId="0" fontId="3" fillId="0" borderId="0" xfId="4" applyFont="1" applyAlignment="1">
      <alignment horizontal="left" vertical="center" wrapText="1"/>
    </xf>
    <xf numFmtId="0" fontId="7" fillId="0" borderId="0" xfId="4" applyNumberFormat="1" applyFont="1" applyAlignment="1">
      <alignment vertical="top" wrapText="1"/>
    </xf>
    <xf numFmtId="0" fontId="2" fillId="0" borderId="0" xfId="4"/>
    <xf numFmtId="166" fontId="33" fillId="0" borderId="10" xfId="4" applyNumberFormat="1" applyFont="1" applyBorder="1" applyAlignment="1">
      <alignment horizontal="center" vertical="center" wrapText="1"/>
    </xf>
    <xf numFmtId="166" fontId="34" fillId="0" borderId="10" xfId="4" applyNumberFormat="1" applyFont="1" applyBorder="1" applyAlignment="1">
      <alignment horizontal="center" vertical="center" wrapText="1"/>
    </xf>
    <xf numFmtId="0" fontId="67" fillId="0" borderId="0" xfId="0" applyFont="1" applyAlignment="1">
      <alignment vertical="center"/>
    </xf>
    <xf numFmtId="0" fontId="67" fillId="0" borderId="0" xfId="0" applyFont="1" applyAlignment="1">
      <alignment horizontal="center" vertical="center"/>
    </xf>
    <xf numFmtId="0" fontId="67" fillId="0" borderId="0" xfId="0" applyFont="1" applyBorder="1" applyAlignment="1">
      <alignment vertical="center"/>
    </xf>
    <xf numFmtId="0" fontId="67" fillId="8" borderId="134" xfId="0" applyFont="1" applyFill="1" applyBorder="1" applyAlignment="1">
      <alignment vertical="center"/>
    </xf>
    <xf numFmtId="0" fontId="67" fillId="8" borderId="146" xfId="0" applyFont="1" applyFill="1" applyBorder="1" applyAlignment="1">
      <alignment horizontal="center" vertical="center"/>
    </xf>
    <xf numFmtId="0" fontId="67" fillId="8" borderId="146" xfId="0" applyFont="1" applyFill="1" applyBorder="1" applyAlignment="1">
      <alignment vertical="center"/>
    </xf>
    <xf numFmtId="0" fontId="68" fillId="8" borderId="147" xfId="0" applyFont="1" applyFill="1" applyBorder="1" applyAlignment="1">
      <alignment vertical="center"/>
    </xf>
    <xf numFmtId="0" fontId="68" fillId="8" borderId="148" xfId="0" applyFont="1" applyFill="1" applyBorder="1" applyAlignment="1">
      <alignment horizontal="center" vertical="top" wrapText="1"/>
    </xf>
    <xf numFmtId="0" fontId="68" fillId="8" borderId="149" xfId="0" applyFont="1" applyFill="1" applyBorder="1" applyAlignment="1">
      <alignment horizontal="center" vertical="top" wrapText="1"/>
    </xf>
    <xf numFmtId="0" fontId="68" fillId="8" borderId="150" xfId="0" applyFont="1" applyFill="1" applyBorder="1" applyAlignment="1">
      <alignment horizontal="center" vertical="top" wrapText="1"/>
    </xf>
    <xf numFmtId="0" fontId="69" fillId="0" borderId="153" xfId="0" applyFont="1" applyBorder="1" applyAlignment="1">
      <alignment vertical="center"/>
    </xf>
    <xf numFmtId="167" fontId="69" fillId="0" borderId="153" xfId="0" applyNumberFormat="1" applyFont="1" applyBorder="1" applyAlignment="1">
      <alignment horizontal="center" vertical="center"/>
    </xf>
    <xf numFmtId="1" fontId="69" fillId="0" borderId="154" xfId="0" applyNumberFormat="1" applyFont="1" applyBorder="1" applyAlignment="1">
      <alignment horizontal="center" vertical="center"/>
    </xf>
    <xf numFmtId="1" fontId="85" fillId="0" borderId="154" xfId="0" applyNumberFormat="1" applyFont="1" applyBorder="1" applyAlignment="1">
      <alignment horizontal="center" vertical="center"/>
    </xf>
    <xf numFmtId="1" fontId="85" fillId="0" borderId="155" xfId="0" applyNumberFormat="1" applyFont="1" applyBorder="1" applyAlignment="1">
      <alignment horizontal="center" vertical="center"/>
    </xf>
    <xf numFmtId="1" fontId="85" fillId="0" borderId="156" xfId="0" applyNumberFormat="1" applyFont="1" applyBorder="1" applyAlignment="1">
      <alignment horizontal="center" vertical="center"/>
    </xf>
    <xf numFmtId="1" fontId="85" fillId="0" borderId="157" xfId="0" applyNumberFormat="1" applyFont="1" applyBorder="1" applyAlignment="1">
      <alignment horizontal="center" vertical="center"/>
    </xf>
    <xf numFmtId="1" fontId="85" fillId="0" borderId="0" xfId="0" applyNumberFormat="1" applyFont="1" applyBorder="1" applyAlignment="1">
      <alignment horizontal="center" vertical="center"/>
    </xf>
    <xf numFmtId="1" fontId="85" fillId="0" borderId="152" xfId="0" applyNumberFormat="1" applyFont="1" applyBorder="1" applyAlignment="1">
      <alignment horizontal="center" vertical="center"/>
    </xf>
    <xf numFmtId="0" fontId="69" fillId="0" borderId="154" xfId="0" applyFont="1" applyBorder="1" applyAlignment="1">
      <alignment vertical="center"/>
    </xf>
    <xf numFmtId="167" fontId="69" fillId="0" borderId="154" xfId="0" applyNumberFormat="1" applyFont="1" applyBorder="1" applyAlignment="1">
      <alignment horizontal="center" vertical="center"/>
    </xf>
    <xf numFmtId="0" fontId="67" fillId="10" borderId="154" xfId="0" applyFont="1" applyFill="1" applyBorder="1" applyAlignment="1">
      <alignment vertical="center"/>
    </xf>
    <xf numFmtId="167" fontId="67" fillId="10" borderId="154" xfId="0" applyNumberFormat="1" applyFont="1" applyFill="1" applyBorder="1" applyAlignment="1">
      <alignment horizontal="center" vertical="center"/>
    </xf>
    <xf numFmtId="1" fontId="67" fillId="10" borderId="154" xfId="0" applyNumberFormat="1" applyFont="1" applyFill="1" applyBorder="1" applyAlignment="1">
      <alignment horizontal="center" vertical="center"/>
    </xf>
    <xf numFmtId="1" fontId="71" fillId="10" borderId="154" xfId="0" applyNumberFormat="1" applyFont="1" applyFill="1" applyBorder="1" applyAlignment="1">
      <alignment horizontal="center" vertical="center"/>
    </xf>
    <xf numFmtId="1" fontId="71" fillId="10" borderId="157" xfId="0" applyNumberFormat="1" applyFont="1" applyFill="1" applyBorder="1" applyAlignment="1">
      <alignment horizontal="center" vertical="center"/>
    </xf>
    <xf numFmtId="1" fontId="71" fillId="10" borderId="0" xfId="0" applyNumberFormat="1" applyFont="1" applyFill="1" applyBorder="1" applyAlignment="1">
      <alignment horizontal="center" vertical="center"/>
    </xf>
    <xf numFmtId="1" fontId="71" fillId="10" borderId="152" xfId="0" applyNumberFormat="1" applyFont="1" applyFill="1" applyBorder="1" applyAlignment="1">
      <alignment horizontal="center" vertical="center"/>
    </xf>
    <xf numFmtId="0" fontId="67" fillId="0" borderId="154" xfId="0" applyFont="1" applyBorder="1" applyAlignment="1">
      <alignment vertical="center"/>
    </xf>
    <xf numFmtId="167" fontId="67" fillId="0" borderId="154" xfId="0" applyNumberFormat="1" applyFont="1" applyBorder="1" applyAlignment="1">
      <alignment horizontal="center" vertical="center"/>
    </xf>
    <xf numFmtId="1" fontId="67" fillId="0" borderId="154" xfId="0" applyNumberFormat="1" applyFont="1" applyBorder="1" applyAlignment="1">
      <alignment horizontal="center" vertical="center"/>
    </xf>
    <xf numFmtId="1" fontId="71" fillId="0" borderId="154" xfId="0" applyNumberFormat="1" applyFont="1" applyBorder="1" applyAlignment="1">
      <alignment horizontal="center" vertical="center"/>
    </xf>
    <xf numFmtId="1" fontId="71" fillId="0" borderId="157" xfId="0" applyNumberFormat="1" applyFont="1" applyBorder="1" applyAlignment="1">
      <alignment horizontal="center" vertical="center"/>
    </xf>
    <xf numFmtId="1" fontId="71" fillId="0" borderId="0" xfId="0" applyNumberFormat="1" applyFont="1" applyBorder="1" applyAlignment="1">
      <alignment horizontal="center" vertical="center"/>
    </xf>
    <xf numFmtId="1" fontId="71" fillId="0" borderId="152" xfId="0" applyNumberFormat="1" applyFont="1" applyBorder="1" applyAlignment="1">
      <alignment horizontal="center" vertical="center"/>
    </xf>
    <xf numFmtId="0" fontId="67" fillId="10" borderId="158" xfId="0" applyFont="1" applyFill="1" applyBorder="1" applyAlignment="1">
      <alignment vertical="center"/>
    </xf>
    <xf numFmtId="167" fontId="67" fillId="10" borderId="158" xfId="0" applyNumberFormat="1" applyFont="1" applyFill="1" applyBorder="1" applyAlignment="1">
      <alignment horizontal="center" vertical="center"/>
    </xf>
    <xf numFmtId="1" fontId="67" fillId="10" borderId="158" xfId="0" applyNumberFormat="1" applyFont="1" applyFill="1" applyBorder="1" applyAlignment="1">
      <alignment horizontal="center" vertical="center"/>
    </xf>
    <xf numFmtId="1" fontId="71" fillId="10" borderId="158" xfId="0" applyNumberFormat="1" applyFont="1" applyFill="1" applyBorder="1" applyAlignment="1">
      <alignment horizontal="center" vertical="center"/>
    </xf>
    <xf numFmtId="1" fontId="71" fillId="10" borderId="159" xfId="0" applyNumberFormat="1" applyFont="1" applyFill="1" applyBorder="1" applyAlignment="1">
      <alignment horizontal="center" vertical="center"/>
    </xf>
    <xf numFmtId="1" fontId="71" fillId="10" borderId="160" xfId="0" applyNumberFormat="1" applyFont="1" applyFill="1" applyBorder="1" applyAlignment="1">
      <alignment horizontal="center" vertical="center"/>
    </xf>
    <xf numFmtId="1" fontId="71" fillId="10" borderId="161" xfId="0" applyNumberFormat="1" applyFont="1" applyFill="1" applyBorder="1" applyAlignment="1">
      <alignment horizontal="center" vertical="center"/>
    </xf>
    <xf numFmtId="0" fontId="72" fillId="8" borderId="148" xfId="0" applyFont="1" applyFill="1" applyBorder="1" applyAlignment="1">
      <alignment horizontal="center" vertical="top" wrapText="1"/>
    </xf>
    <xf numFmtId="167" fontId="85" fillId="0" borderId="154" xfId="0" applyNumberFormat="1" applyFont="1" applyBorder="1" applyAlignment="1">
      <alignment horizontal="center" vertical="center"/>
    </xf>
    <xf numFmtId="167" fontId="71" fillId="10" borderId="154" xfId="0" applyNumberFormat="1" applyFont="1" applyFill="1" applyBorder="1" applyAlignment="1">
      <alignment horizontal="center" vertical="center"/>
    </xf>
    <xf numFmtId="167" fontId="71" fillId="0" borderId="154" xfId="0" applyNumberFormat="1" applyFont="1" applyBorder="1" applyAlignment="1">
      <alignment horizontal="center" vertical="center"/>
    </xf>
    <xf numFmtId="0" fontId="2" fillId="0" borderId="0" xfId="4" applyAlignment="1">
      <alignment wrapText="1"/>
    </xf>
    <xf numFmtId="0" fontId="12" fillId="0" borderId="0" xfId="1" applyFont="1" applyAlignment="1" applyProtection="1"/>
    <xf numFmtId="0" fontId="12" fillId="0" borderId="0" xfId="1" applyFont="1" applyAlignment="1" applyProtection="1">
      <alignment horizontal="right" vertical="center" wrapText="1"/>
    </xf>
    <xf numFmtId="0" fontId="12" fillId="0" borderId="0" xfId="1" applyFont="1" applyAlignment="1" applyProtection="1">
      <alignment horizontal="right"/>
    </xf>
    <xf numFmtId="0" fontId="10" fillId="0" borderId="0" xfId="4" applyFont="1" applyAlignment="1">
      <alignment horizontal="left" vertical="center" wrapText="1"/>
    </xf>
    <xf numFmtId="0" fontId="17" fillId="3" borderId="10" xfId="4" applyFont="1" applyFill="1" applyBorder="1" applyAlignment="1">
      <alignment horizontal="center" vertical="center" wrapText="1"/>
    </xf>
    <xf numFmtId="0" fontId="17" fillId="3" borderId="45" xfId="4" applyFont="1" applyFill="1" applyBorder="1" applyAlignment="1">
      <alignment horizontal="center" vertical="center" wrapText="1"/>
    </xf>
    <xf numFmtId="0" fontId="12" fillId="0" borderId="0" xfId="1" applyFont="1" applyAlignment="1" applyProtection="1">
      <alignment horizontal="center" vertical="center" wrapText="1"/>
    </xf>
    <xf numFmtId="0" fontId="7" fillId="0" borderId="0" xfId="4" applyNumberFormat="1" applyFont="1" applyAlignment="1">
      <alignment vertical="top" wrapText="1"/>
    </xf>
    <xf numFmtId="0" fontId="2" fillId="0" borderId="0" xfId="4" applyAlignment="1">
      <alignment vertical="top" wrapText="1"/>
    </xf>
    <xf numFmtId="0" fontId="2" fillId="0" borderId="0" xfId="4"/>
    <xf numFmtId="0" fontId="18" fillId="0" borderId="87" xfId="4" applyFont="1" applyBorder="1" applyAlignment="1">
      <alignment horizontal="center" vertical="center" wrapText="1"/>
    </xf>
    <xf numFmtId="0" fontId="18" fillId="0" borderId="0" xfId="4" applyFont="1" applyBorder="1" applyAlignment="1">
      <alignment horizontal="center" vertical="center" wrapText="1"/>
    </xf>
    <xf numFmtId="0" fontId="2" fillId="0" borderId="0" xfId="4" applyAlignment="1">
      <alignment horizontal="left"/>
    </xf>
    <xf numFmtId="0" fontId="2" fillId="0" borderId="0" xfId="4" applyAlignment="1">
      <alignment wrapText="1"/>
    </xf>
    <xf numFmtId="0" fontId="12" fillId="0" borderId="0" xfId="1" applyFont="1" applyAlignment="1" applyProtection="1">
      <alignment horizontal="right" vertical="center" wrapText="1"/>
    </xf>
    <xf numFmtId="0" fontId="12" fillId="0" borderId="0" xfId="1" applyFont="1" applyAlignment="1" applyProtection="1">
      <alignment horizontal="right"/>
    </xf>
    <xf numFmtId="0" fontId="17" fillId="3" borderId="10" xfId="4" applyFont="1" applyFill="1" applyBorder="1" applyAlignment="1">
      <alignment horizontal="center" vertical="center" wrapText="1"/>
    </xf>
    <xf numFmtId="0" fontId="17" fillId="3" borderId="45" xfId="4" applyFont="1" applyFill="1" applyBorder="1" applyAlignment="1">
      <alignment horizontal="center" vertical="center" wrapText="1"/>
    </xf>
    <xf numFmtId="0" fontId="2" fillId="0" borderId="0" xfId="4"/>
    <xf numFmtId="0" fontId="86" fillId="0" borderId="0" xfId="0" applyFont="1" applyAlignment="1"/>
    <xf numFmtId="167" fontId="2" fillId="0" borderId="10" xfId="4" applyNumberFormat="1" applyFont="1" applyFill="1" applyBorder="1" applyAlignment="1">
      <alignment horizontal="right"/>
    </xf>
    <xf numFmtId="0" fontId="20" fillId="11" borderId="31" xfId="4" applyFont="1" applyFill="1" applyBorder="1" applyAlignment="1">
      <alignment horizontal="center" wrapText="1"/>
    </xf>
    <xf numFmtId="0" fontId="20" fillId="11" borderId="30" xfId="4" applyFont="1" applyFill="1" applyBorder="1" applyAlignment="1">
      <alignment horizontal="center" wrapText="1"/>
    </xf>
    <xf numFmtId="1" fontId="20" fillId="11" borderId="29" xfId="4" applyNumberFormat="1" applyFont="1" applyFill="1" applyBorder="1" applyAlignment="1">
      <alignment horizontal="center" wrapText="1"/>
    </xf>
    <xf numFmtId="1" fontId="20" fillId="11" borderId="28" xfId="4" applyNumberFormat="1" applyFont="1" applyFill="1" applyBorder="1" applyAlignment="1">
      <alignment horizontal="center" wrapText="1"/>
    </xf>
    <xf numFmtId="0" fontId="20" fillId="11" borderId="38" xfId="4" applyFont="1" applyFill="1" applyBorder="1" applyAlignment="1">
      <alignment horizontal="center" wrapText="1"/>
    </xf>
    <xf numFmtId="0" fontId="20" fillId="11" borderId="23" xfId="4" applyFont="1" applyFill="1" applyBorder="1" applyAlignment="1">
      <alignment horizontal="center" wrapText="1"/>
    </xf>
    <xf numFmtId="1" fontId="20" fillId="11" borderId="37" xfId="4" applyNumberFormat="1" applyFont="1" applyFill="1" applyBorder="1" applyAlignment="1">
      <alignment horizontal="center" wrapText="1"/>
    </xf>
    <xf numFmtId="1" fontId="20" fillId="11" borderId="36" xfId="4" applyNumberFormat="1" applyFont="1" applyFill="1" applyBorder="1" applyAlignment="1">
      <alignment horizontal="center" wrapText="1"/>
    </xf>
    <xf numFmtId="0" fontId="20" fillId="11" borderId="35" xfId="4" applyFont="1" applyFill="1" applyBorder="1" applyAlignment="1">
      <alignment horizontal="center" wrapText="1"/>
    </xf>
    <xf numFmtId="0" fontId="20" fillId="11" borderId="34" xfId="4" applyFont="1" applyFill="1" applyBorder="1" applyAlignment="1">
      <alignment horizontal="center" wrapText="1"/>
    </xf>
    <xf numFmtId="1" fontId="20" fillId="11" borderId="33" xfId="4" applyNumberFormat="1" applyFont="1" applyFill="1" applyBorder="1" applyAlignment="1">
      <alignment horizontal="center" wrapText="1"/>
    </xf>
    <xf numFmtId="1" fontId="20" fillId="11" borderId="32" xfId="4" applyNumberFormat="1" applyFont="1" applyFill="1" applyBorder="1" applyAlignment="1">
      <alignment horizontal="center" wrapText="1"/>
    </xf>
    <xf numFmtId="0" fontId="20" fillId="11" borderId="27" xfId="4" applyFont="1" applyFill="1" applyBorder="1" applyAlignment="1">
      <alignment horizontal="center" wrapText="1"/>
    </xf>
    <xf numFmtId="0" fontId="20" fillId="11" borderId="26" xfId="4" applyFont="1" applyFill="1" applyBorder="1" applyAlignment="1">
      <alignment horizontal="center" wrapText="1"/>
    </xf>
    <xf numFmtId="1" fontId="20" fillId="11" borderId="25" xfId="4" applyNumberFormat="1" applyFont="1" applyFill="1" applyBorder="1" applyAlignment="1">
      <alignment horizontal="center" wrapText="1"/>
    </xf>
    <xf numFmtId="1" fontId="20" fillId="11" borderId="24" xfId="4" applyNumberFormat="1" applyFont="1" applyFill="1" applyBorder="1" applyAlignment="1">
      <alignment horizontal="center" wrapText="1"/>
    </xf>
    <xf numFmtId="0" fontId="67" fillId="0" borderId="0" xfId="0" applyFont="1" applyFill="1"/>
    <xf numFmtId="1" fontId="20" fillId="11" borderId="44" xfId="4" applyNumberFormat="1" applyFont="1" applyFill="1" applyBorder="1" applyAlignment="1">
      <alignment horizontal="center" wrapText="1"/>
    </xf>
    <xf numFmtId="1" fontId="20" fillId="11" borderId="43" xfId="4" applyNumberFormat="1" applyFont="1" applyFill="1" applyBorder="1" applyAlignment="1">
      <alignment horizontal="center" wrapText="1"/>
    </xf>
    <xf numFmtId="1" fontId="20" fillId="11" borderId="42" xfId="4" applyNumberFormat="1" applyFont="1" applyFill="1" applyBorder="1" applyAlignment="1">
      <alignment horizontal="center" wrapText="1"/>
    </xf>
    <xf numFmtId="0" fontId="20" fillId="11" borderId="130" xfId="4" applyFont="1" applyFill="1" applyBorder="1" applyAlignment="1">
      <alignment horizontal="center" wrapText="1"/>
    </xf>
    <xf numFmtId="1" fontId="20" fillId="11" borderId="47" xfId="4" applyNumberFormat="1" applyFont="1" applyFill="1" applyBorder="1" applyAlignment="1">
      <alignment horizontal="center" wrapText="1"/>
    </xf>
    <xf numFmtId="1" fontId="20" fillId="11" borderId="108" xfId="4" applyNumberFormat="1" applyFont="1" applyFill="1" applyBorder="1" applyAlignment="1">
      <alignment horizontal="center" wrapText="1"/>
    </xf>
    <xf numFmtId="1" fontId="20" fillId="11" borderId="112" xfId="4" applyNumberFormat="1" applyFont="1" applyFill="1" applyBorder="1" applyAlignment="1">
      <alignment horizontal="center" wrapText="1"/>
    </xf>
    <xf numFmtId="0" fontId="17" fillId="3" borderId="21" xfId="4" applyFont="1" applyFill="1" applyBorder="1" applyAlignment="1">
      <alignment vertical="center" wrapText="1"/>
    </xf>
    <xf numFmtId="0" fontId="17" fillId="3" borderId="103" xfId="4" applyNumberFormat="1" applyFont="1" applyFill="1" applyBorder="1" applyAlignment="1">
      <alignment vertical="center" wrapText="1"/>
    </xf>
    <xf numFmtId="0" fontId="17" fillId="3" borderId="112" xfId="4" applyFont="1" applyFill="1" applyBorder="1" applyAlignment="1">
      <alignment vertical="center" wrapText="1"/>
    </xf>
    <xf numFmtId="0" fontId="17" fillId="3" borderId="101" xfId="4" applyNumberFormat="1" applyFont="1" applyFill="1" applyBorder="1" applyAlignment="1">
      <alignment vertical="center" wrapText="1"/>
    </xf>
    <xf numFmtId="0" fontId="20" fillId="11" borderId="103" xfId="4" applyFont="1" applyFill="1" applyBorder="1" applyAlignment="1">
      <alignment horizontal="center" wrapText="1"/>
    </xf>
    <xf numFmtId="0" fontId="20" fillId="11" borderId="46" xfId="4" applyFont="1" applyFill="1" applyBorder="1" applyAlignment="1">
      <alignment horizontal="center" wrapText="1"/>
    </xf>
    <xf numFmtId="1" fontId="20" fillId="11" borderId="46" xfId="4" applyNumberFormat="1" applyFont="1" applyFill="1" applyBorder="1" applyAlignment="1">
      <alignment horizontal="center" wrapText="1"/>
    </xf>
    <xf numFmtId="1" fontId="20" fillId="11" borderId="68" xfId="4" applyNumberFormat="1" applyFont="1" applyFill="1" applyBorder="1" applyAlignment="1">
      <alignment horizontal="center" wrapText="1"/>
    </xf>
    <xf numFmtId="0" fontId="20" fillId="11" borderId="109" xfId="4" applyFont="1" applyFill="1" applyBorder="1" applyAlignment="1">
      <alignment horizontal="center" wrapText="1"/>
    </xf>
    <xf numFmtId="0" fontId="20" fillId="11" borderId="0" xfId="4" applyFont="1" applyFill="1" applyBorder="1" applyAlignment="1">
      <alignment horizontal="center" wrapText="1"/>
    </xf>
    <xf numFmtId="1" fontId="20" fillId="11" borderId="0" xfId="4" applyNumberFormat="1" applyFont="1" applyFill="1" applyBorder="1" applyAlignment="1">
      <alignment horizontal="center" wrapText="1"/>
    </xf>
    <xf numFmtId="1" fontId="20" fillId="11" borderId="87" xfId="4" applyNumberFormat="1" applyFont="1" applyFill="1" applyBorder="1" applyAlignment="1">
      <alignment horizontal="center" wrapText="1"/>
    </xf>
    <xf numFmtId="0" fontId="20" fillId="11" borderId="101" xfId="4" applyFont="1" applyFill="1" applyBorder="1" applyAlignment="1">
      <alignment horizontal="center" wrapText="1"/>
    </xf>
    <xf numFmtId="0" fontId="20" fillId="11" borderId="47" xfId="4" applyFont="1" applyFill="1" applyBorder="1" applyAlignment="1">
      <alignment horizontal="center" wrapText="1"/>
    </xf>
    <xf numFmtId="1" fontId="20" fillId="11" borderId="162" xfId="4" applyNumberFormat="1" applyFont="1" applyFill="1" applyBorder="1" applyAlignment="1">
      <alignment horizontal="center" wrapText="1"/>
    </xf>
    <xf numFmtId="0" fontId="17" fillId="3" borderId="67" xfId="4" applyFont="1" applyFill="1" applyBorder="1" applyAlignment="1">
      <alignment vertical="center" wrapText="1"/>
    </xf>
    <xf numFmtId="0" fontId="17" fillId="3" borderId="71" xfId="4" applyFont="1" applyFill="1" applyBorder="1" applyAlignment="1">
      <alignment vertical="center" wrapText="1"/>
    </xf>
    <xf numFmtId="1" fontId="20" fillId="11" borderId="38" xfId="4" applyNumberFormat="1" applyFont="1" applyFill="1" applyBorder="1" applyAlignment="1">
      <alignment horizontal="center" wrapText="1"/>
    </xf>
    <xf numFmtId="1" fontId="20" fillId="11" borderId="39" xfId="4" applyNumberFormat="1" applyFont="1" applyFill="1" applyBorder="1" applyAlignment="1">
      <alignment horizontal="center" wrapText="1"/>
    </xf>
    <xf numFmtId="1" fontId="20" fillId="11" borderId="23" xfId="4" applyNumberFormat="1" applyFont="1" applyFill="1" applyBorder="1" applyAlignment="1">
      <alignment horizontal="center" wrapText="1"/>
    </xf>
    <xf numFmtId="1" fontId="20" fillId="11" borderId="49" xfId="4" applyNumberFormat="1" applyFont="1" applyFill="1" applyBorder="1" applyAlignment="1">
      <alignment horizontal="center" wrapText="1"/>
    </xf>
    <xf numFmtId="1" fontId="20" fillId="11" borderId="34" xfId="4" applyNumberFormat="1" applyFont="1" applyFill="1" applyBorder="1" applyAlignment="1">
      <alignment horizontal="center" wrapText="1"/>
    </xf>
    <xf numFmtId="1" fontId="20" fillId="11" borderId="48" xfId="4" applyNumberFormat="1" applyFont="1" applyFill="1" applyBorder="1" applyAlignment="1">
      <alignment horizontal="center" wrapText="1"/>
    </xf>
    <xf numFmtId="1" fontId="20" fillId="11" borderId="30" xfId="4" applyNumberFormat="1" applyFont="1" applyFill="1" applyBorder="1" applyAlignment="1">
      <alignment horizontal="center" wrapText="1"/>
    </xf>
    <xf numFmtId="1" fontId="20" fillId="11" borderId="130" xfId="4" applyNumberFormat="1" applyFont="1" applyFill="1" applyBorder="1" applyAlignment="1">
      <alignment horizontal="center" wrapText="1"/>
    </xf>
    <xf numFmtId="1" fontId="20" fillId="11" borderId="100" xfId="4" applyNumberFormat="1" applyFont="1" applyFill="1" applyBorder="1" applyAlignment="1">
      <alignment horizontal="center" wrapText="1"/>
    </xf>
    <xf numFmtId="1" fontId="20" fillId="11" borderId="163" xfId="4" applyNumberFormat="1" applyFont="1" applyFill="1" applyBorder="1" applyAlignment="1">
      <alignment horizontal="center" wrapText="1"/>
    </xf>
    <xf numFmtId="0" fontId="2" fillId="0" borderId="0" xfId="4" applyAlignment="1">
      <alignment wrapText="1"/>
    </xf>
    <xf numFmtId="0" fontId="12" fillId="0" borderId="0" xfId="1" applyFont="1" applyAlignment="1" applyProtection="1"/>
    <xf numFmtId="0" fontId="12" fillId="0" borderId="0" xfId="1" applyFont="1" applyAlignment="1" applyProtection="1">
      <alignment horizontal="right" vertical="center" wrapText="1"/>
    </xf>
    <xf numFmtId="0" fontId="12" fillId="0" borderId="0" xfId="1" applyFont="1" applyAlignment="1" applyProtection="1">
      <alignment horizontal="right"/>
    </xf>
    <xf numFmtId="0" fontId="10" fillId="0" borderId="0" xfId="4" applyFont="1" applyAlignment="1">
      <alignment horizontal="left" vertical="center" wrapText="1"/>
    </xf>
    <xf numFmtId="0" fontId="22" fillId="0" borderId="0" xfId="4" applyFont="1" applyFill="1" applyAlignment="1">
      <alignment horizontal="left" vertical="center" wrapText="1" indent="4"/>
    </xf>
    <xf numFmtId="0" fontId="2" fillId="0" borderId="0" xfId="4"/>
    <xf numFmtId="0" fontId="7" fillId="0" borderId="0" xfId="4" applyNumberFormat="1" applyFont="1" applyAlignment="1">
      <alignment vertical="top" wrapText="1"/>
    </xf>
    <xf numFmtId="0" fontId="2" fillId="0" borderId="0" xfId="4" applyAlignment="1">
      <alignment vertical="top" wrapText="1"/>
    </xf>
    <xf numFmtId="0" fontId="12" fillId="0" borderId="0" xfId="1" applyFont="1" applyAlignment="1" applyProtection="1">
      <alignment horizontal="center" vertical="center" wrapText="1"/>
    </xf>
    <xf numFmtId="0" fontId="18" fillId="0" borderId="87" xfId="4" applyFont="1" applyBorder="1" applyAlignment="1">
      <alignment horizontal="center" vertical="center" wrapText="1"/>
    </xf>
    <xf numFmtId="0" fontId="18" fillId="0" borderId="0" xfId="4" applyFont="1" applyBorder="1" applyAlignment="1">
      <alignment horizontal="center" vertical="center" wrapText="1"/>
    </xf>
    <xf numFmtId="0" fontId="2" fillId="0" borderId="0" xfId="4" applyAlignment="1">
      <alignment horizontal="left"/>
    </xf>
    <xf numFmtId="0" fontId="36" fillId="0" borderId="0" xfId="5" applyFont="1" applyBorder="1" applyAlignment="1">
      <alignment horizontal="center" vertical="center"/>
    </xf>
    <xf numFmtId="0" fontId="15" fillId="0" borderId="87" xfId="4" applyFont="1" applyBorder="1" applyAlignment="1">
      <alignment horizontal="center" vertical="center"/>
    </xf>
    <xf numFmtId="0" fontId="15" fillId="0" borderId="0" xfId="4" applyFont="1" applyBorder="1" applyAlignment="1">
      <alignment horizontal="center" vertical="center"/>
    </xf>
    <xf numFmtId="0" fontId="69" fillId="0" borderId="0" xfId="0" applyFont="1" applyAlignment="1">
      <alignment horizontal="left" vertical="center" wrapText="1"/>
    </xf>
    <xf numFmtId="0" fontId="22" fillId="0" borderId="0" xfId="4" applyFont="1" applyFill="1" applyAlignment="1">
      <alignment horizontal="left" vertical="center" wrapText="1" indent="4"/>
    </xf>
    <xf numFmtId="1" fontId="20" fillId="11" borderId="50" xfId="4" applyNumberFormat="1" applyFont="1" applyFill="1" applyBorder="1" applyAlignment="1">
      <alignment horizontal="center" wrapText="1"/>
    </xf>
    <xf numFmtId="1" fontId="20" fillId="11" borderId="51" xfId="4" applyNumberFormat="1" applyFont="1" applyFill="1" applyBorder="1" applyAlignment="1">
      <alignment horizontal="center" wrapText="1"/>
    </xf>
    <xf numFmtId="1" fontId="20" fillId="11" borderId="52" xfId="4" applyNumberFormat="1" applyFont="1" applyFill="1" applyBorder="1" applyAlignment="1">
      <alignment horizontal="center" wrapText="1"/>
    </xf>
    <xf numFmtId="0" fontId="2" fillId="0" borderId="0" xfId="4" applyFont="1" applyAlignment="1"/>
    <xf numFmtId="0" fontId="2" fillId="0" borderId="0" xfId="5" applyFont="1" applyFill="1" applyBorder="1" applyAlignment="1"/>
    <xf numFmtId="0" fontId="16" fillId="0" borderId="0" xfId="5" applyFont="1" applyFill="1" applyBorder="1" applyAlignment="1">
      <alignment horizontal="center" vertical="center"/>
    </xf>
    <xf numFmtId="0" fontId="16" fillId="0" borderId="0" xfId="5" applyNumberFormat="1" applyFont="1" applyFill="1" applyBorder="1" applyAlignment="1">
      <alignment horizontal="center" vertical="center"/>
    </xf>
    <xf numFmtId="0" fontId="16" fillId="0" borderId="0" xfId="5" applyNumberFormat="1" applyFont="1" applyFill="1" applyBorder="1" applyAlignment="1">
      <alignment vertical="center"/>
    </xf>
    <xf numFmtId="0" fontId="17" fillId="0" borderId="0" xfId="5" applyFont="1" applyFill="1" applyBorder="1" applyAlignment="1">
      <alignment horizontal="center" vertical="center"/>
    </xf>
    <xf numFmtId="0" fontId="2" fillId="0" borderId="0" xfId="5" applyFont="1" applyFill="1" applyBorder="1" applyAlignment="1">
      <alignment horizontal="center" vertical="center"/>
    </xf>
    <xf numFmtId="0" fontId="16" fillId="0" borderId="0" xfId="5" applyFont="1" applyFill="1" applyBorder="1" applyAlignment="1">
      <alignment vertical="center"/>
    </xf>
    <xf numFmtId="0" fontId="17" fillId="0" borderId="0" xfId="5" applyNumberFormat="1" applyFont="1" applyFill="1" applyBorder="1" applyAlignment="1">
      <alignment horizontal="center" vertical="center"/>
    </xf>
    <xf numFmtId="0" fontId="16" fillId="0" borderId="0" xfId="5" applyNumberFormat="1" applyFont="1" applyFill="1" applyBorder="1" applyAlignment="1">
      <alignment horizontal="right" vertical="center"/>
    </xf>
    <xf numFmtId="0" fontId="20" fillId="0" borderId="0" xfId="5" applyFont="1" applyFill="1" applyBorder="1" applyAlignment="1"/>
    <xf numFmtId="1" fontId="2" fillId="0" borderId="0" xfId="5" applyNumberFormat="1" applyFont="1" applyFill="1" applyBorder="1" applyAlignment="1">
      <alignment horizontal="center"/>
    </xf>
    <xf numFmtId="1" fontId="20" fillId="0" borderId="0" xfId="5" applyNumberFormat="1" applyFont="1" applyFill="1" applyBorder="1" applyAlignment="1">
      <alignment horizontal="center"/>
    </xf>
    <xf numFmtId="0" fontId="20" fillId="0" borderId="0" xfId="5" applyFont="1" applyFill="1" applyBorder="1" applyAlignment="1">
      <alignment horizontal="center"/>
    </xf>
    <xf numFmtId="167" fontId="2" fillId="0" borderId="0" xfId="5" applyNumberFormat="1" applyFont="1" applyFill="1" applyBorder="1" applyAlignment="1"/>
    <xf numFmtId="0" fontId="2" fillId="0" borderId="0" xfId="5" applyFont="1" applyFill="1" applyBorder="1" applyAlignment="1">
      <alignment horizontal="center"/>
    </xf>
    <xf numFmtId="0" fontId="16" fillId="0" borderId="0" xfId="5" applyFont="1" applyFill="1" applyBorder="1" applyAlignment="1">
      <alignment horizontal="left" vertical="center"/>
    </xf>
    <xf numFmtId="164" fontId="16" fillId="0" borderId="0" xfId="5" applyNumberFormat="1" applyFont="1" applyFill="1" applyBorder="1" applyAlignment="1">
      <alignment horizontal="center" vertical="center"/>
    </xf>
    <xf numFmtId="0" fontId="16" fillId="0" borderId="0" xfId="5" applyFont="1" applyFill="1" applyBorder="1" applyAlignment="1">
      <alignment horizontal="right" vertical="center"/>
    </xf>
    <xf numFmtId="167" fontId="2" fillId="0" borderId="0" xfId="5" applyNumberFormat="1" applyFont="1" applyFill="1" applyBorder="1" applyAlignment="1">
      <alignment horizontal="right"/>
    </xf>
    <xf numFmtId="0" fontId="15" fillId="0" borderId="0" xfId="5" applyFont="1" applyFill="1" applyBorder="1" applyAlignment="1"/>
    <xf numFmtId="0" fontId="2" fillId="0" borderId="0" xfId="5" applyFont="1" applyFill="1" applyBorder="1" applyAlignment="1">
      <alignment horizontal="right"/>
    </xf>
    <xf numFmtId="0" fontId="2" fillId="0" borderId="0" xfId="5" applyFont="1" applyFill="1" applyBorder="1" applyAlignment="1">
      <alignment vertical="center"/>
    </xf>
    <xf numFmtId="0" fontId="36" fillId="0" borderId="0" xfId="5" applyFont="1" applyBorder="1" applyAlignment="1">
      <alignment horizontal="left"/>
    </xf>
    <xf numFmtId="0" fontId="36" fillId="0" borderId="0" xfId="5" applyFont="1" applyBorder="1" applyAlignment="1">
      <alignment horizontal="left" vertical="center"/>
    </xf>
    <xf numFmtId="0" fontId="36" fillId="0" borderId="0" xfId="5" applyAlignment="1">
      <alignment horizontal="center" vertical="center"/>
    </xf>
    <xf numFmtId="0" fontId="68" fillId="8" borderId="139" xfId="0" applyFont="1" applyFill="1" applyBorder="1" applyAlignment="1">
      <alignment vertical="center"/>
    </xf>
    <xf numFmtId="0" fontId="68" fillId="8" borderId="164" xfId="0" applyFont="1" applyFill="1" applyBorder="1" applyAlignment="1">
      <alignment vertical="center"/>
    </xf>
    <xf numFmtId="0" fontId="68" fillId="8" borderId="134" xfId="0" applyFont="1" applyFill="1" applyBorder="1" applyAlignment="1">
      <alignment vertical="center"/>
    </xf>
    <xf numFmtId="0" fontId="68" fillId="8" borderId="135" xfId="0" applyFont="1" applyFill="1" applyBorder="1" applyAlignment="1">
      <alignment vertical="center"/>
    </xf>
    <xf numFmtId="0" fontId="69" fillId="0" borderId="0" xfId="0" applyFont="1" applyAlignment="1">
      <alignment vertical="center" wrapText="1"/>
    </xf>
    <xf numFmtId="0" fontId="22" fillId="0" borderId="0" xfId="4" applyFont="1" applyFill="1" applyAlignment="1">
      <alignment vertical="center" wrapText="1"/>
    </xf>
    <xf numFmtId="0" fontId="5" fillId="3" borderId="3" xfId="7" applyFont="1" applyFill="1" applyBorder="1" applyAlignment="1">
      <alignment horizontal="center" vertical="center" wrapText="1"/>
    </xf>
    <xf numFmtId="0" fontId="63" fillId="0" borderId="0" xfId="0" applyFont="1" applyAlignment="1">
      <alignment horizontal="left" vertical="top" wrapText="1" readingOrder="1"/>
    </xf>
    <xf numFmtId="0" fontId="63" fillId="0" borderId="0" xfId="0" applyFont="1" applyAlignment="1">
      <alignment horizontal="left" wrapText="1" readingOrder="1"/>
    </xf>
    <xf numFmtId="0" fontId="2" fillId="0" borderId="0" xfId="4" applyFill="1"/>
    <xf numFmtId="0" fontId="2" fillId="0" borderId="0" xfId="4"/>
    <xf numFmtId="167" fontId="76" fillId="0" borderId="115" xfId="0" applyNumberFormat="1" applyFont="1" applyFill="1" applyBorder="1" applyAlignment="1">
      <alignment horizontal="center" vertical="center"/>
    </xf>
    <xf numFmtId="0" fontId="2" fillId="0" borderId="0" xfId="4" applyFill="1" applyAlignment="1">
      <alignment horizontal="center"/>
    </xf>
    <xf numFmtId="0" fontId="67" fillId="0" borderId="153" xfId="0" applyFont="1" applyBorder="1" applyAlignment="1">
      <alignment vertical="center"/>
    </xf>
    <xf numFmtId="0" fontId="67" fillId="0" borderId="153" xfId="0" applyFont="1" applyBorder="1" applyAlignment="1">
      <alignment horizontal="center" vertical="center" wrapText="1"/>
    </xf>
    <xf numFmtId="0" fontId="69" fillId="0" borderId="154" xfId="0" applyFont="1" applyBorder="1" applyAlignment="1">
      <alignment vertical="center" wrapText="1"/>
    </xf>
    <xf numFmtId="0" fontId="67" fillId="0" borderId="154" xfId="0" applyFont="1" applyBorder="1" applyAlignment="1">
      <alignment horizontal="center" vertical="center"/>
    </xf>
    <xf numFmtId="0" fontId="67" fillId="0" borderId="154" xfId="0" applyFont="1" applyBorder="1" applyAlignment="1">
      <alignment horizontal="left" vertical="center" wrapText="1" indent="2"/>
    </xf>
    <xf numFmtId="0" fontId="71" fillId="0" borderId="154" xfId="0" applyFont="1" applyBorder="1" applyAlignment="1">
      <alignment horizontal="center" vertical="center"/>
    </xf>
    <xf numFmtId="166" fontId="71" fillId="0" borderId="154" xfId="0" applyNumberFormat="1" applyFont="1" applyBorder="1" applyAlignment="1">
      <alignment horizontal="center" vertical="center"/>
    </xf>
    <xf numFmtId="0" fontId="71" fillId="0" borderId="154" xfId="0" applyFont="1" applyBorder="1" applyAlignment="1">
      <alignment vertical="center"/>
    </xf>
    <xf numFmtId="166" fontId="67" fillId="0" borderId="154" xfId="0" applyNumberFormat="1" applyFont="1" applyBorder="1" applyAlignment="1">
      <alignment horizontal="center" vertical="center"/>
    </xf>
    <xf numFmtId="0" fontId="67" fillId="0" borderId="154" xfId="0" applyFont="1" applyBorder="1" applyAlignment="1">
      <alignment horizontal="left" vertical="center"/>
    </xf>
    <xf numFmtId="43" fontId="71" fillId="0" borderId="154" xfId="0" applyNumberFormat="1" applyFont="1" applyBorder="1" applyAlignment="1">
      <alignment horizontal="center" vertical="center"/>
    </xf>
    <xf numFmtId="0" fontId="67" fillId="0" borderId="158" xfId="0" applyFont="1" applyBorder="1" applyAlignment="1">
      <alignment vertical="center"/>
    </xf>
    <xf numFmtId="0" fontId="71" fillId="0" borderId="158" xfId="0" applyFont="1" applyBorder="1" applyAlignment="1">
      <alignment horizontal="center" vertical="center"/>
    </xf>
    <xf numFmtId="166" fontId="71" fillId="0" borderId="158" xfId="0" applyNumberFormat="1" applyFont="1" applyBorder="1" applyAlignment="1">
      <alignment horizontal="center" vertical="center"/>
    </xf>
    <xf numFmtId="43" fontId="71" fillId="0" borderId="158" xfId="0" applyNumberFormat="1" applyFont="1" applyBorder="1" applyAlignment="1">
      <alignment horizontal="center" vertical="center"/>
    </xf>
    <xf numFmtId="0" fontId="69" fillId="12" borderId="154" xfId="0" applyFont="1" applyFill="1" applyBorder="1" applyAlignment="1">
      <alignment vertical="center" wrapText="1"/>
    </xf>
    <xf numFmtId="0" fontId="67" fillId="12" borderId="154" xfId="0" applyFont="1" applyFill="1" applyBorder="1" applyAlignment="1">
      <alignment horizontal="center" vertical="center"/>
    </xf>
    <xf numFmtId="167" fontId="67" fillId="12" borderId="154" xfId="0" applyNumberFormat="1" applyFont="1" applyFill="1" applyBorder="1" applyAlignment="1">
      <alignment horizontal="center" vertical="center"/>
    </xf>
    <xf numFmtId="0" fontId="67" fillId="12" borderId="154" xfId="0" applyFont="1" applyFill="1" applyBorder="1" applyAlignment="1">
      <alignment horizontal="left" vertical="center" wrapText="1" indent="2"/>
    </xf>
    <xf numFmtId="166" fontId="67" fillId="12" borderId="154" xfId="0" applyNumberFormat="1" applyFont="1" applyFill="1" applyBorder="1" applyAlignment="1">
      <alignment horizontal="center" vertical="center"/>
    </xf>
    <xf numFmtId="0" fontId="67" fillId="12" borderId="154" xfId="0" applyFont="1" applyFill="1" applyBorder="1" applyAlignment="1">
      <alignment horizontal="center" vertical="center" wrapText="1"/>
    </xf>
    <xf numFmtId="43" fontId="67" fillId="12" borderId="154" xfId="0" applyNumberFormat="1" applyFont="1" applyFill="1" applyBorder="1" applyAlignment="1">
      <alignment horizontal="center" vertical="center"/>
    </xf>
    <xf numFmtId="0" fontId="2" fillId="0" borderId="0" xfId="4" applyFill="1"/>
    <xf numFmtId="0" fontId="3" fillId="0" borderId="0" xfId="5" applyFont="1" applyAlignment="1">
      <alignment horizontal="left"/>
    </xf>
    <xf numFmtId="0" fontId="12" fillId="0" borderId="0" xfId="1" applyFont="1" applyAlignment="1" applyProtection="1">
      <alignment horizontal="right"/>
    </xf>
    <xf numFmtId="0" fontId="12" fillId="0" borderId="0" xfId="1" applyFont="1" applyAlignment="1" applyProtection="1">
      <alignment horizontal="right" vertical="center"/>
    </xf>
    <xf numFmtId="0" fontId="71" fillId="0" borderId="0" xfId="0" applyFont="1" applyAlignment="1">
      <alignment vertical="center"/>
    </xf>
    <xf numFmtId="0" fontId="16" fillId="3" borderId="20" xfId="4" applyFont="1" applyFill="1" applyBorder="1" applyAlignment="1">
      <alignment horizontal="center" vertical="center" wrapText="1"/>
    </xf>
    <xf numFmtId="0" fontId="16" fillId="3" borderId="165" xfId="4" applyFont="1" applyFill="1" applyBorder="1" applyAlignment="1">
      <alignment horizontal="center" vertical="center" wrapText="1"/>
    </xf>
    <xf numFmtId="0" fontId="16" fillId="3" borderId="128" xfId="4" applyFont="1" applyFill="1" applyBorder="1" applyAlignment="1">
      <alignment horizontal="center" vertical="center"/>
    </xf>
    <xf numFmtId="0" fontId="87" fillId="0" borderId="0" xfId="1" applyFont="1" applyAlignment="1" applyProtection="1">
      <alignment vertical="center"/>
    </xf>
    <xf numFmtId="0" fontId="2" fillId="0" borderId="0" xfId="4" applyAlignment="1">
      <alignment wrapText="1"/>
    </xf>
    <xf numFmtId="0" fontId="12" fillId="0" borderId="0" xfId="1" applyFont="1" applyAlignment="1" applyProtection="1">
      <alignment horizontal="right"/>
    </xf>
    <xf numFmtId="0" fontId="16" fillId="3" borderId="26" xfId="4" applyFont="1" applyFill="1" applyBorder="1" applyAlignment="1">
      <alignment horizontal="center" vertical="center"/>
    </xf>
    <xf numFmtId="0" fontId="2" fillId="0" borderId="0" xfId="4"/>
    <xf numFmtId="0" fontId="16" fillId="3" borderId="24" xfId="4" applyFont="1" applyFill="1" applyBorder="1" applyAlignment="1">
      <alignment horizontal="center" vertical="center"/>
    </xf>
    <xf numFmtId="0" fontId="12" fillId="0" borderId="0" xfId="1" applyFont="1" applyAlignment="1" applyProtection="1">
      <alignment horizontal="right" vertical="center"/>
    </xf>
    <xf numFmtId="0" fontId="7" fillId="0" borderId="0" xfId="4" applyFont="1" applyBorder="1" applyAlignment="1">
      <alignment vertical="center" wrapText="1"/>
    </xf>
    <xf numFmtId="0" fontId="2" fillId="0" borderId="0" xfId="4" applyAlignment="1">
      <alignment wrapText="1"/>
    </xf>
    <xf numFmtId="0" fontId="12" fillId="0" borderId="0" xfId="1" applyFont="1" applyAlignment="1" applyProtection="1">
      <alignment horizontal="right"/>
    </xf>
    <xf numFmtId="0" fontId="16" fillId="3" borderId="26" xfId="4" applyFont="1" applyFill="1" applyBorder="1" applyAlignment="1">
      <alignment horizontal="center" vertical="center"/>
    </xf>
    <xf numFmtId="0" fontId="2" fillId="0" borderId="0" xfId="4" applyFill="1"/>
    <xf numFmtId="0" fontId="2" fillId="0" borderId="0" xfId="4"/>
    <xf numFmtId="0" fontId="16" fillId="3" borderId="24" xfId="4" applyFont="1" applyFill="1" applyBorder="1" applyAlignment="1">
      <alignment horizontal="center" vertical="center"/>
    </xf>
    <xf numFmtId="0" fontId="12" fillId="0" borderId="0" xfId="1" applyFont="1" applyAlignment="1" applyProtection="1">
      <alignment horizontal="right" vertical="center"/>
    </xf>
    <xf numFmtId="0" fontId="12" fillId="0" borderId="0" xfId="1" applyFont="1" applyAlignment="1" applyProtection="1"/>
    <xf numFmtId="0" fontId="22" fillId="0" borderId="0" xfId="4" applyFont="1" applyAlignment="1">
      <alignment horizontal="left" vertical="center" wrapText="1" indent="3"/>
    </xf>
    <xf numFmtId="0" fontId="5" fillId="3" borderId="3" xfId="7" applyFont="1" applyFill="1" applyBorder="1" applyAlignment="1">
      <alignment horizontal="center" vertical="center" wrapText="1"/>
    </xf>
    <xf numFmtId="0" fontId="2" fillId="0" borderId="0" xfId="4"/>
    <xf numFmtId="0" fontId="11" fillId="0" borderId="10" xfId="1" applyFill="1" applyBorder="1" applyAlignment="1" applyProtection="1">
      <alignment horizontal="center" vertical="center" wrapText="1"/>
    </xf>
    <xf numFmtId="0" fontId="7" fillId="0" borderId="47" xfId="4" applyFont="1" applyBorder="1" applyAlignment="1">
      <alignment vertical="center" wrapText="1"/>
    </xf>
    <xf numFmtId="0" fontId="11" fillId="0" borderId="87" xfId="1" applyFill="1" applyBorder="1" applyAlignment="1" applyProtection="1">
      <alignment horizontal="center" vertical="center" wrapText="1"/>
    </xf>
    <xf numFmtId="0" fontId="2" fillId="0" borderId="109" xfId="4" applyBorder="1"/>
    <xf numFmtId="0" fontId="2" fillId="0" borderId="0" xfId="4" applyFont="1" applyBorder="1" applyAlignment="1">
      <alignment horizontal="left" vertical="center" wrapText="1"/>
    </xf>
    <xf numFmtId="0" fontId="2" fillId="0" borderId="0" xfId="4" applyAlignment="1">
      <alignment horizontal="left" indent="1"/>
    </xf>
    <xf numFmtId="0" fontId="2" fillId="0" borderId="0" xfId="4"/>
    <xf numFmtId="0" fontId="6" fillId="0" borderId="0" xfId="7" applyNumberFormat="1" applyFont="1"/>
    <xf numFmtId="0" fontId="3" fillId="0" borderId="0" xfId="4" applyFont="1" applyAlignment="1">
      <alignment horizontal="left" vertical="center"/>
    </xf>
    <xf numFmtId="0" fontId="26" fillId="0" borderId="0" xfId="1" applyFont="1" applyBorder="1" applyAlignment="1" applyProtection="1">
      <alignment horizontal="left" vertical="center"/>
    </xf>
    <xf numFmtId="0" fontId="69" fillId="0" borderId="0" xfId="0" applyFont="1" applyAlignment="1">
      <alignment horizontal="left" vertical="center" wrapText="1"/>
    </xf>
    <xf numFmtId="0" fontId="68" fillId="8" borderId="122" xfId="0" applyFont="1" applyFill="1" applyBorder="1" applyAlignment="1">
      <alignment horizontal="center" vertical="center"/>
    </xf>
    <xf numFmtId="0" fontId="68" fillId="8" borderId="123" xfId="0" applyFont="1" applyFill="1" applyBorder="1" applyAlignment="1">
      <alignment horizontal="center" vertical="center"/>
    </xf>
    <xf numFmtId="0" fontId="68" fillId="8" borderId="139" xfId="0" applyFont="1" applyFill="1" applyBorder="1" applyAlignment="1">
      <alignment horizontal="center" vertical="center"/>
    </xf>
    <xf numFmtId="0" fontId="68" fillId="8" borderId="124" xfId="0" applyFont="1" applyFill="1" applyBorder="1" applyAlignment="1">
      <alignment horizontal="center" vertical="center"/>
    </xf>
    <xf numFmtId="0" fontId="72" fillId="8" borderId="151" xfId="0" applyFont="1" applyFill="1" applyBorder="1" applyAlignment="1">
      <alignment horizontal="center" vertical="center" wrapText="1"/>
    </xf>
    <xf numFmtId="0" fontId="72" fillId="8" borderId="0" xfId="0" applyFont="1" applyFill="1" applyBorder="1" applyAlignment="1">
      <alignment horizontal="center" vertical="center" wrapText="1"/>
    </xf>
    <xf numFmtId="0" fontId="72" fillId="8" borderId="152" xfId="0" applyFont="1" applyFill="1" applyBorder="1" applyAlignment="1">
      <alignment horizontal="center" vertical="center" wrapText="1"/>
    </xf>
    <xf numFmtId="0" fontId="7" fillId="0" borderId="0" xfId="4" applyFont="1" applyAlignment="1">
      <alignment horizontal="left" vertical="center" wrapText="1"/>
    </xf>
    <xf numFmtId="165" fontId="2" fillId="0" borderId="72" xfId="4" applyNumberFormat="1" applyFont="1" applyFill="1" applyBorder="1" applyAlignment="1">
      <alignment horizontal="center" vertical="center" wrapText="1"/>
    </xf>
    <xf numFmtId="165" fontId="2" fillId="0" borderId="69" xfId="4" applyNumberFormat="1" applyFont="1" applyFill="1" applyBorder="1" applyAlignment="1">
      <alignment horizontal="center" vertical="center" wrapText="1"/>
    </xf>
    <xf numFmtId="0" fontId="16" fillId="3" borderId="94" xfId="4" applyFont="1" applyFill="1" applyBorder="1" applyAlignment="1">
      <alignment vertical="center"/>
    </xf>
    <xf numFmtId="0" fontId="16" fillId="3" borderId="95" xfId="4" applyFont="1" applyFill="1" applyBorder="1" applyAlignment="1">
      <alignment vertical="center"/>
    </xf>
    <xf numFmtId="0" fontId="16" fillId="3" borderId="96" xfId="4" applyFont="1" applyFill="1" applyBorder="1" applyAlignment="1">
      <alignment horizontal="center" vertical="center" wrapText="1"/>
    </xf>
    <xf numFmtId="0" fontId="16" fillId="3" borderId="97" xfId="4" applyFont="1" applyFill="1" applyBorder="1" applyAlignment="1">
      <alignment horizontal="center" vertical="center" wrapText="1"/>
    </xf>
    <xf numFmtId="0" fontId="16" fillId="3" borderId="98" xfId="4" applyFont="1" applyFill="1" applyBorder="1" applyAlignment="1">
      <alignment horizontal="center" vertical="center" wrapText="1"/>
    </xf>
    <xf numFmtId="0" fontId="16" fillId="3" borderId="99" xfId="4" applyFont="1" applyFill="1" applyBorder="1" applyAlignment="1">
      <alignment horizontal="center" vertical="center" wrapText="1"/>
    </xf>
    <xf numFmtId="0" fontId="25" fillId="0" borderId="0" xfId="4" applyFont="1" applyAlignment="1">
      <alignment horizontal="left" vertical="center" wrapText="1"/>
    </xf>
    <xf numFmtId="166" fontId="13" fillId="0" borderId="55" xfId="4" applyNumberFormat="1" applyFont="1" applyBorder="1" applyAlignment="1">
      <alignment horizontal="center" vertical="center"/>
    </xf>
    <xf numFmtId="166" fontId="13" fillId="0" borderId="40" xfId="4" applyNumberFormat="1" applyFont="1" applyBorder="1" applyAlignment="1">
      <alignment horizontal="center" vertical="center"/>
    </xf>
    <xf numFmtId="166" fontId="13" fillId="0" borderId="20" xfId="4" applyNumberFormat="1" applyFont="1" applyBorder="1" applyAlignment="1">
      <alignment horizontal="center" vertical="center"/>
    </xf>
    <xf numFmtId="0" fontId="7" fillId="0" borderId="0" xfId="4" applyFont="1" applyBorder="1" applyAlignment="1">
      <alignment horizontal="left" vertical="center" wrapText="1"/>
    </xf>
    <xf numFmtId="0" fontId="7" fillId="0" borderId="0" xfId="4" applyFont="1" applyBorder="1" applyAlignment="1">
      <alignment vertical="center" wrapText="1"/>
    </xf>
    <xf numFmtId="0" fontId="2" fillId="0" borderId="0" xfId="4" applyAlignment="1">
      <alignment wrapText="1"/>
    </xf>
    <xf numFmtId="0" fontId="7" fillId="0" borderId="0" xfId="4" applyFont="1" applyFill="1" applyAlignment="1">
      <alignment wrapText="1"/>
    </xf>
    <xf numFmtId="0" fontId="12" fillId="0" borderId="0" xfId="1" applyFont="1" applyAlignment="1" applyProtection="1"/>
    <xf numFmtId="0" fontId="16" fillId="3" borderId="45" xfId="4" applyFont="1" applyFill="1" applyBorder="1" applyAlignment="1">
      <alignment vertical="center"/>
    </xf>
    <xf numFmtId="0" fontId="16" fillId="3" borderId="84" xfId="4" applyFont="1" applyFill="1" applyBorder="1" applyAlignment="1">
      <alignment horizontal="center" vertical="center" wrapText="1"/>
    </xf>
    <xf numFmtId="0" fontId="16" fillId="3" borderId="100" xfId="4" applyFont="1" applyFill="1" applyBorder="1" applyAlignment="1">
      <alignment horizontal="center" vertical="center" wrapText="1"/>
    </xf>
    <xf numFmtId="0" fontId="16" fillId="3" borderId="47" xfId="4" applyFont="1" applyFill="1" applyBorder="1" applyAlignment="1">
      <alignment horizontal="center" vertical="center" wrapText="1"/>
    </xf>
    <xf numFmtId="0" fontId="16" fillId="3" borderId="101" xfId="4" applyFont="1" applyFill="1" applyBorder="1" applyAlignment="1">
      <alignment horizontal="center" vertical="center" wrapText="1"/>
    </xf>
    <xf numFmtId="0" fontId="16" fillId="3" borderId="102" xfId="4" applyFont="1" applyFill="1" applyBorder="1" applyAlignment="1">
      <alignment horizontal="center" vertical="center" wrapText="1"/>
    </xf>
    <xf numFmtId="0" fontId="16" fillId="3" borderId="46" xfId="4" applyFont="1" applyFill="1" applyBorder="1" applyAlignment="1">
      <alignment horizontal="center" vertical="center" wrapText="1"/>
    </xf>
    <xf numFmtId="0" fontId="16" fillId="3" borderId="103" xfId="4" applyFont="1" applyFill="1" applyBorder="1" applyAlignment="1">
      <alignment horizontal="center" vertical="center" wrapText="1"/>
    </xf>
    <xf numFmtId="0" fontId="3" fillId="0" borderId="0" xfId="4" applyFont="1" applyAlignment="1">
      <alignment horizontal="left" wrapText="1"/>
    </xf>
    <xf numFmtId="0" fontId="2" fillId="0" borderId="0" xfId="4" applyFont="1" applyAlignment="1">
      <alignment wrapText="1"/>
    </xf>
    <xf numFmtId="0" fontId="7" fillId="0" borderId="0" xfId="4" applyNumberFormat="1" applyFont="1" applyAlignment="1">
      <alignment horizontal="left" vertical="top" wrapText="1"/>
    </xf>
    <xf numFmtId="0" fontId="3" fillId="0" borderId="0" xfId="4" applyFont="1" applyAlignment="1">
      <alignment horizontal="left" vertical="center" wrapText="1"/>
    </xf>
    <xf numFmtId="0" fontId="12" fillId="0" borderId="46" xfId="1" applyFont="1" applyBorder="1" applyAlignment="1" applyProtection="1"/>
    <xf numFmtId="0" fontId="0" fillId="0" borderId="0" xfId="0" applyAlignment="1">
      <alignment wrapText="1"/>
    </xf>
    <xf numFmtId="0" fontId="7" fillId="0" borderId="0" xfId="4" applyFont="1" applyFill="1" applyBorder="1" applyAlignment="1">
      <alignment horizontal="left" vertical="center" wrapText="1"/>
    </xf>
    <xf numFmtId="0" fontId="12" fillId="0" borderId="0" xfId="1" applyFont="1" applyAlignment="1" applyProtection="1">
      <alignment horizontal="right" vertical="center" wrapText="1"/>
    </xf>
    <xf numFmtId="0" fontId="12" fillId="0" borderId="0" xfId="1" applyFont="1" applyAlignment="1" applyProtection="1">
      <alignment horizontal="right"/>
    </xf>
    <xf numFmtId="0" fontId="78" fillId="8" borderId="134" xfId="0" applyFont="1" applyFill="1" applyBorder="1" applyAlignment="1">
      <alignment horizontal="center" vertical="center"/>
    </xf>
    <xf numFmtId="0" fontId="78" fillId="8" borderId="135" xfId="0" applyFont="1" applyFill="1" applyBorder="1" applyAlignment="1">
      <alignment horizontal="center" vertical="center"/>
    </xf>
    <xf numFmtId="0" fontId="78" fillId="8" borderId="123" xfId="0" applyFont="1" applyFill="1" applyBorder="1" applyAlignment="1">
      <alignment horizontal="center" vertical="center"/>
    </xf>
    <xf numFmtId="0" fontId="0" fillId="0" borderId="139" xfId="0" applyBorder="1" applyAlignment="1">
      <alignment horizontal="center" vertical="center"/>
    </xf>
    <xf numFmtId="0" fontId="78" fillId="8" borderId="140" xfId="0" applyFont="1" applyFill="1" applyBorder="1" applyAlignment="1">
      <alignment horizontal="center" vertical="center"/>
    </xf>
    <xf numFmtId="0" fontId="0" fillId="0" borderId="140" xfId="0" applyBorder="1" applyAlignment="1">
      <alignment vertical="center"/>
    </xf>
    <xf numFmtId="0" fontId="22" fillId="0" borderId="0" xfId="4" applyFont="1" applyAlignment="1">
      <alignment horizontal="left" vertical="center" wrapText="1" indent="3"/>
    </xf>
    <xf numFmtId="0" fontId="5" fillId="3" borderId="105" xfId="7" applyFont="1" applyFill="1" applyBorder="1" applyAlignment="1">
      <alignment horizontal="center" vertical="center"/>
    </xf>
    <xf numFmtId="0" fontId="5" fillId="3" borderId="106" xfId="7" applyFont="1" applyFill="1" applyBorder="1" applyAlignment="1">
      <alignment horizontal="center" vertical="center"/>
    </xf>
    <xf numFmtId="0" fontId="5" fillId="3" borderId="48" xfId="7" applyFont="1" applyFill="1" applyBorder="1" applyAlignment="1">
      <alignment horizontal="center" vertical="center" wrapText="1"/>
    </xf>
    <xf numFmtId="0" fontId="5" fillId="3" borderId="42" xfId="7" applyFont="1" applyFill="1" applyBorder="1" applyAlignment="1">
      <alignment horizontal="center" vertical="center"/>
    </xf>
    <xf numFmtId="0" fontId="5" fillId="3" borderId="30" xfId="7" applyFont="1" applyFill="1" applyBorder="1" applyAlignment="1">
      <alignment horizontal="center" vertical="center"/>
    </xf>
    <xf numFmtId="0" fontId="6" fillId="0" borderId="30" xfId="7" applyFont="1" applyBorder="1" applyAlignment="1">
      <alignment horizontal="center" vertical="center"/>
    </xf>
    <xf numFmtId="0" fontId="5" fillId="3" borderId="3" xfId="7" applyFont="1" applyFill="1" applyBorder="1" applyAlignment="1">
      <alignment horizontal="center" vertical="center" wrapText="1"/>
    </xf>
    <xf numFmtId="0" fontId="5" fillId="3" borderId="104" xfId="7" applyFont="1" applyFill="1" applyBorder="1" applyAlignment="1">
      <alignment horizontal="center" vertical="center" wrapText="1"/>
    </xf>
    <xf numFmtId="0" fontId="63" fillId="0" borderId="0" xfId="0" applyFont="1" applyAlignment="1">
      <alignment horizontal="left" vertical="top" wrapText="1" readingOrder="1"/>
    </xf>
    <xf numFmtId="0" fontId="63" fillId="0" borderId="0" xfId="0" applyFont="1" applyAlignment="1">
      <alignment horizontal="left" wrapText="1" readingOrder="1"/>
    </xf>
    <xf numFmtId="0" fontId="0" fillId="0" borderId="114" xfId="0" applyBorder="1"/>
    <xf numFmtId="0" fontId="5" fillId="3" borderId="48" xfId="7" applyFont="1" applyFill="1" applyBorder="1" applyAlignment="1">
      <alignment horizontal="center" vertical="center"/>
    </xf>
    <xf numFmtId="0" fontId="7" fillId="0" borderId="0" xfId="0" applyFont="1" applyFill="1" applyAlignment="1">
      <alignment vertical="center" wrapText="1"/>
    </xf>
    <xf numFmtId="0" fontId="0" fillId="0" borderId="0" xfId="0" applyAlignment="1"/>
    <xf numFmtId="0" fontId="7" fillId="0" borderId="0" xfId="0" applyNumberFormat="1" applyFont="1" applyAlignment="1">
      <alignment horizontal="left" vertical="top" wrapText="1"/>
    </xf>
    <xf numFmtId="0" fontId="12" fillId="0" borderId="0" xfId="1" applyFont="1" applyAlignment="1" applyProtection="1">
      <alignment horizontal="center"/>
    </xf>
    <xf numFmtId="0" fontId="7" fillId="0" borderId="0" xfId="4" applyFont="1" applyAlignment="1">
      <alignment horizontal="left" wrapText="1"/>
    </xf>
    <xf numFmtId="0" fontId="5" fillId="3" borderId="52" xfId="7" applyFont="1" applyFill="1" applyBorder="1" applyAlignment="1">
      <alignment horizontal="center" vertical="center" wrapText="1"/>
    </xf>
    <xf numFmtId="0" fontId="5" fillId="3" borderId="131" xfId="7" applyFont="1" applyFill="1" applyBorder="1" applyAlignment="1">
      <alignment horizontal="center" vertical="center" wrapText="1"/>
    </xf>
    <xf numFmtId="0" fontId="5" fillId="3" borderId="132" xfId="7" applyFont="1" applyFill="1" applyBorder="1" applyAlignment="1">
      <alignment horizontal="center" vertical="center" wrapText="1"/>
    </xf>
    <xf numFmtId="0" fontId="0" fillId="0" borderId="133" xfId="0" applyBorder="1"/>
    <xf numFmtId="0" fontId="7" fillId="0" borderId="0" xfId="4" applyFont="1" applyAlignment="1">
      <alignment wrapText="1"/>
    </xf>
    <xf numFmtId="0" fontId="7" fillId="0" borderId="0" xfId="4" applyNumberFormat="1" applyFont="1" applyAlignment="1">
      <alignment vertical="center" wrapText="1"/>
    </xf>
    <xf numFmtId="0" fontId="2" fillId="0" borderId="0" xfId="4" applyAlignment="1">
      <alignment vertical="center" wrapText="1"/>
    </xf>
    <xf numFmtId="0" fontId="10" fillId="0" borderId="0" xfId="4" applyFont="1" applyAlignment="1">
      <alignment horizontal="left" vertical="center" wrapText="1"/>
    </xf>
    <xf numFmtId="0" fontId="22" fillId="0" borderId="0" xfId="4" applyFont="1" applyFill="1" applyAlignment="1">
      <alignment horizontal="left" vertical="center" wrapText="1" indent="4"/>
    </xf>
    <xf numFmtId="0" fontId="64" fillId="0" borderId="87" xfId="4" applyFont="1" applyBorder="1" applyAlignment="1">
      <alignment horizontal="center" vertical="center"/>
    </xf>
    <xf numFmtId="0" fontId="64" fillId="0" borderId="0" xfId="4" applyFont="1" applyBorder="1" applyAlignment="1">
      <alignment horizontal="center" vertical="center"/>
    </xf>
    <xf numFmtId="0" fontId="16" fillId="3" borderId="24" xfId="4" applyFont="1" applyFill="1" applyBorder="1" applyAlignment="1">
      <alignment horizontal="left" vertical="center"/>
    </xf>
    <xf numFmtId="0" fontId="16" fillId="3" borderId="26" xfId="4" applyFont="1" applyFill="1" applyBorder="1" applyAlignment="1">
      <alignment horizontal="left" vertical="center"/>
    </xf>
    <xf numFmtId="0" fontId="16" fillId="3" borderId="86" xfId="4" applyFont="1" applyFill="1" applyBorder="1" applyAlignment="1">
      <alignment horizontal="center" vertical="center" wrapText="1"/>
    </xf>
    <xf numFmtId="0" fontId="16" fillId="3" borderId="25" xfId="4" applyFont="1" applyFill="1" applyBorder="1" applyAlignment="1">
      <alignment horizontal="center" vertical="center" wrapText="1"/>
    </xf>
    <xf numFmtId="0" fontId="16" fillId="3" borderId="41" xfId="4" applyFont="1" applyFill="1" applyBorder="1" applyAlignment="1">
      <alignment horizontal="center" vertical="center" wrapText="1"/>
    </xf>
    <xf numFmtId="0" fontId="2" fillId="3" borderId="100" xfId="4" applyFill="1" applyBorder="1" applyAlignment="1">
      <alignment horizontal="center" wrapText="1"/>
    </xf>
    <xf numFmtId="0" fontId="2" fillId="3" borderId="47" xfId="4" applyFill="1" applyBorder="1" applyAlignment="1">
      <alignment horizontal="center" wrapText="1"/>
    </xf>
    <xf numFmtId="0" fontId="2" fillId="3" borderId="108" xfId="4" applyFill="1" applyBorder="1" applyAlignment="1">
      <alignment horizontal="center" wrapText="1"/>
    </xf>
    <xf numFmtId="0" fontId="2" fillId="3" borderId="110" xfId="4" applyFill="1" applyBorder="1" applyAlignment="1">
      <alignment horizontal="center" wrapText="1"/>
    </xf>
    <xf numFmtId="0" fontId="2" fillId="3" borderId="0" xfId="4" applyFill="1" applyBorder="1" applyAlignment="1">
      <alignment horizontal="center" wrapText="1"/>
    </xf>
    <xf numFmtId="0" fontId="2" fillId="3" borderId="105" xfId="4" applyFill="1" applyBorder="1" applyAlignment="1">
      <alignment horizontal="center" wrapText="1"/>
    </xf>
    <xf numFmtId="0" fontId="16" fillId="3" borderId="25" xfId="4" applyFont="1" applyFill="1" applyBorder="1" applyAlignment="1">
      <alignment horizontal="center" vertical="center"/>
    </xf>
    <xf numFmtId="0" fontId="16" fillId="3" borderId="26" xfId="4" applyFont="1" applyFill="1" applyBorder="1" applyAlignment="1">
      <alignment horizontal="center" vertical="center"/>
    </xf>
    <xf numFmtId="0" fontId="16" fillId="3" borderId="27" xfId="4" applyFont="1" applyFill="1" applyBorder="1" applyAlignment="1">
      <alignment horizontal="center" vertical="center"/>
    </xf>
    <xf numFmtId="0" fontId="16" fillId="3" borderId="107" xfId="4" applyFont="1" applyFill="1" applyBorder="1" applyAlignment="1">
      <alignment horizontal="center" vertical="center"/>
    </xf>
    <xf numFmtId="0" fontId="16" fillId="3" borderId="100" xfId="4" applyNumberFormat="1" applyFont="1" applyFill="1" applyBorder="1" applyAlignment="1">
      <alignment horizontal="center" vertical="center" wrapText="1"/>
    </xf>
    <xf numFmtId="0" fontId="16" fillId="3" borderId="47" xfId="4" applyNumberFormat="1" applyFont="1" applyFill="1" applyBorder="1" applyAlignment="1">
      <alignment horizontal="center" vertical="center" wrapText="1"/>
    </xf>
    <xf numFmtId="0" fontId="16" fillId="3" borderId="108" xfId="4" applyNumberFormat="1" applyFont="1" applyFill="1" applyBorder="1" applyAlignment="1">
      <alignment horizontal="center" vertical="center" wrapText="1"/>
    </xf>
    <xf numFmtId="0" fontId="16" fillId="3" borderId="26" xfId="4" applyNumberFormat="1" applyFont="1" applyFill="1" applyBorder="1" applyAlignment="1">
      <alignment horizontal="center" vertical="center" wrapText="1"/>
    </xf>
    <xf numFmtId="0" fontId="2" fillId="0" borderId="71" xfId="4" applyFill="1" applyBorder="1" applyAlignment="1">
      <alignment horizontal="center"/>
    </xf>
    <xf numFmtId="0" fontId="2" fillId="0" borderId="89" xfId="4" applyFill="1" applyBorder="1" applyAlignment="1">
      <alignment horizontal="center"/>
    </xf>
    <xf numFmtId="0" fontId="2" fillId="0" borderId="67" xfId="4" applyFill="1" applyBorder="1" applyAlignment="1">
      <alignment horizontal="center"/>
    </xf>
    <xf numFmtId="0" fontId="2" fillId="0" borderId="87" xfId="4" applyFill="1" applyBorder="1" applyAlignment="1">
      <alignment horizontal="center" wrapText="1"/>
    </xf>
    <xf numFmtId="0" fontId="2" fillId="0" borderId="0" xfId="4" applyFill="1" applyBorder="1" applyAlignment="1">
      <alignment horizontal="center" wrapText="1"/>
    </xf>
    <xf numFmtId="0" fontId="2" fillId="0" borderId="109" xfId="4" applyFill="1" applyBorder="1" applyAlignment="1">
      <alignment horizontal="center" wrapText="1"/>
    </xf>
    <xf numFmtId="0" fontId="2" fillId="0" borderId="68" xfId="4" applyFill="1" applyBorder="1" applyAlignment="1">
      <alignment horizontal="center" wrapText="1"/>
    </xf>
    <xf numFmtId="0" fontId="2" fillId="0" borderId="46" xfId="4" applyFill="1" applyBorder="1" applyAlignment="1">
      <alignment horizontal="center" wrapText="1"/>
    </xf>
    <xf numFmtId="0" fontId="2" fillId="0" borderId="103" xfId="4" applyFill="1" applyBorder="1" applyAlignment="1">
      <alignment horizontal="center" wrapText="1"/>
    </xf>
    <xf numFmtId="0" fontId="7" fillId="0" borderId="0" xfId="4" applyNumberFormat="1" applyFont="1" applyAlignment="1">
      <alignment wrapText="1"/>
    </xf>
    <xf numFmtId="0" fontId="2" fillId="0" borderId="0" xfId="4" applyFont="1" applyAlignment="1">
      <alignment horizontal="left" vertical="center" wrapText="1"/>
    </xf>
    <xf numFmtId="0" fontId="22" fillId="0" borderId="0" xfId="4" applyFont="1" applyFill="1" applyAlignment="1">
      <alignment horizontal="left" vertical="center" wrapText="1" indent="3"/>
    </xf>
    <xf numFmtId="0" fontId="7" fillId="0" borderId="0" xfId="4" applyNumberFormat="1" applyFont="1" applyAlignment="1">
      <alignment horizontal="left" vertical="center" wrapText="1"/>
    </xf>
    <xf numFmtId="0" fontId="16" fillId="3" borderId="27" xfId="4" applyNumberFormat="1" applyFont="1" applyFill="1" applyBorder="1" applyAlignment="1">
      <alignment horizontal="center" vertical="center" wrapText="1"/>
    </xf>
    <xf numFmtId="0" fontId="2" fillId="0" borderId="71" xfId="4" applyFill="1" applyBorder="1" applyAlignment="1">
      <alignment horizontal="center" vertical="center"/>
    </xf>
    <xf numFmtId="0" fontId="2" fillId="0" borderId="89" xfId="4" applyFill="1" applyBorder="1" applyAlignment="1">
      <alignment horizontal="center" vertical="center"/>
    </xf>
    <xf numFmtId="0" fontId="2" fillId="0" borderId="67" xfId="4" applyFill="1" applyBorder="1" applyAlignment="1">
      <alignment horizontal="center" vertical="center"/>
    </xf>
    <xf numFmtId="0" fontId="2" fillId="0" borderId="0" xfId="4" applyFill="1"/>
    <xf numFmtId="0" fontId="2" fillId="0" borderId="109" xfId="4" applyFill="1" applyBorder="1"/>
    <xf numFmtId="0" fontId="2" fillId="0" borderId="87" xfId="4" applyFill="1" applyBorder="1"/>
    <xf numFmtId="0" fontId="2" fillId="0" borderId="68" xfId="4" applyFill="1" applyBorder="1"/>
    <xf numFmtId="0" fontId="2" fillId="0" borderId="46" xfId="4" applyFill="1" applyBorder="1"/>
    <xf numFmtId="0" fontId="2" fillId="0" borderId="103" xfId="4" applyFill="1" applyBorder="1"/>
    <xf numFmtId="0" fontId="16" fillId="3" borderId="86" xfId="4" applyNumberFormat="1" applyFont="1" applyFill="1" applyBorder="1" applyAlignment="1">
      <alignment horizontal="center" vertical="center" wrapText="1"/>
    </xf>
    <xf numFmtId="0" fontId="16" fillId="3" borderId="41" xfId="4" applyNumberFormat="1" applyFont="1" applyFill="1" applyBorder="1" applyAlignment="1">
      <alignment horizontal="center" vertical="center" wrapText="1"/>
    </xf>
    <xf numFmtId="0" fontId="16" fillId="3" borderId="25" xfId="4" applyNumberFormat="1" applyFont="1" applyFill="1" applyBorder="1" applyAlignment="1">
      <alignment horizontal="center" vertical="center" wrapText="1"/>
    </xf>
    <xf numFmtId="0" fontId="2" fillId="0" borderId="47" xfId="4" applyBorder="1"/>
    <xf numFmtId="0" fontId="2" fillId="0" borderId="108" xfId="4" applyBorder="1"/>
    <xf numFmtId="0" fontId="2" fillId="0" borderId="110" xfId="4" applyBorder="1"/>
    <xf numFmtId="0" fontId="2" fillId="0" borderId="0" xfId="4"/>
    <xf numFmtId="0" fontId="2" fillId="0" borderId="105" xfId="4" applyBorder="1"/>
    <xf numFmtId="0" fontId="7" fillId="0" borderId="0" xfId="4" applyFont="1" applyFill="1" applyAlignment="1">
      <alignment horizontal="left" vertical="center" wrapText="1"/>
    </xf>
    <xf numFmtId="0" fontId="6" fillId="0" borderId="0" xfId="7" applyFont="1" applyAlignment="1">
      <alignment wrapText="1"/>
    </xf>
    <xf numFmtId="0" fontId="13" fillId="0" borderId="0" xfId="4" applyFont="1" applyAlignment="1">
      <alignment horizontal="left" vertical="center" wrapText="1"/>
    </xf>
    <xf numFmtId="0" fontId="5" fillId="3" borderId="30" xfId="6" applyFont="1" applyFill="1" applyBorder="1" applyAlignment="1">
      <alignment horizontal="center" vertical="center"/>
    </xf>
    <xf numFmtId="0" fontId="5" fillId="3" borderId="3" xfId="6" applyFont="1" applyFill="1" applyBorder="1" applyAlignment="1">
      <alignment horizontal="center" vertical="center" wrapText="1"/>
    </xf>
    <xf numFmtId="0" fontId="5" fillId="3" borderId="104" xfId="6" applyFont="1" applyFill="1" applyBorder="1" applyAlignment="1">
      <alignment horizontal="center" vertical="center" wrapText="1"/>
    </xf>
    <xf numFmtId="0" fontId="5" fillId="3" borderId="105" xfId="6" applyFont="1" applyFill="1" applyBorder="1" applyAlignment="1">
      <alignment horizontal="center" vertical="center"/>
    </xf>
    <xf numFmtId="0" fontId="5" fillId="3" borderId="106" xfId="6" applyFont="1" applyFill="1" applyBorder="1" applyAlignment="1">
      <alignment horizontal="center" vertical="center"/>
    </xf>
    <xf numFmtId="0" fontId="5" fillId="3" borderId="48" xfId="6" applyFont="1" applyFill="1" applyBorder="1" applyAlignment="1">
      <alignment horizontal="center" vertical="center"/>
    </xf>
    <xf numFmtId="0" fontId="5" fillId="3" borderId="42" xfId="6" applyFont="1" applyFill="1" applyBorder="1" applyAlignment="1">
      <alignment horizontal="center" vertical="center"/>
    </xf>
    <xf numFmtId="0" fontId="6" fillId="0" borderId="30" xfId="6" applyFont="1" applyBorder="1" applyAlignment="1">
      <alignment horizontal="center" vertical="center"/>
    </xf>
    <xf numFmtId="0" fontId="7" fillId="0" borderId="0" xfId="4" applyNumberFormat="1" applyFont="1" applyFill="1" applyBorder="1" applyAlignment="1">
      <alignment wrapText="1"/>
    </xf>
    <xf numFmtId="0" fontId="16" fillId="3" borderId="92" xfId="4" applyNumberFormat="1" applyFont="1" applyFill="1" applyBorder="1" applyAlignment="1">
      <alignment horizontal="center" vertical="center" wrapText="1"/>
    </xf>
    <xf numFmtId="0" fontId="16" fillId="3" borderId="107" xfId="4" applyFont="1" applyFill="1" applyBorder="1" applyAlignment="1">
      <alignment horizontal="left" vertical="center"/>
    </xf>
    <xf numFmtId="0" fontId="16" fillId="3" borderId="25" xfId="4" applyFont="1" applyFill="1" applyBorder="1" applyAlignment="1">
      <alignment horizontal="left" vertical="center"/>
    </xf>
    <xf numFmtId="0" fontId="16" fillId="3" borderId="26" xfId="4" applyFont="1" applyFill="1" applyBorder="1" applyAlignment="1">
      <alignment horizontal="center" vertical="center" wrapText="1"/>
    </xf>
    <xf numFmtId="0" fontId="16" fillId="3" borderId="27" xfId="4" applyFont="1" applyFill="1" applyBorder="1" applyAlignment="1">
      <alignment horizontal="center" vertical="center" wrapText="1"/>
    </xf>
    <xf numFmtId="0" fontId="18" fillId="0" borderId="87" xfId="4" applyFont="1" applyBorder="1" applyAlignment="1">
      <alignment horizontal="center" vertical="center" wrapText="1"/>
    </xf>
    <xf numFmtId="0" fontId="18" fillId="0" borderId="0" xfId="4" applyFont="1" applyBorder="1" applyAlignment="1">
      <alignment horizontal="center" vertical="center" wrapText="1"/>
    </xf>
    <xf numFmtId="0" fontId="16" fillId="3" borderId="24" xfId="4" applyFont="1" applyFill="1" applyBorder="1" applyAlignment="1">
      <alignment horizontal="center" vertical="center"/>
    </xf>
    <xf numFmtId="167" fontId="2" fillId="0" borderId="68" xfId="4" applyNumberFormat="1" applyFill="1" applyBorder="1" applyAlignment="1">
      <alignment horizontal="center" wrapText="1"/>
    </xf>
    <xf numFmtId="167" fontId="2" fillId="0" borderId="46" xfId="4" applyNumberFormat="1" applyFill="1" applyBorder="1" applyAlignment="1">
      <alignment horizontal="center" wrapText="1"/>
    </xf>
    <xf numFmtId="167" fontId="2" fillId="0" borderId="103" xfId="4" applyNumberFormat="1" applyFill="1" applyBorder="1" applyAlignment="1">
      <alignment horizontal="center" wrapText="1"/>
    </xf>
    <xf numFmtId="167" fontId="2" fillId="0" borderId="55" xfId="4" applyNumberFormat="1" applyFill="1" applyBorder="1" applyAlignment="1">
      <alignment horizontal="center" wrapText="1"/>
    </xf>
    <xf numFmtId="0" fontId="0" fillId="0" borderId="20" xfId="0" applyBorder="1"/>
    <xf numFmtId="0" fontId="5" fillId="3" borderId="34" xfId="4" applyFont="1" applyFill="1" applyBorder="1" applyAlignment="1">
      <alignment horizontal="center" vertical="center" wrapText="1"/>
    </xf>
    <xf numFmtId="0" fontId="5" fillId="3" borderId="51" xfId="4" applyFont="1" applyFill="1" applyBorder="1" applyAlignment="1">
      <alignment horizontal="center" vertical="center" wrapText="1"/>
    </xf>
    <xf numFmtId="0" fontId="5" fillId="3" borderId="111" xfId="4" applyFont="1" applyFill="1" applyBorder="1" applyAlignment="1">
      <alignment horizontal="center" vertical="center" wrapText="1"/>
    </xf>
    <xf numFmtId="0" fontId="7" fillId="0" borderId="0" xfId="5" applyFont="1" applyFill="1" applyAlignment="1">
      <alignment horizontal="left" vertical="center" wrapText="1"/>
    </xf>
    <xf numFmtId="0" fontId="58" fillId="0" borderId="0" xfId="0" applyNumberFormat="1" applyFont="1" applyAlignment="1">
      <alignment vertical="center" wrapText="1"/>
    </xf>
    <xf numFmtId="0" fontId="60" fillId="0" borderId="0" xfId="0" applyFont="1" applyAlignment="1">
      <alignment vertical="center" wrapText="1"/>
    </xf>
    <xf numFmtId="0" fontId="58" fillId="0" borderId="0" xfId="4" applyFont="1" applyAlignment="1">
      <alignment horizontal="left" wrapText="1"/>
    </xf>
    <xf numFmtId="0" fontId="12" fillId="0" borderId="0" xfId="1" applyFont="1" applyAlignment="1" applyProtection="1">
      <alignment horizontal="right" vertical="center"/>
    </xf>
    <xf numFmtId="0" fontId="58" fillId="0" borderId="0" xfId="0" applyNumberFormat="1" applyFont="1" applyAlignment="1">
      <alignment wrapText="1"/>
    </xf>
    <xf numFmtId="0" fontId="60" fillId="0" borderId="0" xfId="0" applyFont="1" applyAlignment="1">
      <alignment wrapText="1"/>
    </xf>
    <xf numFmtId="0" fontId="58" fillId="0" borderId="0" xfId="0" applyFont="1" applyAlignment="1">
      <alignment wrapText="1"/>
    </xf>
    <xf numFmtId="0" fontId="7" fillId="0" borderId="0" xfId="4" applyFont="1" applyFill="1" applyBorder="1" applyAlignment="1">
      <alignment horizontal="left" wrapText="1"/>
    </xf>
    <xf numFmtId="0" fontId="12" fillId="0" borderId="0" xfId="1" applyFont="1" applyAlignment="1" applyProtection="1">
      <alignment horizontal="right" wrapText="1"/>
    </xf>
    <xf numFmtId="0" fontId="7" fillId="0" borderId="0" xfId="4" applyFont="1" applyFill="1" applyBorder="1" applyAlignment="1">
      <alignment wrapText="1"/>
    </xf>
    <xf numFmtId="0" fontId="0" fillId="0" borderId="0" xfId="0" applyFont="1" applyAlignment="1">
      <alignment wrapText="1"/>
    </xf>
    <xf numFmtId="0" fontId="6" fillId="0" borderId="0" xfId="0" applyFont="1" applyAlignment="1">
      <alignment horizontal="left" vertical="center" wrapText="1"/>
    </xf>
    <xf numFmtId="0" fontId="34" fillId="0" borderId="0" xfId="0" applyFont="1" applyAlignment="1">
      <alignment horizontal="left" vertical="center" wrapText="1"/>
    </xf>
    <xf numFmtId="0" fontId="6" fillId="0" borderId="0" xfId="0" applyNumberFormat="1" applyFont="1" applyAlignment="1">
      <alignment horizontal="left" vertical="center" wrapText="1"/>
    </xf>
    <xf numFmtId="0" fontId="7" fillId="0" borderId="0" xfId="4" applyNumberFormat="1" applyFont="1" applyAlignment="1">
      <alignment horizontal="left" wrapText="1"/>
    </xf>
    <xf numFmtId="0" fontId="16" fillId="3" borderId="41" xfId="4" applyFont="1" applyFill="1" applyBorder="1" applyAlignment="1">
      <alignment horizontal="center" vertical="center"/>
    </xf>
    <xf numFmtId="0" fontId="2" fillId="0" borderId="109" xfId="4" applyFill="1" applyBorder="1" applyAlignment="1">
      <alignment horizontal="center" vertical="center" wrapText="1"/>
    </xf>
    <xf numFmtId="0" fontId="2" fillId="0" borderId="103" xfId="4" applyFill="1" applyBorder="1" applyAlignment="1">
      <alignment horizontal="center" vertical="center" wrapText="1"/>
    </xf>
    <xf numFmtId="0" fontId="50" fillId="0" borderId="87" xfId="4" applyFont="1" applyBorder="1" applyAlignment="1">
      <alignment horizontal="center" vertical="center"/>
    </xf>
    <xf numFmtId="0" fontId="50" fillId="0" borderId="0" xfId="4" applyFont="1" applyBorder="1" applyAlignment="1">
      <alignment horizontal="center" vertical="center"/>
    </xf>
    <xf numFmtId="0" fontId="7" fillId="0" borderId="46" xfId="4" applyNumberFormat="1" applyFont="1" applyBorder="1" applyAlignment="1">
      <alignment horizontal="left" vertical="top" wrapText="1"/>
    </xf>
    <xf numFmtId="0" fontId="22" fillId="0" borderId="0" xfId="4" applyFont="1" applyAlignment="1">
      <alignment horizontal="left" vertical="top" wrapText="1" indent="3"/>
    </xf>
    <xf numFmtId="0" fontId="2" fillId="0" borderId="0" xfId="4" applyAlignment="1">
      <alignment horizontal="left"/>
    </xf>
    <xf numFmtId="0" fontId="16" fillId="3" borderId="86" xfId="4" applyNumberFormat="1" applyFont="1" applyFill="1" applyBorder="1" applyAlignment="1">
      <alignment horizontal="center" vertical="center"/>
    </xf>
    <xf numFmtId="0" fontId="16" fillId="3" borderId="41" xfId="4" applyNumberFormat="1" applyFont="1" applyFill="1" applyBorder="1" applyAlignment="1">
      <alignment horizontal="center" vertical="center"/>
    </xf>
    <xf numFmtId="0" fontId="16" fillId="3" borderId="25" xfId="4" applyNumberFormat="1" applyFont="1" applyFill="1" applyBorder="1" applyAlignment="1">
      <alignment horizontal="center" vertical="center"/>
    </xf>
    <xf numFmtId="0" fontId="3" fillId="0" borderId="0" xfId="5" applyFont="1" applyAlignment="1">
      <alignment horizontal="left"/>
    </xf>
    <xf numFmtId="0" fontId="12" fillId="0" borderId="0" xfId="1" applyFont="1" applyAlignment="1" applyProtection="1">
      <alignment horizontal="center" vertical="center" wrapText="1"/>
    </xf>
    <xf numFmtId="0" fontId="39" fillId="3" borderId="26" xfId="5" applyNumberFormat="1" applyFont="1" applyFill="1" applyBorder="1" applyAlignment="1">
      <alignment horizontal="center" vertical="center" wrapText="1"/>
    </xf>
    <xf numFmtId="0" fontId="39" fillId="3" borderId="86" xfId="5" applyNumberFormat="1" applyFont="1" applyFill="1" applyBorder="1" applyAlignment="1">
      <alignment horizontal="center" vertical="center" wrapText="1"/>
    </xf>
    <xf numFmtId="0" fontId="39" fillId="3" borderId="25" xfId="5" applyNumberFormat="1" applyFont="1" applyFill="1" applyBorder="1" applyAlignment="1">
      <alignment horizontal="center" vertical="center" wrapText="1"/>
    </xf>
    <xf numFmtId="0" fontId="36" fillId="0" borderId="87" xfId="5" applyFont="1" applyBorder="1" applyAlignment="1">
      <alignment horizontal="center" vertical="center"/>
    </xf>
    <xf numFmtId="0" fontId="36" fillId="0" borderId="0" xfId="5" applyFont="1" applyBorder="1" applyAlignment="1">
      <alignment horizontal="center" vertical="center"/>
    </xf>
    <xf numFmtId="0" fontId="36" fillId="0" borderId="71" xfId="5" applyFill="1" applyBorder="1" applyAlignment="1">
      <alignment horizontal="center"/>
    </xf>
    <xf numFmtId="0" fontId="36" fillId="0" borderId="89" xfId="5" applyFill="1" applyBorder="1" applyAlignment="1">
      <alignment horizontal="center"/>
    </xf>
    <xf numFmtId="0" fontId="36" fillId="0" borderId="67" xfId="5" applyFill="1" applyBorder="1" applyAlignment="1">
      <alignment horizontal="center"/>
    </xf>
    <xf numFmtId="0" fontId="36" fillId="0" borderId="87" xfId="5" applyFill="1" applyBorder="1" applyAlignment="1">
      <alignment horizontal="center" wrapText="1"/>
    </xf>
    <xf numFmtId="0" fontId="36" fillId="0" borderId="0" xfId="5" applyFill="1" applyBorder="1" applyAlignment="1">
      <alignment horizontal="center" wrapText="1"/>
    </xf>
    <xf numFmtId="0" fontId="36" fillId="0" borderId="109" xfId="5" applyFill="1" applyBorder="1" applyAlignment="1">
      <alignment horizontal="center" wrapText="1"/>
    </xf>
    <xf numFmtId="0" fontId="36" fillId="0" borderId="68" xfId="5" applyFill="1" applyBorder="1" applyAlignment="1">
      <alignment horizontal="center" wrapText="1"/>
    </xf>
    <xf numFmtId="0" fontId="36" fillId="0" borderId="46" xfId="5" applyFill="1" applyBorder="1" applyAlignment="1">
      <alignment horizontal="center" wrapText="1"/>
    </xf>
    <xf numFmtId="0" fontId="36" fillId="0" borderId="103" xfId="5" applyFill="1" applyBorder="1" applyAlignment="1">
      <alignment horizontal="center" wrapText="1"/>
    </xf>
    <xf numFmtId="0" fontId="42" fillId="0" borderId="49" xfId="5" applyFont="1" applyFill="1" applyBorder="1" applyAlignment="1">
      <alignment horizontal="center" wrapText="1"/>
    </xf>
    <xf numFmtId="0" fontId="42" fillId="0" borderId="93" xfId="5" applyFont="1" applyFill="1" applyBorder="1" applyAlignment="1">
      <alignment horizontal="center" wrapText="1"/>
    </xf>
    <xf numFmtId="0" fontId="42" fillId="0" borderId="39" xfId="5" applyFont="1" applyFill="1" applyBorder="1" applyAlignment="1">
      <alignment horizontal="center" wrapText="1"/>
    </xf>
    <xf numFmtId="0" fontId="42" fillId="0" borderId="113" xfId="5" applyFont="1" applyFill="1" applyBorder="1" applyAlignment="1">
      <alignment horizontal="center" wrapText="1"/>
    </xf>
    <xf numFmtId="0" fontId="16" fillId="3" borderId="107" xfId="5" applyFont="1" applyFill="1" applyBorder="1" applyAlignment="1">
      <alignment horizontal="left" vertical="center"/>
    </xf>
    <xf numFmtId="0" fontId="16" fillId="3" borderId="25" xfId="5" applyFont="1" applyFill="1" applyBorder="1" applyAlignment="1">
      <alignment horizontal="left" vertical="center"/>
    </xf>
    <xf numFmtId="0" fontId="16" fillId="3" borderId="86" xfId="5" applyFont="1" applyFill="1" applyBorder="1" applyAlignment="1">
      <alignment horizontal="center" vertical="center" wrapText="1"/>
    </xf>
    <xf numFmtId="0" fontId="16" fillId="3" borderId="25" xfId="5" applyFont="1" applyFill="1" applyBorder="1" applyAlignment="1">
      <alignment horizontal="center" vertical="center" wrapText="1"/>
    </xf>
    <xf numFmtId="0" fontId="16" fillId="3" borderId="41" xfId="5" applyFont="1" applyFill="1" applyBorder="1" applyAlignment="1">
      <alignment horizontal="center" vertical="center" wrapText="1"/>
    </xf>
    <xf numFmtId="0" fontId="36" fillId="3" borderId="100" xfId="5" applyFill="1" applyBorder="1" applyAlignment="1">
      <alignment horizontal="center" wrapText="1"/>
    </xf>
    <xf numFmtId="0" fontId="36" fillId="3" borderId="47" xfId="5" applyFill="1" applyBorder="1" applyAlignment="1">
      <alignment horizontal="center" wrapText="1"/>
    </xf>
    <xf numFmtId="0" fontId="36" fillId="3" borderId="108" xfId="5" applyFill="1" applyBorder="1" applyAlignment="1">
      <alignment horizontal="center" wrapText="1"/>
    </xf>
    <xf numFmtId="0" fontId="36" fillId="3" borderId="110" xfId="5" applyFill="1" applyBorder="1" applyAlignment="1">
      <alignment horizontal="center" wrapText="1"/>
    </xf>
    <xf numFmtId="0" fontId="36" fillId="3" borderId="0" xfId="5" applyFill="1" applyBorder="1" applyAlignment="1">
      <alignment horizontal="center" wrapText="1"/>
    </xf>
    <xf numFmtId="0" fontId="36" fillId="3" borderId="105" xfId="5" applyFill="1" applyBorder="1" applyAlignment="1">
      <alignment horizontal="center" wrapText="1"/>
    </xf>
    <xf numFmtId="0" fontId="36" fillId="0" borderId="110" xfId="5" applyFont="1" applyBorder="1" applyAlignment="1">
      <alignment horizontal="center" vertical="center"/>
    </xf>
    <xf numFmtId="0" fontId="42" fillId="0" borderId="86" xfId="5" applyFont="1" applyFill="1" applyBorder="1" applyAlignment="1">
      <alignment horizontal="center" wrapText="1"/>
    </xf>
    <xf numFmtId="0" fontId="42" fillId="0" borderId="92" xfId="5" applyFont="1" applyFill="1" applyBorder="1" applyAlignment="1">
      <alignment horizontal="center" wrapText="1"/>
    </xf>
    <xf numFmtId="0" fontId="39" fillId="3" borderId="24" xfId="5" applyFont="1" applyFill="1" applyBorder="1" applyAlignment="1">
      <alignment horizontal="center" vertical="center"/>
    </xf>
    <xf numFmtId="0" fontId="39" fillId="3" borderId="26" xfId="5" applyFont="1" applyFill="1" applyBorder="1" applyAlignment="1">
      <alignment horizontal="center" vertical="center"/>
    </xf>
    <xf numFmtId="0" fontId="40" fillId="3" borderId="71" xfId="5" applyFont="1" applyFill="1" applyBorder="1" applyAlignment="1">
      <alignment horizontal="center" vertical="center" wrapText="1"/>
    </xf>
    <xf numFmtId="0" fontId="40" fillId="3" borderId="112" xfId="5" applyFont="1" applyFill="1" applyBorder="1" applyAlignment="1">
      <alignment horizontal="center" vertical="center" wrapText="1"/>
    </xf>
    <xf numFmtId="0" fontId="40" fillId="3" borderId="67" xfId="5" applyFont="1" applyFill="1" applyBorder="1" applyAlignment="1">
      <alignment horizontal="center" vertical="center" wrapText="1"/>
    </xf>
    <xf numFmtId="0" fontId="40" fillId="3" borderId="21" xfId="5" applyFont="1" applyFill="1" applyBorder="1" applyAlignment="1">
      <alignment horizontal="center" vertical="center" wrapText="1"/>
    </xf>
    <xf numFmtId="0" fontId="22" fillId="0" borderId="0" xfId="4" applyFont="1" applyFill="1" applyAlignment="1">
      <alignment horizontal="left" vertical="center" wrapText="1" indent="5"/>
    </xf>
    <xf numFmtId="0" fontId="68" fillId="8" borderId="116" xfId="0" applyFont="1" applyFill="1" applyBorder="1" applyAlignment="1">
      <alignment horizontal="center" vertical="center" wrapText="1"/>
    </xf>
    <xf numFmtId="0" fontId="68" fillId="8" borderId="117" xfId="0" applyFont="1" applyFill="1" applyBorder="1" applyAlignment="1">
      <alignment horizontal="center" vertical="center" wrapText="1"/>
    </xf>
    <xf numFmtId="0" fontId="76" fillId="0" borderId="0" xfId="0" applyNumberFormat="1" applyFont="1" applyAlignment="1">
      <alignment horizontal="left" wrapText="1"/>
    </xf>
    <xf numFmtId="0" fontId="76" fillId="0" borderId="0" xfId="0" applyFont="1" applyAlignment="1">
      <alignment horizontal="left" vertical="top" wrapText="1"/>
    </xf>
    <xf numFmtId="0" fontId="76" fillId="0" borderId="0" xfId="0" applyFont="1" applyAlignment="1">
      <alignment horizontal="left" wrapText="1"/>
    </xf>
    <xf numFmtId="0" fontId="78" fillId="8" borderId="116" xfId="0" applyFont="1" applyFill="1" applyBorder="1" applyAlignment="1">
      <alignment horizontal="center" vertical="center"/>
    </xf>
    <xf numFmtId="0" fontId="78" fillId="8" borderId="117" xfId="0" applyFont="1" applyFill="1" applyBorder="1" applyAlignment="1">
      <alignment horizontal="center" vertical="center"/>
    </xf>
    <xf numFmtId="0" fontId="22" fillId="0" borderId="0" xfId="4" applyFont="1" applyAlignment="1">
      <alignment horizontal="left" vertical="center" wrapText="1"/>
    </xf>
  </cellXfs>
  <cellStyles count="10">
    <cellStyle name="Hyperlink" xfId="1" builtinId="8"/>
    <cellStyle name="Hyperlink 2" xfId="2"/>
    <cellStyle name="Hyperlink 3" xfId="3"/>
    <cellStyle name="Normal" xfId="0" builtinId="0"/>
    <cellStyle name="Normal 2" xfId="4"/>
    <cellStyle name="Normal 3" xfId="5"/>
    <cellStyle name="Normal 3 2" xfId="9"/>
    <cellStyle name="Normal 4" xfId="8"/>
    <cellStyle name="Normal_chart3" xfId="6"/>
    <cellStyle name="Normal_chart3 2" xfId="7"/>
  </cellStyles>
  <dxfs count="31">
    <dxf>
      <font>
        <color auto="1"/>
      </font>
      <numFmt numFmtId="1" formatCode="0"/>
      <fill>
        <patternFill patternType="none">
          <bgColor auto="1"/>
        </patternFill>
      </fill>
    </dxf>
    <dxf>
      <numFmt numFmtId="166" formatCode="0.0"/>
    </dxf>
    <dxf>
      <numFmt numFmtId="166" formatCode="0.0"/>
    </dxf>
    <dxf>
      <numFmt numFmtId="166" formatCode="0.0"/>
    </dxf>
    <dxf>
      <font>
        <color theme="0" tint="-0.24994659260841701"/>
      </font>
    </dxf>
    <dxf>
      <font>
        <color auto="1"/>
      </font>
      <numFmt numFmtId="1" formatCode="0"/>
      <fill>
        <patternFill patternType="none">
          <bgColor auto="1"/>
        </patternFill>
      </fill>
    </dxf>
    <dxf>
      <numFmt numFmtId="166" formatCode="0.0"/>
    </dxf>
    <dxf>
      <numFmt numFmtId="166" formatCode="0.0"/>
    </dxf>
    <dxf>
      <numFmt numFmtId="166" formatCode="0.0"/>
    </dxf>
    <dxf>
      <font>
        <color theme="0" tint="-0.24994659260841701"/>
      </font>
    </dxf>
    <dxf>
      <fill>
        <patternFill>
          <bgColor rgb="FFFF0000"/>
        </patternFill>
      </fill>
    </dxf>
    <dxf>
      <fill>
        <patternFill>
          <bgColor rgb="FFFFC000"/>
        </patternFill>
      </fill>
    </dxf>
    <dxf>
      <fill>
        <patternFill>
          <bgColor rgb="FF92D05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
      <fill>
        <patternFill>
          <bgColor theme="6"/>
        </patternFill>
      </fill>
    </dxf>
    <dxf>
      <fill>
        <patternFill>
          <bgColor rgb="FFFFC000"/>
        </patternFill>
      </fill>
    </dxf>
    <dxf>
      <fill>
        <patternFill>
          <bgColor rgb="FFFF0000"/>
        </patternFill>
      </fill>
    </dxf>
  </dxfs>
  <tableStyles count="0" defaultTableStyle="TableStyleMedium9" defaultPivotStyle="PivotStyleLight16"/>
  <colors>
    <mruColors>
      <color rgb="FFDBE5F1"/>
      <color rgb="FFCCFFFF"/>
      <color rgb="FF008000"/>
      <color rgb="FF99CC00"/>
      <color rgb="FFFFC000"/>
      <color rgb="FFA6A6A6"/>
      <color rgb="FFFFE29B"/>
      <color rgb="FFFFFCCC"/>
      <color rgb="FF993366"/>
      <color rgb="FF969696"/>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1a DATA'!$A$3</c:f>
              <c:strCache>
                <c:ptCount val="1"/>
                <c:pt idx="0">
                  <c:v>Scotland (+s)</c:v>
                </c:pt>
              </c:strCache>
            </c:strRef>
          </c:tx>
          <c:spPr>
            <a:ln w="63500">
              <a:solidFill>
                <a:schemeClr val="tx1"/>
              </a:solidFill>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DATA'!$L$3:$P$3</c:f>
              <c:numCache>
                <c:formatCode>0</c:formatCode>
                <c:ptCount val="5"/>
                <c:pt idx="0">
                  <c:v>43.974284044418468</c:v>
                </c:pt>
                <c:pt idx="1">
                  <c:v>49.821045096635643</c:v>
                </c:pt>
                <c:pt idx="2">
                  <c:v>59.211106214191275</c:v>
                </c:pt>
                <c:pt idx="3">
                  <c:v>66.367049721242466</c:v>
                </c:pt>
                <c:pt idx="4">
                  <c:v>69.334975369458135</c:v>
                </c:pt>
              </c:numCache>
            </c:numRef>
          </c:val>
        </c:ser>
        <c:ser>
          <c:idx val="0"/>
          <c:order val="1"/>
          <c:tx>
            <c:strRef>
              <c:f>'Chart 1a DATA'!$A$4</c:f>
              <c:strCache>
                <c:ptCount val="1"/>
                <c:pt idx="0">
                  <c:v>Ayrshire &amp; Arran (+s)</c:v>
                </c:pt>
              </c:strCache>
            </c:strRef>
          </c:tx>
          <c:spPr>
            <a:ln w="19050"/>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DATA'!$L$4:$P$4</c:f>
              <c:numCache>
                <c:formatCode>0</c:formatCode>
                <c:ptCount val="5"/>
                <c:pt idx="0">
                  <c:v>47.64331210191083</c:v>
                </c:pt>
                <c:pt idx="1">
                  <c:v>55.136540962288684</c:v>
                </c:pt>
                <c:pt idx="2">
                  <c:v>64.981504315659677</c:v>
                </c:pt>
                <c:pt idx="3">
                  <c:v>72.077922077922068</c:v>
                </c:pt>
                <c:pt idx="4">
                  <c:v>72.315653298835699</c:v>
                </c:pt>
              </c:numCache>
            </c:numRef>
          </c:val>
        </c:ser>
        <c:ser>
          <c:idx val="2"/>
          <c:order val="2"/>
          <c:tx>
            <c:strRef>
              <c:f>'Chart 1a DATA'!$A$5</c:f>
              <c:strCache>
                <c:ptCount val="1"/>
                <c:pt idx="0">
                  <c:v>Borders (+s)</c:v>
                </c:pt>
              </c:strCache>
            </c:strRef>
          </c:tx>
          <c:spPr>
            <a:ln w="38100">
              <a:prstDash val="sysDot"/>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DATA'!$L$5:$P$5</c:f>
              <c:numCache>
                <c:formatCode>0</c:formatCode>
                <c:ptCount val="5"/>
                <c:pt idx="0">
                  <c:v>51.86915887850467</c:v>
                </c:pt>
                <c:pt idx="1">
                  <c:v>66.331658291457288</c:v>
                </c:pt>
                <c:pt idx="2">
                  <c:v>81.904761904761898</c:v>
                </c:pt>
                <c:pt idx="3">
                  <c:v>87.684729064039416</c:v>
                </c:pt>
                <c:pt idx="4">
                  <c:v>85.645933014354071</c:v>
                </c:pt>
              </c:numCache>
            </c:numRef>
          </c:val>
        </c:ser>
        <c:ser>
          <c:idx val="3"/>
          <c:order val="3"/>
          <c:tx>
            <c:strRef>
              <c:f>'Chart 1a DATA'!$A$6</c:f>
              <c:strCache>
                <c:ptCount val="1"/>
                <c:pt idx="0">
                  <c:v>Dumfries &amp; Galloway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DATA'!$L$6:$P$6</c:f>
              <c:numCache>
                <c:formatCode>0</c:formatCode>
                <c:ptCount val="5"/>
                <c:pt idx="0">
                  <c:v>54.583333333333329</c:v>
                </c:pt>
                <c:pt idx="1">
                  <c:v>62.5</c:v>
                </c:pt>
                <c:pt idx="2">
                  <c:v>70.205479452054803</c:v>
                </c:pt>
                <c:pt idx="3">
                  <c:v>73.646209386281598</c:v>
                </c:pt>
                <c:pt idx="4">
                  <c:v>80.859375</c:v>
                </c:pt>
              </c:numCache>
            </c:numRef>
          </c:val>
        </c:ser>
        <c:ser>
          <c:idx val="4"/>
          <c:order val="4"/>
          <c:tx>
            <c:strRef>
              <c:f>'Chart 1a DATA'!$A$7</c:f>
              <c:strCache>
                <c:ptCount val="1"/>
                <c:pt idx="0">
                  <c:v>Fife (+s)</c:v>
                </c:pt>
              </c:strCache>
            </c:strRef>
          </c:tx>
          <c:spPr>
            <a:ln>
              <a:prstDash val="dash"/>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DATA'!$L$7:$P$7</c:f>
              <c:numCache>
                <c:formatCode>0</c:formatCode>
                <c:ptCount val="5"/>
                <c:pt idx="0">
                  <c:v>51.582867783985101</c:v>
                </c:pt>
                <c:pt idx="1">
                  <c:v>53.860294117647058</c:v>
                </c:pt>
                <c:pt idx="2">
                  <c:v>71.921182266009851</c:v>
                </c:pt>
                <c:pt idx="3">
                  <c:v>77.172061328790463</c:v>
                </c:pt>
                <c:pt idx="4">
                  <c:v>78.287461773700301</c:v>
                </c:pt>
              </c:numCache>
            </c:numRef>
          </c:val>
        </c:ser>
        <c:ser>
          <c:idx val="5"/>
          <c:order val="5"/>
          <c:tx>
            <c:strRef>
              <c:f>'Chart 1a DATA'!$A$8</c:f>
              <c:strCache>
                <c:ptCount val="1"/>
                <c:pt idx="0">
                  <c:v>Forth Valley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DATA'!$L$8:$P$8</c:f>
              <c:numCache>
                <c:formatCode>0</c:formatCode>
                <c:ptCount val="5"/>
                <c:pt idx="0">
                  <c:v>35.701275045537336</c:v>
                </c:pt>
                <c:pt idx="1">
                  <c:v>61.084905660377352</c:v>
                </c:pt>
                <c:pt idx="2">
                  <c:v>61.306532663316581</c:v>
                </c:pt>
                <c:pt idx="3">
                  <c:v>77.354260089686093</c:v>
                </c:pt>
                <c:pt idx="4">
                  <c:v>73.040152963671119</c:v>
                </c:pt>
              </c:numCache>
            </c:numRef>
          </c:val>
        </c:ser>
        <c:ser>
          <c:idx val="6"/>
          <c:order val="6"/>
          <c:tx>
            <c:strRef>
              <c:f>'Chart 1a DATA'!$A$9</c:f>
              <c:strCache>
                <c:ptCount val="1"/>
                <c:pt idx="0">
                  <c:v>Grampian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DATA'!$L$9:$P$9</c:f>
              <c:numCache>
                <c:formatCode>0</c:formatCode>
                <c:ptCount val="5"/>
                <c:pt idx="0">
                  <c:v>49.323308270676691</c:v>
                </c:pt>
                <c:pt idx="1">
                  <c:v>57.585139318885446</c:v>
                </c:pt>
                <c:pt idx="2">
                  <c:v>64.296520423600597</c:v>
                </c:pt>
                <c:pt idx="3">
                  <c:v>69.716088328075713</c:v>
                </c:pt>
                <c:pt idx="4">
                  <c:v>71.333333333333343</c:v>
                </c:pt>
              </c:numCache>
            </c:numRef>
          </c:val>
        </c:ser>
        <c:ser>
          <c:idx val="7"/>
          <c:order val="7"/>
          <c:tx>
            <c:strRef>
              <c:f>'Chart 1a DATA'!$A$10</c:f>
              <c:strCache>
                <c:ptCount val="1"/>
                <c:pt idx="0">
                  <c:v>Greater Glasgow &amp; Clyde (+s)</c:v>
                </c:pt>
              </c:strCache>
            </c:strRef>
          </c:tx>
          <c:spPr>
            <a:ln>
              <a:solidFill>
                <a:srgbClr val="C00000"/>
              </a:solidFill>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DATA'!$L$10:$P$10</c:f>
              <c:numCache>
                <c:formatCode>0</c:formatCode>
                <c:ptCount val="5"/>
                <c:pt idx="0">
                  <c:v>34.902807775377973</c:v>
                </c:pt>
                <c:pt idx="1">
                  <c:v>36.431504292646508</c:v>
                </c:pt>
                <c:pt idx="2">
                  <c:v>47.167755991285404</c:v>
                </c:pt>
                <c:pt idx="3">
                  <c:v>59.090909090909093</c:v>
                </c:pt>
                <c:pt idx="4">
                  <c:v>67.673469387755105</c:v>
                </c:pt>
              </c:numCache>
            </c:numRef>
          </c:val>
        </c:ser>
        <c:ser>
          <c:idx val="8"/>
          <c:order val="8"/>
          <c:tx>
            <c:strRef>
              <c:f>'Chart 1a DATA'!$A$11</c:f>
              <c:strCache>
                <c:ptCount val="1"/>
                <c:pt idx="0">
                  <c:v>Highland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DATA'!$L$11:$P$11</c:f>
              <c:numCache>
                <c:formatCode>0</c:formatCode>
                <c:ptCount val="5"/>
                <c:pt idx="0">
                  <c:v>22.651933701657459</c:v>
                </c:pt>
                <c:pt idx="1">
                  <c:v>40.997830802603033</c:v>
                </c:pt>
                <c:pt idx="2">
                  <c:v>58.898305084745758</c:v>
                </c:pt>
                <c:pt idx="3">
                  <c:v>63.636363636363633</c:v>
                </c:pt>
                <c:pt idx="4">
                  <c:v>54.578754578754577</c:v>
                </c:pt>
              </c:numCache>
            </c:numRef>
          </c:val>
        </c:ser>
        <c:ser>
          <c:idx val="9"/>
          <c:order val="9"/>
          <c:tx>
            <c:strRef>
              <c:f>'Chart 1a DATA'!$A$12</c:f>
              <c:strCache>
                <c:ptCount val="1"/>
                <c:pt idx="0">
                  <c:v>Lanarkshire (+s)</c:v>
                </c:pt>
              </c:strCache>
            </c:strRef>
          </c:tx>
          <c:spPr>
            <a:ln>
              <a:solidFill>
                <a:schemeClr val="bg2">
                  <a:lumMod val="50000"/>
                </a:schemeClr>
              </a:solidFill>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DATA'!$L$12:$P$12</c:f>
              <c:numCache>
                <c:formatCode>0</c:formatCode>
                <c:ptCount val="5"/>
                <c:pt idx="0">
                  <c:v>50.686378035902848</c:v>
                </c:pt>
                <c:pt idx="1">
                  <c:v>71.018651362984215</c:v>
                </c:pt>
                <c:pt idx="2">
                  <c:v>79.063719115734727</c:v>
                </c:pt>
                <c:pt idx="3">
                  <c:v>83.085250338294998</c:v>
                </c:pt>
                <c:pt idx="4">
                  <c:v>78.294573643410843</c:v>
                </c:pt>
              </c:numCache>
            </c:numRef>
          </c:val>
        </c:ser>
        <c:ser>
          <c:idx val="10"/>
          <c:order val="10"/>
          <c:tx>
            <c:strRef>
              <c:f>'Chart 1a DATA'!$A$13</c:f>
              <c:strCache>
                <c:ptCount val="1"/>
                <c:pt idx="0">
                  <c:v>Lothian (+s)</c:v>
                </c:pt>
              </c:strCache>
            </c:strRef>
          </c:tx>
          <c:spPr>
            <a:ln>
              <a:prstDash val="lgDash"/>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DATA'!$L$13:$P$13</c:f>
              <c:numCache>
                <c:formatCode>0</c:formatCode>
                <c:ptCount val="5"/>
                <c:pt idx="0">
                  <c:v>50.477200424178157</c:v>
                </c:pt>
                <c:pt idx="1">
                  <c:v>43.859649122807014</c:v>
                </c:pt>
                <c:pt idx="2">
                  <c:v>51.540195341848239</c:v>
                </c:pt>
                <c:pt idx="3">
                  <c:v>55.057803468208085</c:v>
                </c:pt>
                <c:pt idx="4">
                  <c:v>61.827956989247312</c:v>
                </c:pt>
              </c:numCache>
            </c:numRef>
          </c:val>
        </c:ser>
        <c:ser>
          <c:idx val="11"/>
          <c:order val="11"/>
          <c:tx>
            <c:strRef>
              <c:f>'Chart 1a DATA'!$A$14</c:f>
              <c:strCache>
                <c:ptCount val="1"/>
                <c:pt idx="0">
                  <c:v>Orkney (+s)</c:v>
                </c:pt>
              </c:strCache>
            </c:strRef>
          </c:tx>
          <c:spPr>
            <a:ln>
              <a:solidFill>
                <a:schemeClr val="bg1">
                  <a:lumMod val="65000"/>
                </a:schemeClr>
              </a:solidFill>
              <a:prstDash val="lgDash"/>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DATA'!$L$14:$P$14</c:f>
              <c:numCache>
                <c:formatCode>0</c:formatCode>
                <c:ptCount val="5"/>
                <c:pt idx="0">
                  <c:v>12.121212121212121</c:v>
                </c:pt>
                <c:pt idx="1">
                  <c:v>11.111111111111111</c:v>
                </c:pt>
                <c:pt idx="2">
                  <c:v>19.148936170212767</c:v>
                </c:pt>
                <c:pt idx="3">
                  <c:v>19.230769230769234</c:v>
                </c:pt>
                <c:pt idx="4">
                  <c:v>42.1875</c:v>
                </c:pt>
              </c:numCache>
            </c:numRef>
          </c:val>
        </c:ser>
        <c:ser>
          <c:idx val="12"/>
          <c:order val="12"/>
          <c:tx>
            <c:strRef>
              <c:f>'Chart 1a DATA'!$A$15</c:f>
              <c:strCache>
                <c:ptCount val="1"/>
                <c:pt idx="0">
                  <c:v>Shetland (+s)</c:v>
                </c:pt>
              </c:strCache>
            </c:strRef>
          </c:tx>
          <c:spPr>
            <a:ln w="38100">
              <a:prstDash val="lgDashDotDot"/>
            </a:ln>
          </c:spPr>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DATA'!$L$15:$P$15</c:f>
              <c:numCache>
                <c:formatCode>0</c:formatCode>
                <c:ptCount val="5"/>
                <c:pt idx="0">
                  <c:v>45.238095238095241</c:v>
                </c:pt>
                <c:pt idx="1">
                  <c:v>66.666666666666657</c:v>
                </c:pt>
                <c:pt idx="2">
                  <c:v>54.54545454545454</c:v>
                </c:pt>
                <c:pt idx="3">
                  <c:v>71.875</c:v>
                </c:pt>
                <c:pt idx="4">
                  <c:v>80</c:v>
                </c:pt>
              </c:numCache>
            </c:numRef>
          </c:val>
        </c:ser>
        <c:ser>
          <c:idx val="13"/>
          <c:order val="13"/>
          <c:tx>
            <c:strRef>
              <c:f>'Chart 1a DATA'!$A$16</c:f>
              <c:strCache>
                <c:ptCount val="1"/>
                <c:pt idx="0">
                  <c:v>Tayside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DATA'!$L$16:$P$16</c:f>
              <c:numCache>
                <c:formatCode>0</c:formatCode>
                <c:ptCount val="5"/>
                <c:pt idx="0">
                  <c:v>58.963585434173673</c:v>
                </c:pt>
                <c:pt idx="1">
                  <c:v>63.538461538461547</c:v>
                </c:pt>
                <c:pt idx="2">
                  <c:v>67.830045523520482</c:v>
                </c:pt>
                <c:pt idx="3">
                  <c:v>68.402154398563724</c:v>
                </c:pt>
                <c:pt idx="4">
                  <c:v>65.658362989323848</c:v>
                </c:pt>
              </c:numCache>
            </c:numRef>
          </c:val>
        </c:ser>
        <c:ser>
          <c:idx val="14"/>
          <c:order val="14"/>
          <c:tx>
            <c:strRef>
              <c:f>'Chart 1a DATA'!$A$17</c:f>
              <c:strCache>
                <c:ptCount val="1"/>
                <c:pt idx="0">
                  <c:v>Western Isles (+s)</c:v>
                </c:pt>
              </c:strCache>
            </c:strRef>
          </c:tx>
          <c:marker>
            <c:symbol val="none"/>
          </c:marker>
          <c:cat>
            <c:numRef>
              <c:f>'Chart 1a DATA'!$L$2:$P$2</c:f>
              <c:numCache>
                <c:formatCode>General</c:formatCode>
                <c:ptCount val="5"/>
                <c:pt idx="0">
                  <c:v>2011</c:v>
                </c:pt>
                <c:pt idx="1">
                  <c:v>2012</c:v>
                </c:pt>
                <c:pt idx="2">
                  <c:v>2013</c:v>
                </c:pt>
                <c:pt idx="3">
                  <c:v>2014</c:v>
                </c:pt>
                <c:pt idx="4">
                  <c:v>2015</c:v>
                </c:pt>
              </c:numCache>
            </c:numRef>
          </c:cat>
          <c:val>
            <c:numRef>
              <c:f>'Chart 1a DATA'!$L$17:$P$17</c:f>
              <c:numCache>
                <c:formatCode>0</c:formatCode>
                <c:ptCount val="5"/>
                <c:pt idx="0">
                  <c:v>50</c:v>
                </c:pt>
                <c:pt idx="1">
                  <c:v>48.387096774193552</c:v>
                </c:pt>
                <c:pt idx="2">
                  <c:v>60</c:v>
                </c:pt>
                <c:pt idx="3">
                  <c:v>85.714285714285708</c:v>
                </c:pt>
                <c:pt idx="4">
                  <c:v>82.35294117647058</c:v>
                </c:pt>
              </c:numCache>
            </c:numRef>
          </c:val>
        </c:ser>
        <c:marker val="1"/>
        <c:axId val="173537152"/>
        <c:axId val="254160896"/>
      </c:lineChart>
      <c:catAx>
        <c:axId val="173537152"/>
        <c:scaling>
          <c:orientation val="minMax"/>
        </c:scaling>
        <c:axPos val="b"/>
        <c:numFmt formatCode="General" sourceLinked="1"/>
        <c:tickLblPos val="nextTo"/>
        <c:crossAx val="254160896"/>
        <c:crosses val="autoZero"/>
        <c:auto val="1"/>
        <c:lblAlgn val="ctr"/>
        <c:lblOffset val="100"/>
      </c:catAx>
      <c:valAx>
        <c:axId val="254160896"/>
        <c:scaling>
          <c:orientation val="minMax"/>
        </c:scaling>
        <c:axPos val="l"/>
        <c:title>
          <c:tx>
            <c:rich>
              <a:bodyPr rot="0" vert="wordArtVert"/>
              <a:lstStyle/>
              <a:p>
                <a:pPr>
                  <a:defRPr/>
                </a:pPr>
                <a:r>
                  <a:rPr lang="en-GB"/>
                  <a:t>%</a:t>
                </a:r>
              </a:p>
            </c:rich>
          </c:tx>
          <c:layout/>
        </c:title>
        <c:numFmt formatCode="0" sourceLinked="1"/>
        <c:tickLblPos val="nextTo"/>
        <c:crossAx val="173537152"/>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506"/>
          <c:h val="0.87035831205139513"/>
        </c:manualLayout>
      </c:layout>
      <c:spPr>
        <a:ln>
          <a:solidFill>
            <a:schemeClr val="tx1"/>
          </a:solidFill>
        </a:ln>
      </c:spPr>
      <c:txPr>
        <a:bodyPr/>
        <a:lstStyle/>
        <a:p>
          <a:pPr>
            <a:defRPr sz="900"/>
          </a:pPr>
          <a:endParaRPr lang="en-US"/>
        </a:p>
      </c:txPr>
    </c:legend>
    <c:plotVisOnly val="1"/>
  </c:chart>
  <c:printSettings>
    <c:headerFooter/>
    <c:pageMargins b="0.75000000000001066" l="0.70000000000000062" r="0.70000000000000062" t="0.750000000000010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241"/>
        </c:manualLayout>
      </c:layout>
      <c:barChart>
        <c:barDir val="col"/>
        <c:grouping val="clustered"/>
        <c:ser>
          <c:idx val="0"/>
          <c:order val="0"/>
          <c:tx>
            <c:strRef>
              <c:f>'Chart 2d DATA'!$B$2</c:f>
              <c:strCache>
                <c:ptCount val="1"/>
                <c:pt idx="0">
                  <c:v>2014 (%)</c:v>
                </c:pt>
              </c:strCache>
            </c:strRef>
          </c:tx>
          <c:spPr>
            <a:solidFill>
              <a:schemeClr val="bg1">
                <a:lumMod val="65000"/>
              </a:schemeClr>
            </a:solidFill>
          </c:spPr>
          <c:cat>
            <c:strRef>
              <c:f>'Chart 2d DATA'!$A$3:$A$32</c:f>
              <c:strCache>
                <c:ptCount val="29"/>
                <c:pt idx="0">
                  <c:v>Scotland</c:v>
                </c:pt>
                <c:pt idx="1">
                  <c:v>Borders</c:v>
                </c:pt>
                <c:pt idx="2">
                  <c:v>SJH</c:v>
                </c:pt>
                <c:pt idx="3">
                  <c:v>Caithness</c:v>
                </c:pt>
                <c:pt idx="4">
                  <c:v>Western Isles</c:v>
                </c:pt>
                <c:pt idx="5">
                  <c:v>IRH</c:v>
                </c:pt>
                <c:pt idx="6">
                  <c:v>VHK</c:v>
                </c:pt>
                <c:pt idx="7">
                  <c:v>Wishaw</c:v>
                </c:pt>
                <c:pt idx="8">
                  <c:v>Dr Grays</c:v>
                </c:pt>
                <c:pt idx="9">
                  <c:v>FVRH</c:v>
                </c:pt>
                <c:pt idx="10">
                  <c:v>DGRI</c:v>
                </c:pt>
                <c:pt idx="11">
                  <c:v>Raigmore</c:v>
                </c:pt>
                <c:pt idx="12">
                  <c:v>Gilbert Bain</c:v>
                </c:pt>
                <c:pt idx="13">
                  <c:v>GCH</c:v>
                </c:pt>
                <c:pt idx="14">
                  <c:v>PRI</c:v>
                </c:pt>
                <c:pt idx="15">
                  <c:v>GRI</c:v>
                </c:pt>
                <c:pt idx="16">
                  <c:v>Ninewells</c:v>
                </c:pt>
                <c:pt idx="17">
                  <c:v>Hairmyres</c:v>
                </c:pt>
                <c:pt idx="18">
                  <c:v>L&amp;I</c:v>
                </c:pt>
                <c:pt idx="19">
                  <c:v>ARI</c:v>
                </c:pt>
                <c:pt idx="20">
                  <c:v>Monklands</c:v>
                </c:pt>
                <c:pt idx="21">
                  <c:v>Crosshouse</c:v>
                </c:pt>
                <c:pt idx="22">
                  <c:v>QEUH</c:v>
                </c:pt>
                <c:pt idx="23">
                  <c:v>RIE</c:v>
                </c:pt>
                <c:pt idx="24">
                  <c:v>Belford</c:v>
                </c:pt>
                <c:pt idx="25">
                  <c:v>RAH</c:v>
                </c:pt>
                <c:pt idx="26">
                  <c:v>WGH</c:v>
                </c:pt>
                <c:pt idx="27">
                  <c:v>Balfour</c:v>
                </c:pt>
                <c:pt idx="28">
                  <c:v>Ayr</c:v>
                </c:pt>
              </c:strCache>
            </c:strRef>
          </c:cat>
          <c:val>
            <c:numRef>
              <c:f>'Chart 2d DATA'!$B$3:$B$31</c:f>
              <c:numCache>
                <c:formatCode>0</c:formatCode>
                <c:ptCount val="29"/>
                <c:pt idx="0">
                  <c:v>87.911903160726297</c:v>
                </c:pt>
                <c:pt idx="1">
                  <c:v>95.862068965517238</c:v>
                </c:pt>
                <c:pt idx="2">
                  <c:v>93.055555555555557</c:v>
                </c:pt>
                <c:pt idx="3">
                  <c:v>89.795918367346943</c:v>
                </c:pt>
                <c:pt idx="4">
                  <c:v>88.888888888888886</c:v>
                </c:pt>
                <c:pt idx="5">
                  <c:v>85.164835164835168</c:v>
                </c:pt>
                <c:pt idx="6">
                  <c:v>89.618644067796609</c:v>
                </c:pt>
                <c:pt idx="7">
                  <c:v>97.388059701492537</c:v>
                </c:pt>
                <c:pt idx="8">
                  <c:v>84.93150684931507</c:v>
                </c:pt>
                <c:pt idx="9">
                  <c:v>93.633952254641912</c:v>
                </c:pt>
                <c:pt idx="10">
                  <c:v>92.700729927007302</c:v>
                </c:pt>
                <c:pt idx="11">
                  <c:v>85.572139303482587</c:v>
                </c:pt>
                <c:pt idx="12">
                  <c:v>87.5</c:v>
                </c:pt>
                <c:pt idx="13">
                  <c:v>95.652173913043484</c:v>
                </c:pt>
                <c:pt idx="14">
                  <c:v>94.696969696969703</c:v>
                </c:pt>
                <c:pt idx="15">
                  <c:v>84.696569920844325</c:v>
                </c:pt>
                <c:pt idx="16">
                  <c:v>90.308370044052865</c:v>
                </c:pt>
                <c:pt idx="17">
                  <c:v>93.45794392523365</c:v>
                </c:pt>
                <c:pt idx="18">
                  <c:v>92</c:v>
                </c:pt>
                <c:pt idx="19">
                  <c:v>89.722222222222229</c:v>
                </c:pt>
                <c:pt idx="20">
                  <c:v>90.295358649789023</c:v>
                </c:pt>
                <c:pt idx="21">
                  <c:v>87.826086956521749</c:v>
                </c:pt>
                <c:pt idx="22">
                  <c:v>86.449864498644985</c:v>
                </c:pt>
                <c:pt idx="23">
                  <c:v>87.126865671641795</c:v>
                </c:pt>
                <c:pt idx="24">
                  <c:v>86.666666666666671</c:v>
                </c:pt>
                <c:pt idx="25">
                  <c:v>75.342465753424662</c:v>
                </c:pt>
                <c:pt idx="26">
                  <c:v>80.568720379146924</c:v>
                </c:pt>
                <c:pt idx="27">
                  <c:v>81.818181818181827</c:v>
                </c:pt>
                <c:pt idx="28">
                  <c:v>74.778761061946909</c:v>
                </c:pt>
              </c:numCache>
            </c:numRef>
          </c:val>
        </c:ser>
        <c:ser>
          <c:idx val="1"/>
          <c:order val="1"/>
          <c:tx>
            <c:strRef>
              <c:f>'Chart 2d DATA'!$C$2</c:f>
              <c:strCache>
                <c:ptCount val="1"/>
                <c:pt idx="0">
                  <c:v>2015 (%)</c:v>
                </c:pt>
              </c:strCache>
            </c:strRef>
          </c:tx>
          <c:spPr>
            <a:solidFill>
              <a:srgbClr val="FFC000"/>
            </a:solidFill>
          </c:spPr>
          <c:dPt>
            <c:idx val="0"/>
            <c:spPr>
              <a:solidFill>
                <a:srgbClr val="008000"/>
              </a:solidFill>
            </c:spPr>
          </c:dPt>
          <c:dPt>
            <c:idx val="23"/>
            <c:spPr>
              <a:solidFill>
                <a:srgbClr val="FFC000"/>
              </a:solidFill>
              <a:ln w="25400">
                <a:noFill/>
              </a:ln>
            </c:spPr>
          </c:dPt>
          <c:dPt>
            <c:idx val="25"/>
            <c:spPr>
              <a:solidFill>
                <a:srgbClr val="008000"/>
              </a:solidFill>
            </c:spPr>
          </c:dPt>
          <c:cat>
            <c:strRef>
              <c:f>'Chart 2d DATA'!$A$3:$A$32</c:f>
              <c:strCache>
                <c:ptCount val="29"/>
                <c:pt idx="0">
                  <c:v>Scotland</c:v>
                </c:pt>
                <c:pt idx="1">
                  <c:v>Borders</c:v>
                </c:pt>
                <c:pt idx="2">
                  <c:v>SJH</c:v>
                </c:pt>
                <c:pt idx="3">
                  <c:v>Caithness</c:v>
                </c:pt>
                <c:pt idx="4">
                  <c:v>Western Isles</c:v>
                </c:pt>
                <c:pt idx="5">
                  <c:v>IRH</c:v>
                </c:pt>
                <c:pt idx="6">
                  <c:v>VHK</c:v>
                </c:pt>
                <c:pt idx="7">
                  <c:v>Wishaw</c:v>
                </c:pt>
                <c:pt idx="8">
                  <c:v>Dr Grays</c:v>
                </c:pt>
                <c:pt idx="9">
                  <c:v>FVRH</c:v>
                </c:pt>
                <c:pt idx="10">
                  <c:v>DGRI</c:v>
                </c:pt>
                <c:pt idx="11">
                  <c:v>Raigmore</c:v>
                </c:pt>
                <c:pt idx="12">
                  <c:v>Gilbert Bain</c:v>
                </c:pt>
                <c:pt idx="13">
                  <c:v>GCH</c:v>
                </c:pt>
                <c:pt idx="14">
                  <c:v>PRI</c:v>
                </c:pt>
                <c:pt idx="15">
                  <c:v>GRI</c:v>
                </c:pt>
                <c:pt idx="16">
                  <c:v>Ninewells</c:v>
                </c:pt>
                <c:pt idx="17">
                  <c:v>Hairmyres</c:v>
                </c:pt>
                <c:pt idx="18">
                  <c:v>L&amp;I</c:v>
                </c:pt>
                <c:pt idx="19">
                  <c:v>ARI</c:v>
                </c:pt>
                <c:pt idx="20">
                  <c:v>Monklands</c:v>
                </c:pt>
                <c:pt idx="21">
                  <c:v>Crosshouse</c:v>
                </c:pt>
                <c:pt idx="22">
                  <c:v>QEUH</c:v>
                </c:pt>
                <c:pt idx="23">
                  <c:v>RIE</c:v>
                </c:pt>
                <c:pt idx="24">
                  <c:v>Belford</c:v>
                </c:pt>
                <c:pt idx="25">
                  <c:v>RAH</c:v>
                </c:pt>
                <c:pt idx="26">
                  <c:v>WGH</c:v>
                </c:pt>
                <c:pt idx="27">
                  <c:v>Balfour</c:v>
                </c:pt>
                <c:pt idx="28">
                  <c:v>Ayr</c:v>
                </c:pt>
              </c:strCache>
            </c:strRef>
          </c:cat>
          <c:val>
            <c:numRef>
              <c:f>'Chart 2d DATA'!$C$3:$C$31</c:f>
              <c:numCache>
                <c:formatCode>0</c:formatCode>
                <c:ptCount val="29"/>
                <c:pt idx="0">
                  <c:v>89.956839309428943</c:v>
                </c:pt>
                <c:pt idx="1">
                  <c:v>97.887323943661968</c:v>
                </c:pt>
                <c:pt idx="2">
                  <c:v>96.132596685082873</c:v>
                </c:pt>
                <c:pt idx="3">
                  <c:v>95.555555555555557</c:v>
                </c:pt>
                <c:pt idx="4">
                  <c:v>95</c:v>
                </c:pt>
                <c:pt idx="5">
                  <c:v>94.444444444444443</c:v>
                </c:pt>
                <c:pt idx="6">
                  <c:v>94.43207126948775</c:v>
                </c:pt>
                <c:pt idx="7">
                  <c:v>94.32314410480349</c:v>
                </c:pt>
                <c:pt idx="8">
                  <c:v>93.406593406593402</c:v>
                </c:pt>
                <c:pt idx="9">
                  <c:v>93.137254901960787</c:v>
                </c:pt>
                <c:pt idx="10">
                  <c:v>93.103448275862064</c:v>
                </c:pt>
                <c:pt idx="11">
                  <c:v>92.951541850220266</c:v>
                </c:pt>
                <c:pt idx="12">
                  <c:v>92.592592592592595</c:v>
                </c:pt>
                <c:pt idx="13">
                  <c:v>92.307692307692307</c:v>
                </c:pt>
                <c:pt idx="14">
                  <c:v>91.525423728813564</c:v>
                </c:pt>
                <c:pt idx="15">
                  <c:v>91.105769230769226</c:v>
                </c:pt>
                <c:pt idx="16">
                  <c:v>90</c:v>
                </c:pt>
                <c:pt idx="17">
                  <c:v>89.380530973451329</c:v>
                </c:pt>
                <c:pt idx="18">
                  <c:v>88.888888888888886</c:v>
                </c:pt>
                <c:pt idx="19">
                  <c:v>88.378378378378372</c:v>
                </c:pt>
                <c:pt idx="20">
                  <c:v>88.235294117647058</c:v>
                </c:pt>
                <c:pt idx="21">
                  <c:v>87.777777777777771</c:v>
                </c:pt>
                <c:pt idx="22">
                  <c:v>87.405159332321702</c:v>
                </c:pt>
                <c:pt idx="23">
                  <c:v>86.688851913477535</c:v>
                </c:pt>
                <c:pt idx="24">
                  <c:v>86.666666666666671</c:v>
                </c:pt>
                <c:pt idx="25">
                  <c:v>86.181818181818187</c:v>
                </c:pt>
                <c:pt idx="26">
                  <c:v>83.333333333333343</c:v>
                </c:pt>
                <c:pt idx="27">
                  <c:v>80.769230769230774</c:v>
                </c:pt>
                <c:pt idx="28">
                  <c:v>79.032258064516128</c:v>
                </c:pt>
              </c:numCache>
            </c:numRef>
          </c:val>
        </c:ser>
        <c:axId val="70236800"/>
        <c:axId val="70238592"/>
      </c:barChart>
      <c:lineChart>
        <c:grouping val="standard"/>
        <c:ser>
          <c:idx val="2"/>
          <c:order val="2"/>
          <c:tx>
            <c:strRef>
              <c:f>'Chart 2d DATA'!$D$2</c:f>
              <c:strCache>
                <c:ptCount val="1"/>
                <c:pt idx="0">
                  <c:v>Stroke Standard</c:v>
                </c:pt>
              </c:strCache>
            </c:strRef>
          </c:tx>
          <c:spPr>
            <a:ln>
              <a:solidFill>
                <a:srgbClr val="4F81BD"/>
              </a:solidFill>
            </a:ln>
          </c:spPr>
          <c:marker>
            <c:symbol val="none"/>
          </c:marker>
          <c:cat>
            <c:strRef>
              <c:f>'Chart 2c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RIE</c:v>
                </c:pt>
                <c:pt idx="15">
                  <c:v>IRH</c:v>
                </c:pt>
                <c:pt idx="16">
                  <c:v>GCH</c:v>
                </c:pt>
                <c:pt idx="17">
                  <c:v>WGH</c:v>
                </c:pt>
                <c:pt idx="18">
                  <c:v>RAH</c:v>
                </c:pt>
                <c:pt idx="19">
                  <c:v>GRI</c:v>
                </c:pt>
                <c:pt idx="20">
                  <c:v>Crosshouse</c:v>
                </c:pt>
                <c:pt idx="21">
                  <c:v>Raigmore</c:v>
                </c:pt>
                <c:pt idx="22">
                  <c:v>L&amp;I</c:v>
                </c:pt>
                <c:pt idx="23">
                  <c:v>Monklands</c:v>
                </c:pt>
                <c:pt idx="24">
                  <c:v>Gilbert Bain</c:v>
                </c:pt>
                <c:pt idx="25">
                  <c:v>Ninewells</c:v>
                </c:pt>
                <c:pt idx="26">
                  <c:v>Belford</c:v>
                </c:pt>
                <c:pt idx="27">
                  <c:v>Ayr</c:v>
                </c:pt>
                <c:pt idx="28">
                  <c:v>Balfour</c:v>
                </c:pt>
                <c:pt idx="29">
                  <c:v>Uist &amp; Barra</c:v>
                </c:pt>
              </c:strCache>
            </c:strRef>
          </c:cat>
          <c:val>
            <c:numRef>
              <c:f>'Chart 2d DATA'!$D$3:$D$31</c:f>
              <c:numCache>
                <c:formatCode>0</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70236800"/>
        <c:axId val="70238592"/>
      </c:lineChart>
      <c:catAx>
        <c:axId val="7023680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0238592"/>
        <c:crosses val="autoZero"/>
        <c:auto val="1"/>
        <c:lblAlgn val="ctr"/>
        <c:lblOffset val="100"/>
      </c:catAx>
      <c:valAx>
        <c:axId val="7023859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236800"/>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437E-2"/>
          <c:y val="8.0232093304875005E-2"/>
          <c:w val="0.8100702878241941"/>
          <c:h val="0.72370482152729065"/>
        </c:manualLayout>
      </c:layout>
      <c:barChart>
        <c:barDir val="col"/>
        <c:grouping val="stacked"/>
        <c:ser>
          <c:idx val="0"/>
          <c:order val="0"/>
          <c:tx>
            <c:strRef>
              <c:f>'Chart 3 (2015) DATA'!$C$2</c:f>
              <c:strCache>
                <c:ptCount val="1"/>
                <c:pt idx="0">
                  <c:v>Same Day</c:v>
                </c:pt>
              </c:strCache>
            </c:strRef>
          </c:tx>
          <c:spPr>
            <a:solidFill>
              <a:srgbClr val="9999FF"/>
            </a:solidFill>
            <a:ln>
              <a:solidFill>
                <a:sysClr val="windowText" lastClr="000000"/>
              </a:solidFill>
            </a:ln>
          </c:spPr>
          <c:dPt>
            <c:idx val="0"/>
            <c:spPr>
              <a:solidFill>
                <a:srgbClr val="008000"/>
              </a:solidFill>
              <a:ln>
                <a:solidFill>
                  <a:sysClr val="windowText" lastClr="000000"/>
                </a:solidFill>
              </a:ln>
            </c:spPr>
          </c:dPt>
          <c:cat>
            <c:strRef>
              <c:f>'Chart 3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3 (2015) DATA'!$C$3:$C$32</c:f>
              <c:numCache>
                <c:formatCode>0</c:formatCode>
                <c:ptCount val="30"/>
                <c:pt idx="0">
                  <c:v>79.880345668070021</c:v>
                </c:pt>
                <c:pt idx="1">
                  <c:v>70.610687022900763</c:v>
                </c:pt>
                <c:pt idx="2">
                  <c:v>79.896907216494853</c:v>
                </c:pt>
                <c:pt idx="3">
                  <c:v>93.607305936073061</c:v>
                </c:pt>
                <c:pt idx="4">
                  <c:v>86.008230452674894</c:v>
                </c:pt>
                <c:pt idx="5">
                  <c:v>87.5</c:v>
                </c:pt>
                <c:pt idx="6">
                  <c:v>83.596214511041012</c:v>
                </c:pt>
                <c:pt idx="7">
                  <c:v>84.375</c:v>
                </c:pt>
                <c:pt idx="8">
                  <c:v>75.901875901875897</c:v>
                </c:pt>
                <c:pt idx="9">
                  <c:v>85.384615384615387</c:v>
                </c:pt>
                <c:pt idx="10">
                  <c:v>73.396226415094333</c:v>
                </c:pt>
                <c:pt idx="11">
                  <c:v>79.620853080568722</c:v>
                </c:pt>
                <c:pt idx="12">
                  <c:v>77.865266841644797</c:v>
                </c:pt>
                <c:pt idx="13">
                  <c:v>64</c:v>
                </c:pt>
                <c:pt idx="14">
                  <c:v>100</c:v>
                </c:pt>
                <c:pt idx="15">
                  <c:v>95.833333333333343</c:v>
                </c:pt>
                <c:pt idx="16">
                  <c:v>91.111111111111114</c:v>
                </c:pt>
                <c:pt idx="17">
                  <c:v>86.723163841807903</c:v>
                </c:pt>
                <c:pt idx="18">
                  <c:v>83.056478405315616</c:v>
                </c:pt>
                <c:pt idx="19">
                  <c:v>80.864197530864203</c:v>
                </c:pt>
                <c:pt idx="20">
                  <c:v>90.606060606060595</c:v>
                </c:pt>
                <c:pt idx="21">
                  <c:v>75.612353567625135</c:v>
                </c:pt>
                <c:pt idx="22">
                  <c:v>81.124497991967871</c:v>
                </c:pt>
                <c:pt idx="23">
                  <c:v>76.892430278884461</c:v>
                </c:pt>
                <c:pt idx="24">
                  <c:v>72.5</c:v>
                </c:pt>
                <c:pt idx="25">
                  <c:v>94.285714285714278</c:v>
                </c:pt>
                <c:pt idx="26">
                  <c:v>81.596452328159643</c:v>
                </c:pt>
                <c:pt idx="27">
                  <c:v>78.918918918918919</c:v>
                </c:pt>
                <c:pt idx="28">
                  <c:v>100</c:v>
                </c:pt>
                <c:pt idx="29">
                  <c:v>91.17647058823529</c:v>
                </c:pt>
              </c:numCache>
            </c:numRef>
          </c:val>
        </c:ser>
        <c:ser>
          <c:idx val="1"/>
          <c:order val="1"/>
          <c:tx>
            <c:strRef>
              <c:f>'Chart 3 (2015) DATA'!$I$2</c:f>
              <c:strCache>
                <c:ptCount val="1"/>
                <c:pt idx="0">
                  <c:v>1 Day</c:v>
                </c:pt>
              </c:strCache>
            </c:strRef>
          </c:tx>
          <c:spPr>
            <a:solidFill>
              <a:srgbClr val="993366"/>
            </a:solidFill>
            <a:ln>
              <a:solidFill>
                <a:sysClr val="windowText" lastClr="000000"/>
              </a:solidFill>
            </a:ln>
          </c:spPr>
          <c:dPt>
            <c:idx val="0"/>
            <c:spPr>
              <a:solidFill>
                <a:srgbClr val="FF0000"/>
              </a:solidFill>
              <a:ln>
                <a:solidFill>
                  <a:sysClr val="windowText" lastClr="000000"/>
                </a:solidFill>
              </a:ln>
            </c:spPr>
          </c:dPt>
          <c:val>
            <c:numRef>
              <c:f>'Chart 3 (2015) DATA'!$I$3:$I$32</c:f>
              <c:numCache>
                <c:formatCode>0</c:formatCode>
                <c:ptCount val="30"/>
                <c:pt idx="0">
                  <c:v>12.175936184356303</c:v>
                </c:pt>
                <c:pt idx="1">
                  <c:v>13.74045801526718</c:v>
                </c:pt>
                <c:pt idx="2">
                  <c:v>10.824742268041234</c:v>
                </c:pt>
                <c:pt idx="3">
                  <c:v>4.5662100456621033</c:v>
                </c:pt>
                <c:pt idx="4">
                  <c:v>8.6419753086419746</c:v>
                </c:pt>
                <c:pt idx="5">
                  <c:v>7.5</c:v>
                </c:pt>
                <c:pt idx="6">
                  <c:v>7.0977917981072522</c:v>
                </c:pt>
                <c:pt idx="7">
                  <c:v>11.029411764705884</c:v>
                </c:pt>
                <c:pt idx="8">
                  <c:v>9.668109668109679</c:v>
                </c:pt>
                <c:pt idx="9">
                  <c:v>11.538461538461533</c:v>
                </c:pt>
                <c:pt idx="10">
                  <c:v>19.622641509433976</c:v>
                </c:pt>
                <c:pt idx="11">
                  <c:v>12.796208530805686</c:v>
                </c:pt>
                <c:pt idx="12">
                  <c:v>12.773403324584422</c:v>
                </c:pt>
                <c:pt idx="13">
                  <c:v>25.142857142857139</c:v>
                </c:pt>
                <c:pt idx="14">
                  <c:v>0</c:v>
                </c:pt>
                <c:pt idx="15">
                  <c:v>4.1666666666666572</c:v>
                </c:pt>
                <c:pt idx="16">
                  <c:v>4.4444444444444429</c:v>
                </c:pt>
                <c:pt idx="17">
                  <c:v>11.016949152542381</c:v>
                </c:pt>
                <c:pt idx="18">
                  <c:v>7.6411960132890329</c:v>
                </c:pt>
                <c:pt idx="19">
                  <c:v>12.34567901234567</c:v>
                </c:pt>
                <c:pt idx="20">
                  <c:v>7.2727272727272805</c:v>
                </c:pt>
                <c:pt idx="21">
                  <c:v>14.589989350372733</c:v>
                </c:pt>
                <c:pt idx="22">
                  <c:v>12.851405622489963</c:v>
                </c:pt>
                <c:pt idx="23">
                  <c:v>13.147410358565736</c:v>
                </c:pt>
                <c:pt idx="24">
                  <c:v>17.5</c:v>
                </c:pt>
                <c:pt idx="25">
                  <c:v>2.8571428571428612</c:v>
                </c:pt>
                <c:pt idx="26">
                  <c:v>14.634146341463421</c:v>
                </c:pt>
                <c:pt idx="27">
                  <c:v>14.594594594594597</c:v>
                </c:pt>
                <c:pt idx="28">
                  <c:v>0</c:v>
                </c:pt>
                <c:pt idx="29">
                  <c:v>2.941176470588232</c:v>
                </c:pt>
              </c:numCache>
            </c:numRef>
          </c:val>
        </c:ser>
        <c:ser>
          <c:idx val="2"/>
          <c:order val="2"/>
          <c:tx>
            <c:strRef>
              <c:f>'Chart 3 (2015) DATA'!$J$2</c:f>
              <c:strCache>
                <c:ptCount val="1"/>
                <c:pt idx="0">
                  <c:v>2 Days</c:v>
                </c:pt>
              </c:strCache>
            </c:strRef>
          </c:tx>
          <c:spPr>
            <a:solidFill>
              <a:srgbClr val="FFFFCC"/>
            </a:solidFill>
            <a:ln>
              <a:solidFill>
                <a:sysClr val="windowText" lastClr="000000"/>
              </a:solidFill>
            </a:ln>
          </c:spPr>
          <c:dPt>
            <c:idx val="0"/>
            <c:spPr>
              <a:solidFill>
                <a:srgbClr val="99CC00"/>
              </a:solidFill>
              <a:ln>
                <a:solidFill>
                  <a:sysClr val="windowText" lastClr="000000"/>
                </a:solidFill>
              </a:ln>
            </c:spPr>
          </c:dPt>
          <c:val>
            <c:numRef>
              <c:f>'Chart 3 (2015) DATA'!$J$3:$J$32</c:f>
              <c:numCache>
                <c:formatCode>0</c:formatCode>
                <c:ptCount val="30"/>
                <c:pt idx="0">
                  <c:v>1.6840239308663882</c:v>
                </c:pt>
                <c:pt idx="1">
                  <c:v>2.6717557251908346</c:v>
                </c:pt>
                <c:pt idx="2">
                  <c:v>2.0618556701030855</c:v>
                </c:pt>
                <c:pt idx="3">
                  <c:v>0.4566210045662018</c:v>
                </c:pt>
                <c:pt idx="4">
                  <c:v>2.8806584362139915</c:v>
                </c:pt>
                <c:pt idx="5">
                  <c:v>0</c:v>
                </c:pt>
                <c:pt idx="6">
                  <c:v>1.2618296529968376</c:v>
                </c:pt>
                <c:pt idx="7">
                  <c:v>0.73529411764705799</c:v>
                </c:pt>
                <c:pt idx="8">
                  <c:v>2.5974025974025921</c:v>
                </c:pt>
                <c:pt idx="9">
                  <c:v>0.7692307692307736</c:v>
                </c:pt>
                <c:pt idx="10">
                  <c:v>2.264150943396217</c:v>
                </c:pt>
                <c:pt idx="11">
                  <c:v>1.4218009478672968</c:v>
                </c:pt>
                <c:pt idx="12">
                  <c:v>1.3123359580052494</c:v>
                </c:pt>
                <c:pt idx="13">
                  <c:v>3.1428571428571388</c:v>
                </c:pt>
                <c:pt idx="14">
                  <c:v>0</c:v>
                </c:pt>
                <c:pt idx="15">
                  <c:v>0</c:v>
                </c:pt>
                <c:pt idx="16">
                  <c:v>0</c:v>
                </c:pt>
                <c:pt idx="17">
                  <c:v>0.56497175141242906</c:v>
                </c:pt>
                <c:pt idx="18">
                  <c:v>2.6578073089701064</c:v>
                </c:pt>
                <c:pt idx="19">
                  <c:v>2.1604938271604937</c:v>
                </c:pt>
                <c:pt idx="20">
                  <c:v>0.30303030303031164</c:v>
                </c:pt>
                <c:pt idx="21">
                  <c:v>2.236421725239623</c:v>
                </c:pt>
                <c:pt idx="22">
                  <c:v>0.80321285140561827</c:v>
                </c:pt>
                <c:pt idx="23">
                  <c:v>3.1872509960159334</c:v>
                </c:pt>
                <c:pt idx="24">
                  <c:v>0</c:v>
                </c:pt>
                <c:pt idx="25">
                  <c:v>0</c:v>
                </c:pt>
                <c:pt idx="26">
                  <c:v>1.1086474501108654</c:v>
                </c:pt>
                <c:pt idx="27">
                  <c:v>1.6216216216216282</c:v>
                </c:pt>
                <c:pt idx="28">
                  <c:v>0</c:v>
                </c:pt>
                <c:pt idx="29">
                  <c:v>0</c:v>
                </c:pt>
              </c:numCache>
            </c:numRef>
          </c:val>
        </c:ser>
        <c:overlap val="100"/>
        <c:axId val="70328704"/>
        <c:axId val="70330240"/>
      </c:barChart>
      <c:lineChart>
        <c:grouping val="standard"/>
        <c:ser>
          <c:idx val="3"/>
          <c:order val="3"/>
          <c:tx>
            <c:strRef>
              <c:f>'Chart 3 (2015) DATA'!$L$2</c:f>
              <c:strCache>
                <c:ptCount val="1"/>
                <c:pt idx="0">
                  <c:v>Stroke Standard (2013)</c:v>
                </c:pt>
              </c:strCache>
            </c:strRef>
          </c:tx>
          <c:spPr>
            <a:ln>
              <a:solidFill>
                <a:srgbClr val="0070C0"/>
              </a:solidFill>
            </a:ln>
          </c:spPr>
          <c:marker>
            <c:symbol val="none"/>
          </c:marker>
          <c:val>
            <c:numRef>
              <c:f>'Chart 3 (2015) DATA'!$L$3:$L$32</c:f>
              <c:numCache>
                <c:formatCode>General</c:formatCode>
                <c:ptCount val="3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70328704"/>
        <c:axId val="70330240"/>
      </c:lineChart>
      <c:catAx>
        <c:axId val="70328704"/>
        <c:scaling>
          <c:orientation val="minMax"/>
        </c:scaling>
        <c:axPos val="b"/>
        <c:tickLblPos val="nextTo"/>
        <c:txPr>
          <a:bodyPr rot="-5400000" vert="horz"/>
          <a:lstStyle/>
          <a:p>
            <a:pPr>
              <a:defRPr sz="800"/>
            </a:pPr>
            <a:endParaRPr lang="en-US"/>
          </a:p>
        </c:txPr>
        <c:crossAx val="70330240"/>
        <c:crosses val="autoZero"/>
        <c:auto val="1"/>
        <c:lblAlgn val="ctr"/>
        <c:lblOffset val="100"/>
      </c:catAx>
      <c:valAx>
        <c:axId val="70330240"/>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0328704"/>
        <c:crosses val="autoZero"/>
        <c:crossBetween val="between"/>
      </c:valAx>
      <c:spPr>
        <a:ln>
          <a:solidFill>
            <a:schemeClr val="tx1"/>
          </a:solidFill>
        </a:ln>
      </c:spPr>
    </c:plotArea>
    <c:legend>
      <c:legendPos val="r"/>
      <c:layout>
        <c:manualLayout>
          <c:xMode val="edge"/>
          <c:yMode val="edge"/>
          <c:x val="0.8917909508803038"/>
          <c:y val="0.32282912004420766"/>
          <c:w val="8.8657028239363958E-2"/>
          <c:h val="0.27915378998677798"/>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472E-2"/>
          <c:y val="8.0232093304875005E-2"/>
          <c:w val="0.81007028782419432"/>
          <c:h val="0.72370482152729065"/>
        </c:manualLayout>
      </c:layout>
      <c:barChart>
        <c:barDir val="col"/>
        <c:grouping val="stacked"/>
        <c:ser>
          <c:idx val="0"/>
          <c:order val="0"/>
          <c:tx>
            <c:strRef>
              <c:f>'Chart 3 (2014) DATA'!$C$2</c:f>
              <c:strCache>
                <c:ptCount val="1"/>
                <c:pt idx="0">
                  <c:v>Same Day</c:v>
                </c:pt>
              </c:strCache>
            </c:strRef>
          </c:tx>
          <c:spPr>
            <a:solidFill>
              <a:srgbClr val="9999FF"/>
            </a:solidFill>
            <a:ln>
              <a:solidFill>
                <a:sysClr val="windowText" lastClr="000000"/>
              </a:solidFill>
            </a:ln>
          </c:spPr>
          <c:dPt>
            <c:idx val="0"/>
            <c:spPr>
              <a:solidFill>
                <a:srgbClr val="008000"/>
              </a:solidFill>
              <a:ln>
                <a:solidFill>
                  <a:sysClr val="windowText" lastClr="000000"/>
                </a:solidFill>
              </a:ln>
            </c:spPr>
          </c:dPt>
          <c:cat>
            <c:strRef>
              <c:f>'Chart 3 (2014)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3 (2014) DATA'!$C$3:$C$31</c:f>
              <c:numCache>
                <c:formatCode>0</c:formatCode>
                <c:ptCount val="29"/>
                <c:pt idx="0">
                  <c:v>76.960054938766163</c:v>
                </c:pt>
                <c:pt idx="1">
                  <c:v>72.333333333333343</c:v>
                </c:pt>
                <c:pt idx="2">
                  <c:v>77.014925373134318</c:v>
                </c:pt>
                <c:pt idx="3">
                  <c:v>94.660194174757279</c:v>
                </c:pt>
                <c:pt idx="4">
                  <c:v>81.746031746031747</c:v>
                </c:pt>
                <c:pt idx="5">
                  <c:v>97.435897435897431</c:v>
                </c:pt>
                <c:pt idx="6">
                  <c:v>81.558028616852155</c:v>
                </c:pt>
                <c:pt idx="7">
                  <c:v>81.620553359683782</c:v>
                </c:pt>
                <c:pt idx="8">
                  <c:v>74.433656957928804</c:v>
                </c:pt>
                <c:pt idx="9">
                  <c:v>83.333333333333343</c:v>
                </c:pt>
                <c:pt idx="10">
                  <c:v>66.260162601626021</c:v>
                </c:pt>
                <c:pt idx="11">
                  <c:v>66.183574879227052</c:v>
                </c:pt>
                <c:pt idx="12">
                  <c:v>71.790540540540533</c:v>
                </c:pt>
                <c:pt idx="13">
                  <c:v>71.544715447154474</c:v>
                </c:pt>
                <c:pt idx="14">
                  <c:v>90</c:v>
                </c:pt>
                <c:pt idx="15">
                  <c:v>88.571428571428569</c:v>
                </c:pt>
                <c:pt idx="16">
                  <c:v>83.333333333333343</c:v>
                </c:pt>
                <c:pt idx="17">
                  <c:v>85.846153846153854</c:v>
                </c:pt>
                <c:pt idx="18">
                  <c:v>84.154929577464785</c:v>
                </c:pt>
                <c:pt idx="19">
                  <c:v>88.175675675675677</c:v>
                </c:pt>
                <c:pt idx="20">
                  <c:v>89.244186046511629</c:v>
                </c:pt>
                <c:pt idx="21">
                  <c:v>65.322580645161281</c:v>
                </c:pt>
                <c:pt idx="22">
                  <c:v>80.341880341880341</c:v>
                </c:pt>
                <c:pt idx="23">
                  <c:v>72.049689440993788</c:v>
                </c:pt>
                <c:pt idx="24">
                  <c:v>75</c:v>
                </c:pt>
                <c:pt idx="25">
                  <c:v>85.714285714285708</c:v>
                </c:pt>
                <c:pt idx="26">
                  <c:v>81.395348837209298</c:v>
                </c:pt>
                <c:pt idx="27">
                  <c:v>84.974093264248708</c:v>
                </c:pt>
                <c:pt idx="28">
                  <c:v>95.454545454545453</c:v>
                </c:pt>
              </c:numCache>
            </c:numRef>
          </c:val>
        </c:ser>
        <c:ser>
          <c:idx val="1"/>
          <c:order val="1"/>
          <c:tx>
            <c:strRef>
              <c:f>'Chart 3 (2014) DATA'!$I$2</c:f>
              <c:strCache>
                <c:ptCount val="1"/>
                <c:pt idx="0">
                  <c:v>1 Day</c:v>
                </c:pt>
              </c:strCache>
            </c:strRef>
          </c:tx>
          <c:spPr>
            <a:solidFill>
              <a:srgbClr val="993366"/>
            </a:solidFill>
            <a:ln>
              <a:solidFill>
                <a:sysClr val="windowText" lastClr="000000"/>
              </a:solidFill>
            </a:ln>
          </c:spPr>
          <c:dPt>
            <c:idx val="0"/>
            <c:spPr>
              <a:solidFill>
                <a:srgbClr val="FF0000"/>
              </a:solidFill>
              <a:ln>
                <a:solidFill>
                  <a:sysClr val="windowText" lastClr="000000"/>
                </a:solidFill>
              </a:ln>
            </c:spPr>
          </c:dPt>
          <c:val>
            <c:numRef>
              <c:f>'Chart 3 (2014) DATA'!$I$3:$I$31</c:f>
              <c:numCache>
                <c:formatCode>0</c:formatCode>
                <c:ptCount val="29"/>
                <c:pt idx="0">
                  <c:v>13.643126931441003</c:v>
                </c:pt>
                <c:pt idx="1">
                  <c:v>12.666666666666657</c:v>
                </c:pt>
                <c:pt idx="2">
                  <c:v>12.835820895522389</c:v>
                </c:pt>
                <c:pt idx="3">
                  <c:v>4.3689320388349557</c:v>
                </c:pt>
                <c:pt idx="4">
                  <c:v>9.9206349206349103</c:v>
                </c:pt>
                <c:pt idx="5">
                  <c:v>2.5641025641025692</c:v>
                </c:pt>
                <c:pt idx="6">
                  <c:v>8.2670906200317944</c:v>
                </c:pt>
                <c:pt idx="7">
                  <c:v>12.64822134387353</c:v>
                </c:pt>
                <c:pt idx="8">
                  <c:v>12.783171521035598</c:v>
                </c:pt>
                <c:pt idx="9">
                  <c:v>12.962962962962948</c:v>
                </c:pt>
                <c:pt idx="10">
                  <c:v>26.219512195121951</c:v>
                </c:pt>
                <c:pt idx="11">
                  <c:v>22.222222222222229</c:v>
                </c:pt>
                <c:pt idx="12">
                  <c:v>15.878378378378386</c:v>
                </c:pt>
                <c:pt idx="13">
                  <c:v>17.344173441734412</c:v>
                </c:pt>
                <c:pt idx="14">
                  <c:v>10</c:v>
                </c:pt>
                <c:pt idx="15">
                  <c:v>10.000000000000014</c:v>
                </c:pt>
                <c:pt idx="16">
                  <c:v>9.5238095238095184</c:v>
                </c:pt>
                <c:pt idx="17">
                  <c:v>12.923076923076906</c:v>
                </c:pt>
                <c:pt idx="18">
                  <c:v>7.3943661971831034</c:v>
                </c:pt>
                <c:pt idx="19">
                  <c:v>8.7837837837837895</c:v>
                </c:pt>
                <c:pt idx="20">
                  <c:v>8.4302325581395223</c:v>
                </c:pt>
                <c:pt idx="21">
                  <c:v>16.589861751152085</c:v>
                </c:pt>
                <c:pt idx="22">
                  <c:v>13.675213675213669</c:v>
                </c:pt>
                <c:pt idx="23">
                  <c:v>16.770186335403722</c:v>
                </c:pt>
                <c:pt idx="24">
                  <c:v>10</c:v>
                </c:pt>
                <c:pt idx="25">
                  <c:v>11.428571428571431</c:v>
                </c:pt>
                <c:pt idx="26">
                  <c:v>13.178294573643413</c:v>
                </c:pt>
                <c:pt idx="27">
                  <c:v>9.326424870466326</c:v>
                </c:pt>
                <c:pt idx="28">
                  <c:v>4.5454545454545467</c:v>
                </c:pt>
              </c:numCache>
            </c:numRef>
          </c:val>
        </c:ser>
        <c:ser>
          <c:idx val="2"/>
          <c:order val="2"/>
          <c:tx>
            <c:strRef>
              <c:f>'Chart 3 (2014) DATA'!$J$2</c:f>
              <c:strCache>
                <c:ptCount val="1"/>
                <c:pt idx="0">
                  <c:v>2 Days</c:v>
                </c:pt>
              </c:strCache>
            </c:strRef>
          </c:tx>
          <c:spPr>
            <a:solidFill>
              <a:srgbClr val="FFFFCC"/>
            </a:solidFill>
            <a:ln>
              <a:solidFill>
                <a:sysClr val="windowText" lastClr="000000"/>
              </a:solidFill>
            </a:ln>
          </c:spPr>
          <c:dPt>
            <c:idx val="0"/>
            <c:spPr>
              <a:solidFill>
                <a:srgbClr val="99CC00"/>
              </a:solidFill>
              <a:ln>
                <a:solidFill>
                  <a:sysClr val="windowText" lastClr="000000"/>
                </a:solidFill>
              </a:ln>
            </c:spPr>
          </c:dPt>
          <c:val>
            <c:numRef>
              <c:f>'Chart 3 (2014) DATA'!$J$3:$J$31</c:f>
              <c:numCache>
                <c:formatCode>0</c:formatCode>
                <c:ptCount val="29"/>
                <c:pt idx="0">
                  <c:v>1.5337072221586396</c:v>
                </c:pt>
                <c:pt idx="1">
                  <c:v>1.3333333333333286</c:v>
                </c:pt>
                <c:pt idx="2">
                  <c:v>1.4925373134328481</c:v>
                </c:pt>
                <c:pt idx="3">
                  <c:v>0.48543689320388239</c:v>
                </c:pt>
                <c:pt idx="4">
                  <c:v>1.5873015873015959</c:v>
                </c:pt>
                <c:pt idx="5">
                  <c:v>0</c:v>
                </c:pt>
                <c:pt idx="6">
                  <c:v>0.95389507154212083</c:v>
                </c:pt>
                <c:pt idx="7">
                  <c:v>1.3833992094861713</c:v>
                </c:pt>
                <c:pt idx="8">
                  <c:v>1.7799352750809021</c:v>
                </c:pt>
                <c:pt idx="9">
                  <c:v>0.92592592592592382</c:v>
                </c:pt>
                <c:pt idx="10">
                  <c:v>1.6260162601626007</c:v>
                </c:pt>
                <c:pt idx="11">
                  <c:v>5.3140096618357546</c:v>
                </c:pt>
                <c:pt idx="12">
                  <c:v>1.5202702702702737</c:v>
                </c:pt>
                <c:pt idx="13">
                  <c:v>2.1680216802167962</c:v>
                </c:pt>
                <c:pt idx="14">
                  <c:v>0</c:v>
                </c:pt>
                <c:pt idx="15">
                  <c:v>0</c:v>
                </c:pt>
                <c:pt idx="16">
                  <c:v>0</c:v>
                </c:pt>
                <c:pt idx="17">
                  <c:v>0</c:v>
                </c:pt>
                <c:pt idx="18">
                  <c:v>3.1690140845070403</c:v>
                </c:pt>
                <c:pt idx="19">
                  <c:v>0.675675675675663</c:v>
                </c:pt>
                <c:pt idx="20">
                  <c:v>0.87209302325582883</c:v>
                </c:pt>
                <c:pt idx="21">
                  <c:v>1.1520737327188897</c:v>
                </c:pt>
                <c:pt idx="22">
                  <c:v>1.7094017094017175</c:v>
                </c:pt>
                <c:pt idx="23">
                  <c:v>1.5527950310559078</c:v>
                </c:pt>
                <c:pt idx="24">
                  <c:v>5</c:v>
                </c:pt>
                <c:pt idx="25">
                  <c:v>2.8571428571428612</c:v>
                </c:pt>
                <c:pt idx="26">
                  <c:v>2.3255813953488342</c:v>
                </c:pt>
                <c:pt idx="27">
                  <c:v>2.5906735751295287</c:v>
                </c:pt>
                <c:pt idx="28">
                  <c:v>0</c:v>
                </c:pt>
              </c:numCache>
            </c:numRef>
          </c:val>
        </c:ser>
        <c:overlap val="100"/>
        <c:axId val="70478848"/>
        <c:axId val="70488832"/>
      </c:barChart>
      <c:lineChart>
        <c:grouping val="standard"/>
        <c:ser>
          <c:idx val="3"/>
          <c:order val="3"/>
          <c:tx>
            <c:strRef>
              <c:f>'Chart 3 (2014) DATA'!$L$2</c:f>
              <c:strCache>
                <c:ptCount val="1"/>
                <c:pt idx="0">
                  <c:v>Stroke Standard (2013)</c:v>
                </c:pt>
              </c:strCache>
            </c:strRef>
          </c:tx>
          <c:spPr>
            <a:ln>
              <a:solidFill>
                <a:srgbClr val="0070C0"/>
              </a:solidFill>
            </a:ln>
          </c:spPr>
          <c:marker>
            <c:symbol val="none"/>
          </c:marker>
          <c:val>
            <c:numRef>
              <c:f>'Chart 3 (2014) DATA'!$L$3:$L$31</c:f>
              <c:numCache>
                <c:formatCode>General</c:formatCode>
                <c:ptCount val="29"/>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numCache>
            </c:numRef>
          </c:val>
        </c:ser>
        <c:marker val="1"/>
        <c:axId val="70478848"/>
        <c:axId val="70488832"/>
      </c:lineChart>
      <c:catAx>
        <c:axId val="70478848"/>
        <c:scaling>
          <c:orientation val="minMax"/>
        </c:scaling>
        <c:axPos val="b"/>
        <c:tickLblPos val="nextTo"/>
        <c:txPr>
          <a:bodyPr rot="-5400000" vert="horz"/>
          <a:lstStyle/>
          <a:p>
            <a:pPr>
              <a:defRPr sz="800"/>
            </a:pPr>
            <a:endParaRPr lang="en-US"/>
          </a:p>
        </c:txPr>
        <c:crossAx val="70488832"/>
        <c:crosses val="autoZero"/>
        <c:auto val="1"/>
        <c:lblAlgn val="ctr"/>
        <c:lblOffset val="100"/>
      </c:catAx>
      <c:valAx>
        <c:axId val="70488832"/>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0478848"/>
        <c:crosses val="autoZero"/>
        <c:crossBetween val="between"/>
      </c:valAx>
      <c:spPr>
        <a:ln>
          <a:solidFill>
            <a:schemeClr val="tx1"/>
          </a:solidFill>
        </a:ln>
      </c:spPr>
    </c:plotArea>
    <c:legend>
      <c:legendPos val="r"/>
      <c:layout>
        <c:manualLayout>
          <c:xMode val="edge"/>
          <c:yMode val="edge"/>
          <c:x val="0.8917909508803038"/>
          <c:y val="0.32282912004420788"/>
          <c:w val="8.8657028239364027E-2"/>
          <c:h val="0.27915378998677798"/>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472E-2"/>
          <c:y val="8.0232093304875005E-2"/>
          <c:w val="0.81007028782419432"/>
          <c:h val="0.72370482152729065"/>
        </c:manualLayout>
      </c:layout>
      <c:barChart>
        <c:barDir val="col"/>
        <c:grouping val="stacked"/>
        <c:ser>
          <c:idx val="0"/>
          <c:order val="1"/>
          <c:tx>
            <c:strRef>
              <c:f>'Chart 4 (2015) DATA'!$D$2</c:f>
              <c:strCache>
                <c:ptCount val="1"/>
                <c:pt idx="0">
                  <c:v>Within 4 hours</c:v>
                </c:pt>
              </c:strCache>
            </c:strRef>
          </c:tx>
          <c:spPr>
            <a:solidFill>
              <a:srgbClr val="9999FF"/>
            </a:solidFill>
            <a:ln>
              <a:solidFill>
                <a:schemeClr val="tx1"/>
              </a:solidFill>
            </a:ln>
          </c:spPr>
          <c:dPt>
            <c:idx val="0"/>
            <c:spPr>
              <a:solidFill>
                <a:srgbClr val="008000"/>
              </a:solidFill>
              <a:ln>
                <a:solidFill>
                  <a:schemeClr val="tx1"/>
                </a:solidFill>
              </a:ln>
            </c:spPr>
          </c:dPt>
          <c:val>
            <c:numRef>
              <c:f>'Chart 4 (2015) DATA'!$D$3:$D$32</c:f>
              <c:numCache>
                <c:formatCode>0</c:formatCode>
                <c:ptCount val="30"/>
                <c:pt idx="0">
                  <c:v>56.492355417682248</c:v>
                </c:pt>
                <c:pt idx="1">
                  <c:v>32.824427480916029</c:v>
                </c:pt>
                <c:pt idx="2">
                  <c:v>42.52577319587629</c:v>
                </c:pt>
                <c:pt idx="3">
                  <c:v>68.036529680365305</c:v>
                </c:pt>
                <c:pt idx="4">
                  <c:v>50.205761316872433</c:v>
                </c:pt>
                <c:pt idx="5">
                  <c:v>80</c:v>
                </c:pt>
                <c:pt idx="6">
                  <c:v>64.98422712933754</c:v>
                </c:pt>
                <c:pt idx="7">
                  <c:v>44.117647058823529</c:v>
                </c:pt>
                <c:pt idx="8">
                  <c:v>69.40836940836941</c:v>
                </c:pt>
                <c:pt idx="9">
                  <c:v>62.307692307692307</c:v>
                </c:pt>
                <c:pt idx="10">
                  <c:v>51.698113207547166</c:v>
                </c:pt>
                <c:pt idx="11">
                  <c:v>44.549763033175353</c:v>
                </c:pt>
                <c:pt idx="12">
                  <c:v>69.641294838145228</c:v>
                </c:pt>
                <c:pt idx="13">
                  <c:v>42.857142857142854</c:v>
                </c:pt>
                <c:pt idx="14">
                  <c:v>60.714285714285708</c:v>
                </c:pt>
                <c:pt idx="15">
                  <c:v>62.5</c:v>
                </c:pt>
                <c:pt idx="16">
                  <c:v>60</c:v>
                </c:pt>
                <c:pt idx="17">
                  <c:v>44.632768361581924</c:v>
                </c:pt>
                <c:pt idx="18">
                  <c:v>60.465116279069761</c:v>
                </c:pt>
                <c:pt idx="19">
                  <c:v>37.962962962962962</c:v>
                </c:pt>
                <c:pt idx="20">
                  <c:v>56.36363636363636</c:v>
                </c:pt>
                <c:pt idx="21">
                  <c:v>68.90308839190628</c:v>
                </c:pt>
                <c:pt idx="22">
                  <c:v>76.706827309236942</c:v>
                </c:pt>
                <c:pt idx="23">
                  <c:v>51.394422310756973</c:v>
                </c:pt>
                <c:pt idx="24">
                  <c:v>55.000000000000007</c:v>
                </c:pt>
                <c:pt idx="25">
                  <c:v>60</c:v>
                </c:pt>
                <c:pt idx="26">
                  <c:v>30.155210643015522</c:v>
                </c:pt>
                <c:pt idx="27">
                  <c:v>55.135135135135137</c:v>
                </c:pt>
                <c:pt idx="28">
                  <c:v>0</c:v>
                </c:pt>
                <c:pt idx="29">
                  <c:v>91.17647058823529</c:v>
                </c:pt>
              </c:numCache>
            </c:numRef>
          </c:val>
        </c:ser>
        <c:ser>
          <c:idx val="1"/>
          <c:order val="2"/>
          <c:tx>
            <c:strRef>
              <c:f>'Chart 4 (2015) DATA'!$M$2</c:f>
              <c:strCache>
                <c:ptCount val="1"/>
                <c:pt idx="0">
                  <c:v>Within 24 hours</c:v>
                </c:pt>
              </c:strCache>
            </c:strRef>
          </c:tx>
          <c:spPr>
            <a:solidFill>
              <a:srgbClr val="993366"/>
            </a:solidFill>
            <a:ln>
              <a:solidFill>
                <a:prstClr val="black"/>
              </a:solidFill>
            </a:ln>
          </c:spPr>
          <c:dPt>
            <c:idx val="0"/>
            <c:spPr>
              <a:solidFill>
                <a:srgbClr val="99CC00"/>
              </a:solidFill>
              <a:ln>
                <a:solidFill>
                  <a:prstClr val="black"/>
                </a:solidFill>
              </a:ln>
            </c:spPr>
          </c:dPt>
          <c:cat>
            <c:strRef>
              <c:f>'Chart 4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4 (2015) DATA'!$M$3:$M$32</c:f>
              <c:numCache>
                <c:formatCode>0</c:formatCode>
                <c:ptCount val="30"/>
                <c:pt idx="0">
                  <c:v>34.96565477509418</c:v>
                </c:pt>
                <c:pt idx="1">
                  <c:v>48.091603053435122</c:v>
                </c:pt>
                <c:pt idx="2">
                  <c:v>45.103092783505154</c:v>
                </c:pt>
                <c:pt idx="3">
                  <c:v>31.050228310502277</c:v>
                </c:pt>
                <c:pt idx="4">
                  <c:v>41.563786008230458</c:v>
                </c:pt>
                <c:pt idx="5">
                  <c:v>10</c:v>
                </c:pt>
                <c:pt idx="6">
                  <c:v>30.599369085173507</c:v>
                </c:pt>
                <c:pt idx="7">
                  <c:v>52.205882352941181</c:v>
                </c:pt>
                <c:pt idx="8">
                  <c:v>23.80952380952381</c:v>
                </c:pt>
                <c:pt idx="9">
                  <c:v>30</c:v>
                </c:pt>
                <c:pt idx="10">
                  <c:v>36.037735849056617</c:v>
                </c:pt>
                <c:pt idx="11">
                  <c:v>46.445497630331758</c:v>
                </c:pt>
                <c:pt idx="12">
                  <c:v>24.846894138232727</c:v>
                </c:pt>
                <c:pt idx="13">
                  <c:v>46.285714285714285</c:v>
                </c:pt>
                <c:pt idx="14">
                  <c:v>21.428571428571431</c:v>
                </c:pt>
                <c:pt idx="15">
                  <c:v>34.722222222222214</c:v>
                </c:pt>
                <c:pt idx="16">
                  <c:v>26.666666666666671</c:v>
                </c:pt>
                <c:pt idx="17">
                  <c:v>42.372881355932194</c:v>
                </c:pt>
                <c:pt idx="18">
                  <c:v>34.551495016611298</c:v>
                </c:pt>
                <c:pt idx="19">
                  <c:v>48.148148148148152</c:v>
                </c:pt>
                <c:pt idx="20">
                  <c:v>40</c:v>
                </c:pt>
                <c:pt idx="21">
                  <c:v>22.151224707135242</c:v>
                </c:pt>
                <c:pt idx="22">
                  <c:v>20.08032128514057</c:v>
                </c:pt>
                <c:pt idx="23">
                  <c:v>37.848605577689234</c:v>
                </c:pt>
                <c:pt idx="24">
                  <c:v>19.999999999999993</c:v>
                </c:pt>
                <c:pt idx="25">
                  <c:v>25.714285714285708</c:v>
                </c:pt>
                <c:pt idx="26">
                  <c:v>52.106430155210646</c:v>
                </c:pt>
                <c:pt idx="27">
                  <c:v>39.45945945945946</c:v>
                </c:pt>
                <c:pt idx="28">
                  <c:v>0</c:v>
                </c:pt>
                <c:pt idx="29">
                  <c:v>5.8823529411764781</c:v>
                </c:pt>
              </c:numCache>
            </c:numRef>
          </c:val>
        </c:ser>
        <c:overlap val="100"/>
        <c:axId val="70578944"/>
        <c:axId val="70580480"/>
      </c:barChart>
      <c:lineChart>
        <c:grouping val="standard"/>
        <c:ser>
          <c:idx val="3"/>
          <c:order val="0"/>
          <c:tx>
            <c:strRef>
              <c:f>'Chart 4 (2015) DATA'!$N$2</c:f>
              <c:strCache>
                <c:ptCount val="1"/>
                <c:pt idx="0">
                  <c:v>Stroke Standard (2013)</c:v>
                </c:pt>
              </c:strCache>
            </c:strRef>
          </c:tx>
          <c:spPr>
            <a:ln>
              <a:solidFill>
                <a:srgbClr val="0070C0"/>
              </a:solidFill>
            </a:ln>
          </c:spPr>
          <c:marker>
            <c:symbol val="none"/>
          </c:marker>
          <c:cat>
            <c:strRef>
              <c:f>'Chart 4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4 (2015) DATA'!$N$3:$N$32</c:f>
              <c:numCache>
                <c:formatCode>General</c:formatCode>
                <c:ptCount val="30"/>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70578944"/>
        <c:axId val="70580480"/>
      </c:lineChart>
      <c:catAx>
        <c:axId val="70578944"/>
        <c:scaling>
          <c:orientation val="minMax"/>
        </c:scaling>
        <c:axPos val="b"/>
        <c:tickLblPos val="nextTo"/>
        <c:txPr>
          <a:bodyPr rot="-5400000" vert="horz"/>
          <a:lstStyle/>
          <a:p>
            <a:pPr>
              <a:defRPr sz="800"/>
            </a:pPr>
            <a:endParaRPr lang="en-US"/>
          </a:p>
        </c:txPr>
        <c:crossAx val="70580480"/>
        <c:crosses val="autoZero"/>
        <c:auto val="1"/>
        <c:lblAlgn val="ctr"/>
        <c:lblOffset val="100"/>
      </c:catAx>
      <c:valAx>
        <c:axId val="70580480"/>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0578944"/>
        <c:crosses val="autoZero"/>
        <c:crossBetween val="between"/>
      </c:valAx>
      <c:spPr>
        <a:ln>
          <a:solidFill>
            <a:schemeClr val="tx1"/>
          </a:solidFill>
        </a:ln>
      </c:spPr>
    </c:plotArea>
    <c:legend>
      <c:legendPos val="r"/>
      <c:layout>
        <c:manualLayout>
          <c:xMode val="edge"/>
          <c:yMode val="edge"/>
          <c:x val="0.88435876953507897"/>
          <c:y val="0.32533538570836673"/>
          <c:w val="0.10077686777447142"/>
          <c:h val="0.21610384228287274"/>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506E-2"/>
          <c:y val="8.0232093304875005E-2"/>
          <c:w val="0.81007028782419455"/>
          <c:h val="0.72370482152729065"/>
        </c:manualLayout>
      </c:layout>
      <c:barChart>
        <c:barDir val="col"/>
        <c:grouping val="stacked"/>
        <c:ser>
          <c:idx val="0"/>
          <c:order val="1"/>
          <c:tx>
            <c:strRef>
              <c:f>'Chart 4 (2014) DATA'!$D$2</c:f>
              <c:strCache>
                <c:ptCount val="1"/>
                <c:pt idx="0">
                  <c:v>Within 4 hours</c:v>
                </c:pt>
              </c:strCache>
            </c:strRef>
          </c:tx>
          <c:spPr>
            <a:solidFill>
              <a:srgbClr val="9999FF"/>
            </a:solidFill>
            <a:ln>
              <a:solidFill>
                <a:schemeClr val="tx1"/>
              </a:solidFill>
            </a:ln>
          </c:spPr>
          <c:dPt>
            <c:idx val="0"/>
            <c:spPr>
              <a:solidFill>
                <a:srgbClr val="008000"/>
              </a:solidFill>
              <a:ln>
                <a:solidFill>
                  <a:schemeClr val="tx1"/>
                </a:solidFill>
              </a:ln>
            </c:spPr>
          </c:dPt>
          <c:val>
            <c:numRef>
              <c:f>'Chart 4 (2014) DATA'!$D$3:$D$31</c:f>
              <c:numCache>
                <c:formatCode>0</c:formatCode>
                <c:ptCount val="29"/>
                <c:pt idx="0">
                  <c:v>54.160466979512421</c:v>
                </c:pt>
                <c:pt idx="1">
                  <c:v>33</c:v>
                </c:pt>
                <c:pt idx="2">
                  <c:v>40.597014925373131</c:v>
                </c:pt>
                <c:pt idx="3">
                  <c:v>65.533980582524279</c:v>
                </c:pt>
                <c:pt idx="4">
                  <c:v>49.206349206349202</c:v>
                </c:pt>
                <c:pt idx="5">
                  <c:v>79.487179487179489</c:v>
                </c:pt>
                <c:pt idx="6">
                  <c:v>61.526232114467405</c:v>
                </c:pt>
                <c:pt idx="7">
                  <c:v>43.280632411067195</c:v>
                </c:pt>
                <c:pt idx="8">
                  <c:v>67.475728155339809</c:v>
                </c:pt>
                <c:pt idx="9">
                  <c:v>60.185185185185183</c:v>
                </c:pt>
                <c:pt idx="10">
                  <c:v>53.658536585365859</c:v>
                </c:pt>
                <c:pt idx="11">
                  <c:v>31.40096618357488</c:v>
                </c:pt>
                <c:pt idx="12">
                  <c:v>65.456081081081081</c:v>
                </c:pt>
                <c:pt idx="13">
                  <c:v>31.165311653116529</c:v>
                </c:pt>
                <c:pt idx="14">
                  <c:v>83.333333333333343</c:v>
                </c:pt>
                <c:pt idx="15">
                  <c:v>65.714285714285708</c:v>
                </c:pt>
                <c:pt idx="16">
                  <c:v>61.904761904761905</c:v>
                </c:pt>
                <c:pt idx="17">
                  <c:v>42.46153846153846</c:v>
                </c:pt>
                <c:pt idx="18">
                  <c:v>58.802816901408448</c:v>
                </c:pt>
                <c:pt idx="19">
                  <c:v>34.45945945945946</c:v>
                </c:pt>
                <c:pt idx="20">
                  <c:v>48.255813953488378</c:v>
                </c:pt>
                <c:pt idx="21">
                  <c:v>71.543778801843317</c:v>
                </c:pt>
                <c:pt idx="22">
                  <c:v>74.358974358974365</c:v>
                </c:pt>
                <c:pt idx="23">
                  <c:v>54.347826086956516</c:v>
                </c:pt>
                <c:pt idx="24">
                  <c:v>2.5</c:v>
                </c:pt>
                <c:pt idx="25">
                  <c:v>37.142857142857146</c:v>
                </c:pt>
                <c:pt idx="26">
                  <c:v>31.524547803617569</c:v>
                </c:pt>
                <c:pt idx="27">
                  <c:v>55.440414507772019</c:v>
                </c:pt>
                <c:pt idx="28">
                  <c:v>77.272727272727266</c:v>
                </c:pt>
              </c:numCache>
            </c:numRef>
          </c:val>
        </c:ser>
        <c:ser>
          <c:idx val="1"/>
          <c:order val="2"/>
          <c:tx>
            <c:strRef>
              <c:f>'Chart 4 (2014) DATA'!$M$2</c:f>
              <c:strCache>
                <c:ptCount val="1"/>
                <c:pt idx="0">
                  <c:v>Within 24 hours</c:v>
                </c:pt>
              </c:strCache>
            </c:strRef>
          </c:tx>
          <c:spPr>
            <a:solidFill>
              <a:srgbClr val="993366"/>
            </a:solidFill>
            <a:ln>
              <a:solidFill>
                <a:prstClr val="black"/>
              </a:solidFill>
            </a:ln>
          </c:spPr>
          <c:dPt>
            <c:idx val="0"/>
            <c:spPr>
              <a:solidFill>
                <a:srgbClr val="99CC00"/>
              </a:solidFill>
              <a:ln>
                <a:solidFill>
                  <a:prstClr val="black"/>
                </a:solidFill>
              </a:ln>
            </c:spPr>
          </c:dPt>
          <c:cat>
            <c:strRef>
              <c:f>'Chart 4 (2014)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4 (2014) DATA'!$M$3:$M$31</c:f>
              <c:numCache>
                <c:formatCode>0</c:formatCode>
                <c:ptCount val="29"/>
                <c:pt idx="0">
                  <c:v>35.549959940483006</c:v>
                </c:pt>
                <c:pt idx="1">
                  <c:v>43.666666666666671</c:v>
                </c:pt>
                <c:pt idx="2">
                  <c:v>48.656716417910445</c:v>
                </c:pt>
                <c:pt idx="3">
                  <c:v>33.009708737864074</c:v>
                </c:pt>
                <c:pt idx="4">
                  <c:v>41.666666666666671</c:v>
                </c:pt>
                <c:pt idx="5">
                  <c:v>20.512820512820511</c:v>
                </c:pt>
                <c:pt idx="6">
                  <c:v>31.796502384737678</c:v>
                </c:pt>
                <c:pt idx="7">
                  <c:v>51.383399209486164</c:v>
                </c:pt>
                <c:pt idx="8">
                  <c:v>22.330097087378647</c:v>
                </c:pt>
                <c:pt idx="9">
                  <c:v>30.555555555555564</c:v>
                </c:pt>
                <c:pt idx="10">
                  <c:v>32.317073170731696</c:v>
                </c:pt>
                <c:pt idx="11">
                  <c:v>55.555555555555557</c:v>
                </c:pt>
                <c:pt idx="12">
                  <c:v>28.631756756756758</c:v>
                </c:pt>
                <c:pt idx="13">
                  <c:v>43.902439024390247</c:v>
                </c:pt>
                <c:pt idx="14">
                  <c:v>9.9999999999999858</c:v>
                </c:pt>
                <c:pt idx="15">
                  <c:v>25.714285714285722</c:v>
                </c:pt>
                <c:pt idx="16">
                  <c:v>30.952380952380956</c:v>
                </c:pt>
                <c:pt idx="17">
                  <c:v>47.692307692307686</c:v>
                </c:pt>
                <c:pt idx="18">
                  <c:v>33.802816901408448</c:v>
                </c:pt>
                <c:pt idx="19">
                  <c:v>53.378378378378379</c:v>
                </c:pt>
                <c:pt idx="20">
                  <c:v>47.674418604651159</c:v>
                </c:pt>
                <c:pt idx="21">
                  <c:v>17.741935483870975</c:v>
                </c:pt>
                <c:pt idx="22">
                  <c:v>21.794871794871796</c:v>
                </c:pt>
                <c:pt idx="23">
                  <c:v>36.33540372670808</c:v>
                </c:pt>
                <c:pt idx="24">
                  <c:v>25.000000000000004</c:v>
                </c:pt>
                <c:pt idx="25">
                  <c:v>42.857142857142854</c:v>
                </c:pt>
                <c:pt idx="26">
                  <c:v>48.83720930232559</c:v>
                </c:pt>
                <c:pt idx="27">
                  <c:v>40.414507772020727</c:v>
                </c:pt>
                <c:pt idx="28">
                  <c:v>18.181818181818187</c:v>
                </c:pt>
              </c:numCache>
            </c:numRef>
          </c:val>
        </c:ser>
        <c:overlap val="100"/>
        <c:axId val="71018368"/>
        <c:axId val="71019904"/>
      </c:barChart>
      <c:lineChart>
        <c:grouping val="standard"/>
        <c:ser>
          <c:idx val="3"/>
          <c:order val="0"/>
          <c:tx>
            <c:strRef>
              <c:f>'Chart 4 (2014) DATA'!$N$2</c:f>
              <c:strCache>
                <c:ptCount val="1"/>
                <c:pt idx="0">
                  <c:v>Stroke Standard (2013)</c:v>
                </c:pt>
              </c:strCache>
            </c:strRef>
          </c:tx>
          <c:spPr>
            <a:ln>
              <a:solidFill>
                <a:srgbClr val="0070C0"/>
              </a:solidFill>
            </a:ln>
          </c:spPr>
          <c:marker>
            <c:symbol val="none"/>
          </c:marker>
          <c:cat>
            <c:strRef>
              <c:f>'Chart 4 (2014)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4 (2014) DATA'!$N$3:$N$31</c:f>
              <c:numCache>
                <c:formatCode>General</c:formatCode>
                <c:ptCount val="29"/>
                <c:pt idx="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numCache>
            </c:numRef>
          </c:val>
        </c:ser>
        <c:marker val="1"/>
        <c:axId val="71018368"/>
        <c:axId val="71019904"/>
      </c:lineChart>
      <c:catAx>
        <c:axId val="71018368"/>
        <c:scaling>
          <c:orientation val="minMax"/>
        </c:scaling>
        <c:axPos val="b"/>
        <c:tickLblPos val="nextTo"/>
        <c:txPr>
          <a:bodyPr rot="-5400000" vert="horz"/>
          <a:lstStyle/>
          <a:p>
            <a:pPr>
              <a:defRPr sz="800"/>
            </a:pPr>
            <a:endParaRPr lang="en-US"/>
          </a:p>
        </c:txPr>
        <c:crossAx val="71019904"/>
        <c:crosses val="autoZero"/>
        <c:auto val="1"/>
        <c:lblAlgn val="ctr"/>
        <c:lblOffset val="100"/>
      </c:catAx>
      <c:valAx>
        <c:axId val="71019904"/>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1018368"/>
        <c:crosses val="autoZero"/>
        <c:crossBetween val="between"/>
      </c:valAx>
      <c:spPr>
        <a:ln>
          <a:solidFill>
            <a:schemeClr val="tx1"/>
          </a:solidFill>
        </a:ln>
      </c:spPr>
    </c:plotArea>
    <c:legend>
      <c:legendPos val="r"/>
      <c:layout>
        <c:manualLayout>
          <c:xMode val="edge"/>
          <c:yMode val="edge"/>
          <c:x val="0.88435876953507897"/>
          <c:y val="0.3253353857083669"/>
          <c:w val="0.10077686777447142"/>
          <c:h val="0.21610384228287274"/>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472E-2"/>
          <c:y val="8.0232093304875005E-2"/>
          <c:w val="0.81007028782419432"/>
          <c:h val="0.72370482152729065"/>
        </c:manualLayout>
      </c:layout>
      <c:barChart>
        <c:barDir val="col"/>
        <c:grouping val="stacked"/>
        <c:ser>
          <c:idx val="3"/>
          <c:order val="0"/>
          <c:tx>
            <c:strRef>
              <c:f>'Chart 5 (2015) DATA'!$C$2</c:f>
              <c:strCache>
                <c:ptCount val="1"/>
                <c:pt idx="0">
                  <c:v>Same Day</c:v>
                </c:pt>
              </c:strCache>
            </c:strRef>
          </c:tx>
          <c:spPr>
            <a:solidFill>
              <a:srgbClr val="9999FF"/>
            </a:solidFill>
            <a:ln>
              <a:solidFill>
                <a:schemeClr val="tx1"/>
              </a:solidFill>
            </a:ln>
          </c:spPr>
          <c:dPt>
            <c:idx val="0"/>
            <c:spPr>
              <a:solidFill>
                <a:srgbClr val="008000"/>
              </a:solidFill>
              <a:ln>
                <a:solidFill>
                  <a:schemeClr val="tx1"/>
                </a:solidFill>
              </a:ln>
            </c:spPr>
          </c:dPt>
          <c:cat>
            <c:strRef>
              <c:f>'Chart 5 (2015)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5 (2015) DATA'!$C$3:$C$31</c:f>
              <c:numCache>
                <c:formatCode>0</c:formatCode>
                <c:ptCount val="29"/>
                <c:pt idx="0">
                  <c:v>54.863877822045147</c:v>
                </c:pt>
                <c:pt idx="1">
                  <c:v>29.032258064516132</c:v>
                </c:pt>
                <c:pt idx="2">
                  <c:v>27.407407407407408</c:v>
                </c:pt>
                <c:pt idx="3">
                  <c:v>72.535211267605632</c:v>
                </c:pt>
                <c:pt idx="4">
                  <c:v>53.103448275862064</c:v>
                </c:pt>
                <c:pt idx="5">
                  <c:v>69.230769230769226</c:v>
                </c:pt>
                <c:pt idx="6">
                  <c:v>58.574610244988868</c:v>
                </c:pt>
                <c:pt idx="7">
                  <c:v>51.225490196078425</c:v>
                </c:pt>
                <c:pt idx="8">
                  <c:v>68.918918918918919</c:v>
                </c:pt>
                <c:pt idx="9">
                  <c:v>69.230769230769226</c:v>
                </c:pt>
                <c:pt idx="10">
                  <c:v>62.019230769230774</c:v>
                </c:pt>
                <c:pt idx="11">
                  <c:v>49.382716049382715</c:v>
                </c:pt>
                <c:pt idx="12">
                  <c:v>59.635811836115323</c:v>
                </c:pt>
                <c:pt idx="13">
                  <c:v>45.090909090909093</c:v>
                </c:pt>
                <c:pt idx="14">
                  <c:v>60</c:v>
                </c:pt>
                <c:pt idx="15">
                  <c:v>75.555555555555557</c:v>
                </c:pt>
                <c:pt idx="16">
                  <c:v>55.555555555555557</c:v>
                </c:pt>
                <c:pt idx="17">
                  <c:v>62.114537444933923</c:v>
                </c:pt>
                <c:pt idx="18">
                  <c:v>55.752212389380531</c:v>
                </c:pt>
                <c:pt idx="19">
                  <c:v>29.411764705882355</c:v>
                </c:pt>
                <c:pt idx="20">
                  <c:v>52.838427947598255</c:v>
                </c:pt>
                <c:pt idx="21">
                  <c:v>60.399334442595674</c:v>
                </c:pt>
                <c:pt idx="22">
                  <c:v>71.823204419889507</c:v>
                </c:pt>
                <c:pt idx="23">
                  <c:v>44.252873563218394</c:v>
                </c:pt>
                <c:pt idx="24">
                  <c:v>65.384615384615387</c:v>
                </c:pt>
                <c:pt idx="25">
                  <c:v>59.259259259259252</c:v>
                </c:pt>
                <c:pt idx="26">
                  <c:v>45.714285714285715</c:v>
                </c:pt>
                <c:pt idx="27">
                  <c:v>66.101694915254242</c:v>
                </c:pt>
                <c:pt idx="28">
                  <c:v>70</c:v>
                </c:pt>
              </c:numCache>
            </c:numRef>
          </c:val>
        </c:ser>
        <c:ser>
          <c:idx val="1"/>
          <c:order val="2"/>
          <c:tx>
            <c:strRef>
              <c:f>'Chart 5 (2015) DATA'!$I$2</c:f>
              <c:strCache>
                <c:ptCount val="1"/>
                <c:pt idx="0">
                  <c:v>1 Day</c:v>
                </c:pt>
              </c:strCache>
            </c:strRef>
          </c:tx>
          <c:spPr>
            <a:solidFill>
              <a:srgbClr val="993366"/>
            </a:solidFill>
            <a:ln>
              <a:solidFill>
                <a:schemeClr val="tx1"/>
              </a:solidFill>
            </a:ln>
          </c:spPr>
          <c:dPt>
            <c:idx val="0"/>
            <c:spPr>
              <a:solidFill>
                <a:srgbClr val="FF0000"/>
              </a:solidFill>
              <a:ln>
                <a:solidFill>
                  <a:schemeClr val="tx1"/>
                </a:solidFill>
              </a:ln>
            </c:spPr>
          </c:dPt>
          <c:val>
            <c:numRef>
              <c:f>'Chart 5 (2015) DATA'!$I$3:$I$31</c:f>
              <c:numCache>
                <c:formatCode>0</c:formatCode>
                <c:ptCount val="29"/>
                <c:pt idx="0">
                  <c:v>35.092961487383796</c:v>
                </c:pt>
                <c:pt idx="1">
                  <c:v>50</c:v>
                </c:pt>
                <c:pt idx="2">
                  <c:v>60.370370370370367</c:v>
                </c:pt>
                <c:pt idx="3">
                  <c:v>25.352112676056336</c:v>
                </c:pt>
                <c:pt idx="4">
                  <c:v>40</c:v>
                </c:pt>
                <c:pt idx="5">
                  <c:v>23.07692307692308</c:v>
                </c:pt>
                <c:pt idx="6">
                  <c:v>35.857461024498882</c:v>
                </c:pt>
                <c:pt idx="7">
                  <c:v>41.911764705882362</c:v>
                </c:pt>
                <c:pt idx="8">
                  <c:v>19.459459459459453</c:v>
                </c:pt>
                <c:pt idx="9">
                  <c:v>24.175824175824175</c:v>
                </c:pt>
                <c:pt idx="10">
                  <c:v>29.086538461538453</c:v>
                </c:pt>
                <c:pt idx="11">
                  <c:v>45.061728395061728</c:v>
                </c:pt>
                <c:pt idx="12">
                  <c:v>27.769347496206379</c:v>
                </c:pt>
                <c:pt idx="13">
                  <c:v>41.090909090909093</c:v>
                </c:pt>
                <c:pt idx="14">
                  <c:v>26.666666666666671</c:v>
                </c:pt>
                <c:pt idx="15">
                  <c:v>20</c:v>
                </c:pt>
                <c:pt idx="16">
                  <c:v>33.333333333333329</c:v>
                </c:pt>
                <c:pt idx="17">
                  <c:v>30.837004405286343</c:v>
                </c:pt>
                <c:pt idx="18">
                  <c:v>33.628318584070797</c:v>
                </c:pt>
                <c:pt idx="19">
                  <c:v>58.823529411764703</c:v>
                </c:pt>
                <c:pt idx="20">
                  <c:v>41.484716157205234</c:v>
                </c:pt>
                <c:pt idx="21">
                  <c:v>26.289517470881862</c:v>
                </c:pt>
                <c:pt idx="22">
                  <c:v>24.309392265193367</c:v>
                </c:pt>
                <c:pt idx="23">
                  <c:v>39.080459770114949</c:v>
                </c:pt>
                <c:pt idx="24">
                  <c:v>15.384615384615387</c:v>
                </c:pt>
                <c:pt idx="25">
                  <c:v>33.333333333333343</c:v>
                </c:pt>
                <c:pt idx="26">
                  <c:v>44.285714285714285</c:v>
                </c:pt>
                <c:pt idx="27">
                  <c:v>25.423728813559322</c:v>
                </c:pt>
                <c:pt idx="28">
                  <c:v>25</c:v>
                </c:pt>
              </c:numCache>
            </c:numRef>
          </c:val>
        </c:ser>
        <c:ser>
          <c:idx val="2"/>
          <c:order val="3"/>
          <c:tx>
            <c:strRef>
              <c:f>'Chart 5 (2015) DATA'!$J$2</c:f>
              <c:strCache>
                <c:ptCount val="1"/>
                <c:pt idx="0">
                  <c:v>2 Days</c:v>
                </c:pt>
              </c:strCache>
            </c:strRef>
          </c:tx>
          <c:spPr>
            <a:solidFill>
              <a:srgbClr val="FFFFCC"/>
            </a:solidFill>
            <a:ln>
              <a:solidFill>
                <a:schemeClr val="tx1"/>
              </a:solidFill>
            </a:ln>
          </c:spPr>
          <c:dPt>
            <c:idx val="0"/>
            <c:spPr>
              <a:solidFill>
                <a:srgbClr val="99CC00"/>
              </a:solidFill>
              <a:ln>
                <a:solidFill>
                  <a:schemeClr val="tx1"/>
                </a:solidFill>
              </a:ln>
            </c:spPr>
          </c:dPt>
          <c:val>
            <c:numRef>
              <c:f>'Chart 5 (2015) DATA'!$J$3:$J$31</c:f>
              <c:numCache>
                <c:formatCode>0</c:formatCode>
                <c:ptCount val="29"/>
                <c:pt idx="0">
                  <c:v>4.0836653386454316</c:v>
                </c:pt>
                <c:pt idx="1">
                  <c:v>11.827956989247312</c:v>
                </c:pt>
                <c:pt idx="2">
                  <c:v>5.9259259259259238</c:v>
                </c:pt>
                <c:pt idx="3">
                  <c:v>1.4084507042253591</c:v>
                </c:pt>
                <c:pt idx="4">
                  <c:v>4.1379310344827616</c:v>
                </c:pt>
                <c:pt idx="5">
                  <c:v>7.6923076923076934</c:v>
                </c:pt>
                <c:pt idx="6">
                  <c:v>1.5590200445434306</c:v>
                </c:pt>
                <c:pt idx="7">
                  <c:v>3.6764705882352899</c:v>
                </c:pt>
                <c:pt idx="8">
                  <c:v>4.3243243243243228</c:v>
                </c:pt>
                <c:pt idx="9">
                  <c:v>2.1978021978022042</c:v>
                </c:pt>
                <c:pt idx="10">
                  <c:v>4.086538461538467</c:v>
                </c:pt>
                <c:pt idx="11">
                  <c:v>2.4691358024691397</c:v>
                </c:pt>
                <c:pt idx="12">
                  <c:v>3.6418816388467405</c:v>
                </c:pt>
                <c:pt idx="13">
                  <c:v>5.4545454545454533</c:v>
                </c:pt>
                <c:pt idx="14">
                  <c:v>6.6666666666666572</c:v>
                </c:pt>
                <c:pt idx="15">
                  <c:v>4.4444444444444429</c:v>
                </c:pt>
                <c:pt idx="16">
                  <c:v>0</c:v>
                </c:pt>
                <c:pt idx="17">
                  <c:v>2.6431718061674019</c:v>
                </c:pt>
                <c:pt idx="18">
                  <c:v>4.424778761061944</c:v>
                </c:pt>
                <c:pt idx="19">
                  <c:v>7.5630252100840352</c:v>
                </c:pt>
                <c:pt idx="20">
                  <c:v>1.310043668122276</c:v>
                </c:pt>
                <c:pt idx="21">
                  <c:v>3.826955074875201</c:v>
                </c:pt>
                <c:pt idx="22">
                  <c:v>1.6574585635359114</c:v>
                </c:pt>
                <c:pt idx="23">
                  <c:v>6.3218390804597675</c:v>
                </c:pt>
                <c:pt idx="24">
                  <c:v>3.8461538461538396</c:v>
                </c:pt>
                <c:pt idx="25">
                  <c:v>7.4074074074074048</c:v>
                </c:pt>
                <c:pt idx="26">
                  <c:v>5.3571428571428612</c:v>
                </c:pt>
                <c:pt idx="27">
                  <c:v>2.5423728813559308</c:v>
                </c:pt>
                <c:pt idx="28">
                  <c:v>0</c:v>
                </c:pt>
              </c:numCache>
            </c:numRef>
          </c:val>
        </c:ser>
        <c:overlap val="100"/>
        <c:axId val="76623872"/>
        <c:axId val="76625408"/>
      </c:barChart>
      <c:lineChart>
        <c:grouping val="standard"/>
        <c:ser>
          <c:idx val="0"/>
          <c:order val="1"/>
          <c:tx>
            <c:strRef>
              <c:f>'Chart 5 (2015) DATA'!$L$2</c:f>
              <c:strCache>
                <c:ptCount val="1"/>
                <c:pt idx="0">
                  <c:v>Stroke Standard (2013)</c:v>
                </c:pt>
              </c:strCache>
            </c:strRef>
          </c:tx>
          <c:marker>
            <c:symbol val="none"/>
          </c:marker>
          <c:val>
            <c:numRef>
              <c:f>'Chart 5 (2015) DATA'!$L$3:$L$31</c:f>
              <c:numCache>
                <c:formatCode>General</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76623872"/>
        <c:axId val="76625408"/>
      </c:lineChart>
      <c:catAx>
        <c:axId val="76623872"/>
        <c:scaling>
          <c:orientation val="minMax"/>
        </c:scaling>
        <c:axPos val="b"/>
        <c:tickLblPos val="nextTo"/>
        <c:txPr>
          <a:bodyPr rot="-5400000" vert="horz"/>
          <a:lstStyle/>
          <a:p>
            <a:pPr>
              <a:defRPr sz="800"/>
            </a:pPr>
            <a:endParaRPr lang="en-US"/>
          </a:p>
        </c:txPr>
        <c:crossAx val="76625408"/>
        <c:crosses val="autoZero"/>
        <c:auto val="1"/>
        <c:lblAlgn val="ctr"/>
        <c:lblOffset val="100"/>
      </c:catAx>
      <c:valAx>
        <c:axId val="76625408"/>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6623872"/>
        <c:crosses val="autoZero"/>
        <c:crossBetween val="between"/>
      </c:valAx>
      <c:spPr>
        <a:ln>
          <a:solidFill>
            <a:schemeClr val="tx1"/>
          </a:solidFill>
        </a:ln>
      </c:spPr>
    </c:plotArea>
    <c:legend>
      <c:legendPos val="r"/>
      <c:layout>
        <c:manualLayout>
          <c:xMode val="edge"/>
          <c:yMode val="edge"/>
          <c:x val="0.88287233326603409"/>
          <c:y val="0.32533538570836668"/>
          <c:w val="0.10820904911969616"/>
          <c:h val="0.30568231602628632"/>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506E-2"/>
          <c:y val="8.0232093304875005E-2"/>
          <c:w val="0.81007028782419455"/>
          <c:h val="0.72370482152729065"/>
        </c:manualLayout>
      </c:layout>
      <c:barChart>
        <c:barDir val="col"/>
        <c:grouping val="stacked"/>
        <c:ser>
          <c:idx val="3"/>
          <c:order val="0"/>
          <c:tx>
            <c:strRef>
              <c:f>'Chart 5 (2014) DATA'!$C$2</c:f>
              <c:strCache>
                <c:ptCount val="1"/>
                <c:pt idx="0">
                  <c:v>Same Day</c:v>
                </c:pt>
              </c:strCache>
            </c:strRef>
          </c:tx>
          <c:spPr>
            <a:solidFill>
              <a:srgbClr val="9999FF"/>
            </a:solidFill>
            <a:ln>
              <a:solidFill>
                <a:schemeClr val="tx1"/>
              </a:solidFill>
            </a:ln>
          </c:spPr>
          <c:dPt>
            <c:idx val="0"/>
            <c:spPr>
              <a:solidFill>
                <a:srgbClr val="008000"/>
              </a:solidFill>
              <a:ln>
                <a:solidFill>
                  <a:schemeClr val="tx1"/>
                </a:solidFill>
              </a:ln>
            </c:spPr>
          </c:dPt>
          <c:cat>
            <c:strRef>
              <c:f>'Chart 5 (2014) DATA'!$A$3:$A$31</c:f>
              <c:strCache>
                <c:ptCount val="29"/>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5 (2014) DATA'!$C$3:$C$31</c:f>
              <c:numCache>
                <c:formatCode>0</c:formatCode>
                <c:ptCount val="29"/>
                <c:pt idx="0">
                  <c:v>52.908540685944857</c:v>
                </c:pt>
                <c:pt idx="1">
                  <c:v>30.53097345132743</c:v>
                </c:pt>
                <c:pt idx="2">
                  <c:v>33.478260869565219</c:v>
                </c:pt>
                <c:pt idx="3">
                  <c:v>71.724137931034477</c:v>
                </c:pt>
                <c:pt idx="4">
                  <c:v>50.364963503649641</c:v>
                </c:pt>
                <c:pt idx="5">
                  <c:v>69.565217391304344</c:v>
                </c:pt>
                <c:pt idx="6">
                  <c:v>57.83898305084746</c:v>
                </c:pt>
                <c:pt idx="7">
                  <c:v>47.745358090185675</c:v>
                </c:pt>
                <c:pt idx="8">
                  <c:v>72.5</c:v>
                </c:pt>
                <c:pt idx="9">
                  <c:v>63.013698630136986</c:v>
                </c:pt>
                <c:pt idx="10">
                  <c:v>54.089709762532976</c:v>
                </c:pt>
                <c:pt idx="11">
                  <c:v>34.065934065934066</c:v>
                </c:pt>
                <c:pt idx="12">
                  <c:v>55.962059620596207</c:v>
                </c:pt>
                <c:pt idx="13">
                  <c:v>33.904109589041099</c:v>
                </c:pt>
                <c:pt idx="14">
                  <c:v>60</c:v>
                </c:pt>
                <c:pt idx="15">
                  <c:v>61.224489795918366</c:v>
                </c:pt>
                <c:pt idx="16">
                  <c:v>48</c:v>
                </c:pt>
                <c:pt idx="17">
                  <c:v>49.75124378109453</c:v>
                </c:pt>
                <c:pt idx="18">
                  <c:v>58.411214953271028</c:v>
                </c:pt>
                <c:pt idx="19">
                  <c:v>32.489451476793249</c:v>
                </c:pt>
                <c:pt idx="20">
                  <c:v>57.089552238805972</c:v>
                </c:pt>
                <c:pt idx="21">
                  <c:v>60.447761194029844</c:v>
                </c:pt>
                <c:pt idx="22">
                  <c:v>67.361111111111114</c:v>
                </c:pt>
                <c:pt idx="23">
                  <c:v>43.601895734597157</c:v>
                </c:pt>
                <c:pt idx="24">
                  <c:v>63.636363636363633</c:v>
                </c:pt>
                <c:pt idx="25">
                  <c:v>58.333333333333336</c:v>
                </c:pt>
                <c:pt idx="26">
                  <c:v>55.506607929515418</c:v>
                </c:pt>
                <c:pt idx="27">
                  <c:v>70.454545454545453</c:v>
                </c:pt>
                <c:pt idx="28">
                  <c:v>77.777777777777786</c:v>
                </c:pt>
              </c:numCache>
            </c:numRef>
          </c:val>
        </c:ser>
        <c:ser>
          <c:idx val="1"/>
          <c:order val="2"/>
          <c:tx>
            <c:strRef>
              <c:f>'Chart 5 (2014) DATA'!$I$2</c:f>
              <c:strCache>
                <c:ptCount val="1"/>
                <c:pt idx="0">
                  <c:v>1 Day</c:v>
                </c:pt>
              </c:strCache>
            </c:strRef>
          </c:tx>
          <c:spPr>
            <a:solidFill>
              <a:srgbClr val="993366"/>
            </a:solidFill>
            <a:ln>
              <a:solidFill>
                <a:schemeClr val="tx1"/>
              </a:solidFill>
            </a:ln>
          </c:spPr>
          <c:dPt>
            <c:idx val="0"/>
            <c:spPr>
              <a:solidFill>
                <a:srgbClr val="FF0000"/>
              </a:solidFill>
              <a:ln>
                <a:solidFill>
                  <a:schemeClr val="tx1"/>
                </a:solidFill>
              </a:ln>
            </c:spPr>
          </c:dPt>
          <c:val>
            <c:numRef>
              <c:f>'Chart 5 (2014) DATA'!$I$3:$I$31</c:f>
              <c:numCache>
                <c:formatCode>0</c:formatCode>
                <c:ptCount val="29"/>
                <c:pt idx="0">
                  <c:v>35.00336247478144</c:v>
                </c:pt>
                <c:pt idx="1">
                  <c:v>44.247787610619483</c:v>
                </c:pt>
                <c:pt idx="2">
                  <c:v>54.34782608695653</c:v>
                </c:pt>
                <c:pt idx="3">
                  <c:v>24.137931034482762</c:v>
                </c:pt>
                <c:pt idx="4">
                  <c:v>42.335766423357661</c:v>
                </c:pt>
                <c:pt idx="5">
                  <c:v>26.08695652173914</c:v>
                </c:pt>
                <c:pt idx="6">
                  <c:v>31.779661016949149</c:v>
                </c:pt>
                <c:pt idx="7">
                  <c:v>45.888594164456237</c:v>
                </c:pt>
                <c:pt idx="8">
                  <c:v>17.222222222222229</c:v>
                </c:pt>
                <c:pt idx="9">
                  <c:v>21.917808219178085</c:v>
                </c:pt>
                <c:pt idx="10">
                  <c:v>30.606860158311349</c:v>
                </c:pt>
                <c:pt idx="11">
                  <c:v>51.098901098901102</c:v>
                </c:pt>
                <c:pt idx="12">
                  <c:v>30.487804878048777</c:v>
                </c:pt>
                <c:pt idx="13">
                  <c:v>41.438356164383563</c:v>
                </c:pt>
                <c:pt idx="14">
                  <c:v>26.666666666666671</c:v>
                </c:pt>
                <c:pt idx="15">
                  <c:v>28.571428571428577</c:v>
                </c:pt>
                <c:pt idx="16">
                  <c:v>44</c:v>
                </c:pt>
                <c:pt idx="17">
                  <c:v>35.820895522388057</c:v>
                </c:pt>
                <c:pt idx="18">
                  <c:v>35.046728971962622</c:v>
                </c:pt>
                <c:pt idx="19">
                  <c:v>57.805907172995774</c:v>
                </c:pt>
                <c:pt idx="20">
                  <c:v>40.298507462686565</c:v>
                </c:pt>
                <c:pt idx="21">
                  <c:v>26.679104477611951</c:v>
                </c:pt>
                <c:pt idx="22">
                  <c:v>25.694444444444443</c:v>
                </c:pt>
                <c:pt idx="23">
                  <c:v>36.966824644549767</c:v>
                </c:pt>
                <c:pt idx="24">
                  <c:v>18.181818181818194</c:v>
                </c:pt>
                <c:pt idx="25">
                  <c:v>29.166666666666664</c:v>
                </c:pt>
                <c:pt idx="26">
                  <c:v>34.801762114537446</c:v>
                </c:pt>
                <c:pt idx="27">
                  <c:v>24.242424242424249</c:v>
                </c:pt>
                <c:pt idx="28">
                  <c:v>11.1111111111111</c:v>
                </c:pt>
              </c:numCache>
            </c:numRef>
          </c:val>
        </c:ser>
        <c:ser>
          <c:idx val="2"/>
          <c:order val="3"/>
          <c:tx>
            <c:strRef>
              <c:f>'Chart 5 (2014) DATA'!$J$2</c:f>
              <c:strCache>
                <c:ptCount val="1"/>
                <c:pt idx="0">
                  <c:v>2 Days</c:v>
                </c:pt>
              </c:strCache>
            </c:strRef>
          </c:tx>
          <c:spPr>
            <a:solidFill>
              <a:srgbClr val="FFFFCC"/>
            </a:solidFill>
            <a:ln>
              <a:solidFill>
                <a:schemeClr val="tx1"/>
              </a:solidFill>
            </a:ln>
          </c:spPr>
          <c:dPt>
            <c:idx val="0"/>
            <c:spPr>
              <a:solidFill>
                <a:srgbClr val="99CC00"/>
              </a:solidFill>
              <a:ln>
                <a:solidFill>
                  <a:schemeClr val="tx1"/>
                </a:solidFill>
              </a:ln>
            </c:spPr>
          </c:dPt>
          <c:val>
            <c:numRef>
              <c:f>'Chart 5 (2014) DATA'!$J$3:$J$31</c:f>
              <c:numCache>
                <c:formatCode>0</c:formatCode>
                <c:ptCount val="29"/>
                <c:pt idx="0">
                  <c:v>5.2118359112306649</c:v>
                </c:pt>
                <c:pt idx="1">
                  <c:v>12.38938053097344</c:v>
                </c:pt>
                <c:pt idx="2">
                  <c:v>2.173913043478251</c:v>
                </c:pt>
                <c:pt idx="3">
                  <c:v>3.448275862068968</c:v>
                </c:pt>
                <c:pt idx="4">
                  <c:v>5.1094890510948971</c:v>
                </c:pt>
                <c:pt idx="5">
                  <c:v>4.3478260869565162</c:v>
                </c:pt>
                <c:pt idx="6">
                  <c:v>3.6016949152542281</c:v>
                </c:pt>
                <c:pt idx="7">
                  <c:v>3.448275862068968</c:v>
                </c:pt>
                <c:pt idx="8">
                  <c:v>3.6111111111111001</c:v>
                </c:pt>
                <c:pt idx="9">
                  <c:v>6.849315068493155</c:v>
                </c:pt>
                <c:pt idx="10">
                  <c:v>7.3878627968337724</c:v>
                </c:pt>
                <c:pt idx="11">
                  <c:v>7.6923076923076934</c:v>
                </c:pt>
                <c:pt idx="12">
                  <c:v>4.2005420054200613</c:v>
                </c:pt>
                <c:pt idx="13">
                  <c:v>10.61643835616438</c:v>
                </c:pt>
                <c:pt idx="14">
                  <c:v>0</c:v>
                </c:pt>
                <c:pt idx="15">
                  <c:v>2.0408163265306172</c:v>
                </c:pt>
                <c:pt idx="16">
                  <c:v>4</c:v>
                </c:pt>
                <c:pt idx="17">
                  <c:v>6.4676616915422898</c:v>
                </c:pt>
                <c:pt idx="18">
                  <c:v>4.2056074766355209</c:v>
                </c:pt>
                <c:pt idx="19">
                  <c:v>6.3291139240506311</c:v>
                </c:pt>
                <c:pt idx="20">
                  <c:v>2.6119402985074629</c:v>
                </c:pt>
                <c:pt idx="21">
                  <c:v>4.4776119402985017</c:v>
                </c:pt>
                <c:pt idx="22">
                  <c:v>4.1666666666666572</c:v>
                </c:pt>
                <c:pt idx="23">
                  <c:v>7.1090047393364841</c:v>
                </c:pt>
                <c:pt idx="24">
                  <c:v>4.5454545454545325</c:v>
                </c:pt>
                <c:pt idx="25">
                  <c:v>12.5</c:v>
                </c:pt>
                <c:pt idx="26">
                  <c:v>5.2863436123348038</c:v>
                </c:pt>
                <c:pt idx="27">
                  <c:v>3.0303030303030312</c:v>
                </c:pt>
                <c:pt idx="28">
                  <c:v>11.111111111111114</c:v>
                </c:pt>
              </c:numCache>
            </c:numRef>
          </c:val>
        </c:ser>
        <c:overlap val="100"/>
        <c:axId val="76720000"/>
        <c:axId val="76721536"/>
      </c:barChart>
      <c:lineChart>
        <c:grouping val="standard"/>
        <c:ser>
          <c:idx val="0"/>
          <c:order val="1"/>
          <c:tx>
            <c:strRef>
              <c:f>'Chart 5 (2014) DATA'!$L$2</c:f>
              <c:strCache>
                <c:ptCount val="1"/>
                <c:pt idx="0">
                  <c:v>Stroke Standard (2013)</c:v>
                </c:pt>
              </c:strCache>
            </c:strRef>
          </c:tx>
          <c:marker>
            <c:symbol val="none"/>
          </c:marker>
          <c:val>
            <c:numRef>
              <c:f>'Chart 5 (2014) DATA'!$L$3:$L$31</c:f>
              <c:numCache>
                <c:formatCode>General</c:formatCode>
                <c:ptCount val="29"/>
                <c:pt idx="0">
                  <c:v>95</c:v>
                </c:pt>
                <c:pt idx="1">
                  <c:v>95</c:v>
                </c:pt>
                <c:pt idx="2">
                  <c:v>95</c:v>
                </c:pt>
                <c:pt idx="3">
                  <c:v>95</c:v>
                </c:pt>
                <c:pt idx="4">
                  <c:v>95</c:v>
                </c:pt>
                <c:pt idx="5">
                  <c:v>95</c:v>
                </c:pt>
                <c:pt idx="6">
                  <c:v>95</c:v>
                </c:pt>
                <c:pt idx="7">
                  <c:v>95</c:v>
                </c:pt>
                <c:pt idx="8">
                  <c:v>95</c:v>
                </c:pt>
                <c:pt idx="9">
                  <c:v>95</c:v>
                </c:pt>
                <c:pt idx="10">
                  <c:v>95</c:v>
                </c:pt>
                <c:pt idx="11">
                  <c:v>95</c:v>
                </c:pt>
                <c:pt idx="12">
                  <c:v>95</c:v>
                </c:pt>
                <c:pt idx="13">
                  <c:v>95</c:v>
                </c:pt>
                <c:pt idx="14">
                  <c:v>95</c:v>
                </c:pt>
                <c:pt idx="15">
                  <c:v>95</c:v>
                </c:pt>
                <c:pt idx="16">
                  <c:v>95</c:v>
                </c:pt>
                <c:pt idx="17">
                  <c:v>95</c:v>
                </c:pt>
                <c:pt idx="18">
                  <c:v>95</c:v>
                </c:pt>
                <c:pt idx="19">
                  <c:v>95</c:v>
                </c:pt>
                <c:pt idx="20">
                  <c:v>95</c:v>
                </c:pt>
                <c:pt idx="21">
                  <c:v>95</c:v>
                </c:pt>
                <c:pt idx="22">
                  <c:v>95</c:v>
                </c:pt>
                <c:pt idx="23">
                  <c:v>95</c:v>
                </c:pt>
                <c:pt idx="24">
                  <c:v>95</c:v>
                </c:pt>
                <c:pt idx="25">
                  <c:v>95</c:v>
                </c:pt>
                <c:pt idx="26">
                  <c:v>95</c:v>
                </c:pt>
                <c:pt idx="27">
                  <c:v>95</c:v>
                </c:pt>
                <c:pt idx="28">
                  <c:v>95</c:v>
                </c:pt>
              </c:numCache>
            </c:numRef>
          </c:val>
        </c:ser>
        <c:marker val="1"/>
        <c:axId val="76720000"/>
        <c:axId val="76721536"/>
      </c:lineChart>
      <c:catAx>
        <c:axId val="76720000"/>
        <c:scaling>
          <c:orientation val="minMax"/>
        </c:scaling>
        <c:axPos val="b"/>
        <c:tickLblPos val="nextTo"/>
        <c:txPr>
          <a:bodyPr rot="-5400000" vert="horz"/>
          <a:lstStyle/>
          <a:p>
            <a:pPr>
              <a:defRPr sz="800"/>
            </a:pPr>
            <a:endParaRPr lang="en-US"/>
          </a:p>
        </c:txPr>
        <c:crossAx val="76721536"/>
        <c:crosses val="autoZero"/>
        <c:auto val="1"/>
        <c:lblAlgn val="ctr"/>
        <c:lblOffset val="100"/>
      </c:catAx>
      <c:valAx>
        <c:axId val="76721536"/>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76720000"/>
        <c:crosses val="autoZero"/>
        <c:crossBetween val="between"/>
      </c:valAx>
      <c:spPr>
        <a:ln>
          <a:solidFill>
            <a:schemeClr val="tx1"/>
          </a:solidFill>
        </a:ln>
      </c:spPr>
    </c:plotArea>
    <c:legend>
      <c:legendPos val="r"/>
      <c:layout>
        <c:manualLayout>
          <c:xMode val="edge"/>
          <c:yMode val="edge"/>
          <c:x val="0.88287233326603409"/>
          <c:y val="0.32533538570836684"/>
          <c:w val="0.10820904911969616"/>
          <c:h val="0.30568231602628632"/>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78582372175545057"/>
          <c:h val="0.75436635994269408"/>
        </c:manualLayout>
      </c:layout>
      <c:barChart>
        <c:barDir val="col"/>
        <c:grouping val="clustered"/>
        <c:ser>
          <c:idx val="0"/>
          <c:order val="0"/>
          <c:tx>
            <c:strRef>
              <c:f>'Chart 6 DATA'!$B$2</c:f>
              <c:strCache>
                <c:ptCount val="1"/>
                <c:pt idx="0">
                  <c:v>2014 (%)</c:v>
                </c:pt>
              </c:strCache>
            </c:strRef>
          </c:tx>
          <c:spPr>
            <a:solidFill>
              <a:schemeClr val="bg1">
                <a:lumMod val="65000"/>
              </a:schemeClr>
            </a:solidFill>
          </c:spPr>
          <c:cat>
            <c:strRef>
              <c:f>'Chart 6 DATA'!$A$3:$A$23</c:f>
              <c:strCache>
                <c:ptCount val="21"/>
                <c:pt idx="0">
                  <c:v>Scotland</c:v>
                </c:pt>
                <c:pt idx="1">
                  <c:v>Ayr</c:v>
                </c:pt>
                <c:pt idx="2">
                  <c:v>WGH</c:v>
                </c:pt>
                <c:pt idx="3">
                  <c:v>FVRH</c:v>
                </c:pt>
                <c:pt idx="4">
                  <c:v>Ninewells</c:v>
                </c:pt>
                <c:pt idx="5">
                  <c:v>Crosshouse</c:v>
                </c:pt>
                <c:pt idx="6">
                  <c:v>Borders</c:v>
                </c:pt>
                <c:pt idx="7">
                  <c:v>Wishaw</c:v>
                </c:pt>
                <c:pt idx="8">
                  <c:v>Hairmyres</c:v>
                </c:pt>
                <c:pt idx="9">
                  <c:v>VHK</c:v>
                </c:pt>
                <c:pt idx="10">
                  <c:v>DGRI</c:v>
                </c:pt>
                <c:pt idx="11">
                  <c:v>Monklands</c:v>
                </c:pt>
                <c:pt idx="12">
                  <c:v>SJH</c:v>
                </c:pt>
                <c:pt idx="13">
                  <c:v>L&amp;I</c:v>
                </c:pt>
                <c:pt idx="14">
                  <c:v>Raigmore</c:v>
                </c:pt>
                <c:pt idx="15">
                  <c:v>ARI</c:v>
                </c:pt>
                <c:pt idx="16">
                  <c:v>PRI</c:v>
                </c:pt>
                <c:pt idx="17">
                  <c:v>Dr Grays</c:v>
                </c:pt>
                <c:pt idx="18">
                  <c:v>Western Isles</c:v>
                </c:pt>
                <c:pt idx="19">
                  <c:v>QMH</c:v>
                </c:pt>
                <c:pt idx="20">
                  <c:v>Balfour</c:v>
                </c:pt>
              </c:strCache>
            </c:strRef>
          </c:cat>
          <c:val>
            <c:numRef>
              <c:f>'Chart 6 DATA'!$B$3:$B$23</c:f>
              <c:numCache>
                <c:formatCode>0</c:formatCode>
                <c:ptCount val="21"/>
                <c:pt idx="0">
                  <c:v>82.746848739495789</c:v>
                </c:pt>
                <c:pt idx="1">
                  <c:v>93.793103448275858</c:v>
                </c:pt>
                <c:pt idx="2">
                  <c:v>93.934142114384741</c:v>
                </c:pt>
                <c:pt idx="3">
                  <c:v>91.497975708502025</c:v>
                </c:pt>
                <c:pt idx="4">
                  <c:v>89.705882352941174</c:v>
                </c:pt>
                <c:pt idx="5">
                  <c:v>85.549132947976886</c:v>
                </c:pt>
                <c:pt idx="6">
                  <c:v>89.87341772151899</c:v>
                </c:pt>
                <c:pt idx="7">
                  <c:v>93.233082706766908</c:v>
                </c:pt>
                <c:pt idx="8">
                  <c:v>86.757990867579906</c:v>
                </c:pt>
                <c:pt idx="9">
                  <c:v>88.212927756653997</c:v>
                </c:pt>
                <c:pt idx="10">
                  <c:v>84.659090909090907</c:v>
                </c:pt>
                <c:pt idx="11">
                  <c:v>83.333333333333343</c:v>
                </c:pt>
                <c:pt idx="12">
                  <c:v>79.464285714285708</c:v>
                </c:pt>
                <c:pt idx="13">
                  <c:v>67.391304347826093</c:v>
                </c:pt>
                <c:pt idx="14">
                  <c:v>89.00709219858156</c:v>
                </c:pt>
                <c:pt idx="15">
                  <c:v>62.5</c:v>
                </c:pt>
                <c:pt idx="16">
                  <c:v>75</c:v>
                </c:pt>
                <c:pt idx="17">
                  <c:v>60.526315789473685</c:v>
                </c:pt>
                <c:pt idx="18">
                  <c:v>85.714285714285708</c:v>
                </c:pt>
                <c:pt idx="19">
                  <c:v>61.748633879781423</c:v>
                </c:pt>
                <c:pt idx="20">
                  <c:v>0</c:v>
                </c:pt>
              </c:numCache>
            </c:numRef>
          </c:val>
        </c:ser>
        <c:ser>
          <c:idx val="1"/>
          <c:order val="1"/>
          <c:tx>
            <c:strRef>
              <c:f>'Chart 6 DATA'!$C$2</c:f>
              <c:strCache>
                <c:ptCount val="1"/>
                <c:pt idx="0">
                  <c:v>2015 (%)</c:v>
                </c:pt>
              </c:strCache>
            </c:strRef>
          </c:tx>
          <c:dPt>
            <c:idx val="0"/>
            <c:spPr>
              <a:solidFill>
                <a:srgbClr val="00B050"/>
              </a:solidFill>
            </c:spPr>
          </c:dPt>
          <c:dPt>
            <c:idx val="1"/>
            <c:spPr>
              <a:solidFill>
                <a:srgbClr val="FFC000"/>
              </a:solidFill>
            </c:spPr>
          </c:dPt>
          <c:dPt>
            <c:idx val="2"/>
            <c:spPr>
              <a:solidFill>
                <a:srgbClr val="FFC000"/>
              </a:solidFill>
            </c:spPr>
          </c:dPt>
          <c:dPt>
            <c:idx val="3"/>
            <c:spPr>
              <a:solidFill>
                <a:srgbClr val="FFC000"/>
              </a:solidFill>
            </c:spPr>
          </c:dPt>
          <c:dPt>
            <c:idx val="4"/>
            <c:spPr>
              <a:solidFill>
                <a:srgbClr val="FFC000"/>
              </a:solidFill>
            </c:spPr>
          </c:dPt>
          <c:dPt>
            <c:idx val="5"/>
            <c:spPr>
              <a:solidFill>
                <a:srgbClr val="00B050"/>
              </a:solidFill>
            </c:spPr>
          </c:dPt>
          <c:dPt>
            <c:idx val="6"/>
            <c:spPr>
              <a:solidFill>
                <a:srgbClr val="FFC000"/>
              </a:solidFill>
            </c:spPr>
          </c:dPt>
          <c:dPt>
            <c:idx val="7"/>
            <c:spPr>
              <a:solidFill>
                <a:srgbClr val="FFC000"/>
              </a:solidFill>
            </c:spPr>
          </c:dPt>
          <c:dPt>
            <c:idx val="8"/>
            <c:spPr>
              <a:solidFill>
                <a:srgbClr val="00B050"/>
              </a:solidFill>
            </c:spPr>
          </c:dPt>
          <c:dPt>
            <c:idx val="9"/>
            <c:spPr>
              <a:solidFill>
                <a:srgbClr val="FFC000"/>
              </a:solidFill>
            </c:spPr>
          </c:dPt>
          <c:dPt>
            <c:idx val="10"/>
            <c:spPr>
              <a:solidFill>
                <a:srgbClr val="FFC000"/>
              </a:solidFill>
            </c:spPr>
          </c:dPt>
          <c:dPt>
            <c:idx val="11"/>
            <c:spPr>
              <a:solidFill>
                <a:srgbClr val="00B050"/>
              </a:solidFill>
            </c:spPr>
          </c:dPt>
          <c:dPt>
            <c:idx val="12"/>
            <c:spPr>
              <a:solidFill>
                <a:srgbClr val="FFC000"/>
              </a:solidFill>
            </c:spPr>
          </c:dPt>
          <c:dPt>
            <c:idx val="13"/>
            <c:spPr>
              <a:solidFill>
                <a:srgbClr val="FFC000"/>
              </a:solidFill>
            </c:spPr>
          </c:dPt>
          <c:dPt>
            <c:idx val="14"/>
            <c:spPr>
              <a:solidFill>
                <a:srgbClr val="00B050"/>
              </a:solidFill>
            </c:spPr>
          </c:dPt>
          <c:dPt>
            <c:idx val="15"/>
            <c:spPr>
              <a:solidFill>
                <a:srgbClr val="FFC000"/>
              </a:solidFill>
            </c:spPr>
          </c:dPt>
          <c:dPt>
            <c:idx val="16"/>
            <c:spPr>
              <a:solidFill>
                <a:srgbClr val="FFC000"/>
              </a:solidFill>
            </c:spPr>
          </c:dPt>
          <c:dPt>
            <c:idx val="17"/>
            <c:spPr>
              <a:solidFill>
                <a:srgbClr val="00B050"/>
              </a:solidFill>
            </c:spPr>
          </c:dPt>
          <c:dPt>
            <c:idx val="18"/>
            <c:spPr>
              <a:solidFill>
                <a:srgbClr val="FFC000"/>
              </a:solidFill>
            </c:spPr>
          </c:dPt>
          <c:dPt>
            <c:idx val="19"/>
            <c:spPr>
              <a:solidFill>
                <a:srgbClr val="FFC000"/>
              </a:solidFill>
            </c:spPr>
          </c:dPt>
          <c:dPt>
            <c:idx val="20"/>
            <c:spPr>
              <a:solidFill>
                <a:srgbClr val="FFC000"/>
              </a:solidFill>
            </c:spPr>
          </c:dPt>
          <c:dPt>
            <c:idx val="21"/>
            <c:spPr>
              <a:solidFill>
                <a:srgbClr val="FFC000"/>
              </a:solidFill>
            </c:spPr>
          </c:dPt>
          <c:dPt>
            <c:idx val="22"/>
            <c:spPr>
              <a:solidFill>
                <a:srgbClr val="FFC000"/>
              </a:solidFill>
            </c:spPr>
          </c:dPt>
          <c:dPt>
            <c:idx val="23"/>
            <c:spPr>
              <a:solidFill>
                <a:srgbClr val="FF0000"/>
              </a:solidFill>
            </c:spPr>
          </c:dPt>
          <c:dPt>
            <c:idx val="24"/>
            <c:spPr>
              <a:solidFill>
                <a:srgbClr val="FFC000"/>
              </a:solidFill>
            </c:spPr>
          </c:dPt>
          <c:dPt>
            <c:idx val="25"/>
            <c:spPr>
              <a:solidFill>
                <a:srgbClr val="FFC000"/>
              </a:solidFill>
            </c:spPr>
          </c:dPt>
          <c:dPt>
            <c:idx val="26"/>
            <c:spPr>
              <a:solidFill>
                <a:srgbClr val="FFC000"/>
              </a:solidFill>
            </c:spPr>
          </c:dPt>
          <c:dPt>
            <c:idx val="27"/>
            <c:spPr>
              <a:solidFill>
                <a:srgbClr val="FFC000"/>
              </a:solidFill>
            </c:spPr>
          </c:dPt>
          <c:dPt>
            <c:idx val="28"/>
            <c:spPr>
              <a:solidFill>
                <a:srgbClr val="FFC000"/>
              </a:solidFill>
            </c:spPr>
          </c:dPt>
          <c:dPt>
            <c:idx val="29"/>
            <c:spPr>
              <a:solidFill>
                <a:srgbClr val="FFC000"/>
              </a:solidFill>
            </c:spPr>
          </c:dPt>
          <c:dPt>
            <c:idx val="30"/>
            <c:spPr>
              <a:solidFill>
                <a:srgbClr val="FFC000"/>
              </a:solidFill>
            </c:spPr>
          </c:dPt>
          <c:dPt>
            <c:idx val="31"/>
            <c:spPr>
              <a:solidFill>
                <a:srgbClr val="FFC000"/>
              </a:solidFill>
            </c:spPr>
          </c:dPt>
          <c:cat>
            <c:strRef>
              <c:f>'Chart 6 DATA'!$A$3:$A$23</c:f>
              <c:strCache>
                <c:ptCount val="21"/>
                <c:pt idx="0">
                  <c:v>Scotland</c:v>
                </c:pt>
                <c:pt idx="1">
                  <c:v>Ayr</c:v>
                </c:pt>
                <c:pt idx="2">
                  <c:v>WGH</c:v>
                </c:pt>
                <c:pt idx="3">
                  <c:v>FVRH</c:v>
                </c:pt>
                <c:pt idx="4">
                  <c:v>Ninewells</c:v>
                </c:pt>
                <c:pt idx="5">
                  <c:v>Crosshouse</c:v>
                </c:pt>
                <c:pt idx="6">
                  <c:v>Borders</c:v>
                </c:pt>
                <c:pt idx="7">
                  <c:v>Wishaw</c:v>
                </c:pt>
                <c:pt idx="8">
                  <c:v>Hairmyres</c:v>
                </c:pt>
                <c:pt idx="9">
                  <c:v>VHK</c:v>
                </c:pt>
                <c:pt idx="10">
                  <c:v>DGRI</c:v>
                </c:pt>
                <c:pt idx="11">
                  <c:v>Monklands</c:v>
                </c:pt>
                <c:pt idx="12">
                  <c:v>SJH</c:v>
                </c:pt>
                <c:pt idx="13">
                  <c:v>L&amp;I</c:v>
                </c:pt>
                <c:pt idx="14">
                  <c:v>Raigmore</c:v>
                </c:pt>
                <c:pt idx="15">
                  <c:v>ARI</c:v>
                </c:pt>
                <c:pt idx="16">
                  <c:v>PRI</c:v>
                </c:pt>
                <c:pt idx="17">
                  <c:v>Dr Grays</c:v>
                </c:pt>
                <c:pt idx="18">
                  <c:v>Western Isles</c:v>
                </c:pt>
                <c:pt idx="19">
                  <c:v>QMH</c:v>
                </c:pt>
                <c:pt idx="20">
                  <c:v>Balfour</c:v>
                </c:pt>
              </c:strCache>
            </c:strRef>
          </c:cat>
          <c:val>
            <c:numRef>
              <c:f>'Chart 6 DATA'!$C$3:$C$23</c:f>
              <c:numCache>
                <c:formatCode>0</c:formatCode>
                <c:ptCount val="21"/>
                <c:pt idx="0">
                  <c:v>83.173946756267767</c:v>
                </c:pt>
                <c:pt idx="1">
                  <c:v>96.581196581196579</c:v>
                </c:pt>
                <c:pt idx="2">
                  <c:v>94.677419354838705</c:v>
                </c:pt>
                <c:pt idx="3">
                  <c:v>93.288590604026851</c:v>
                </c:pt>
                <c:pt idx="4">
                  <c:v>92.178770949720672</c:v>
                </c:pt>
                <c:pt idx="5">
                  <c:v>87.356321839080465</c:v>
                </c:pt>
                <c:pt idx="6">
                  <c:v>86.956521739130437</c:v>
                </c:pt>
                <c:pt idx="7">
                  <c:v>86.470588235294116</c:v>
                </c:pt>
                <c:pt idx="8">
                  <c:v>85.520361990950221</c:v>
                </c:pt>
                <c:pt idx="9">
                  <c:v>85.304659498207883</c:v>
                </c:pt>
                <c:pt idx="10">
                  <c:v>84.816753926701566</c:v>
                </c:pt>
                <c:pt idx="11">
                  <c:v>84.615384615384613</c:v>
                </c:pt>
                <c:pt idx="12">
                  <c:v>81.097560975609767</c:v>
                </c:pt>
                <c:pt idx="13">
                  <c:v>78.378378378378372</c:v>
                </c:pt>
                <c:pt idx="14">
                  <c:v>75.925925925925924</c:v>
                </c:pt>
                <c:pt idx="15">
                  <c:v>69.742489270386272</c:v>
                </c:pt>
                <c:pt idx="16">
                  <c:v>67.32673267326733</c:v>
                </c:pt>
                <c:pt idx="17">
                  <c:v>67.307692307692307</c:v>
                </c:pt>
                <c:pt idx="18">
                  <c:v>66.666666666666657</c:v>
                </c:pt>
                <c:pt idx="19">
                  <c:v>55.865921787709496</c:v>
                </c:pt>
                <c:pt idx="20">
                  <c:v>0</c:v>
                </c:pt>
              </c:numCache>
            </c:numRef>
          </c:val>
        </c:ser>
        <c:axId val="87442176"/>
        <c:axId val="87443712"/>
      </c:barChart>
      <c:scatterChart>
        <c:scatterStyle val="lineMarker"/>
        <c:ser>
          <c:idx val="2"/>
          <c:order val="2"/>
          <c:tx>
            <c:strRef>
              <c:f>'Chart 6 DATA'!$D$2</c:f>
              <c:strCache>
                <c:ptCount val="1"/>
                <c:pt idx="0">
                  <c:v>Stroke Standard</c:v>
                </c:pt>
              </c:strCache>
            </c:strRef>
          </c:tx>
          <c:spPr>
            <a:ln>
              <a:solidFill>
                <a:schemeClr val="tx2"/>
              </a:solidFill>
            </a:ln>
          </c:spPr>
          <c:marker>
            <c:symbol val="none"/>
          </c:marker>
          <c:yVal>
            <c:numRef>
              <c:f>'Chart 6 DATA'!$D$3:$D$23</c:f>
              <c:numCache>
                <c:formatCode>General</c:formatCode>
                <c:ptCount val="21"/>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numCache>
            </c:numRef>
          </c:yVal>
        </c:ser>
        <c:axId val="87454080"/>
        <c:axId val="87455616"/>
      </c:scatterChart>
      <c:catAx>
        <c:axId val="87442176"/>
        <c:scaling>
          <c:orientation val="minMax"/>
        </c:scaling>
        <c:axPos val="b"/>
        <c:numFmt formatCode="General" sourceLinked="1"/>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87443712"/>
        <c:crosses val="autoZero"/>
        <c:auto val="1"/>
        <c:lblAlgn val="ctr"/>
        <c:lblOffset val="100"/>
      </c:catAx>
      <c:valAx>
        <c:axId val="8744371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442176"/>
        <c:crosses val="autoZero"/>
        <c:crossBetween val="between"/>
      </c:valAx>
      <c:valAx>
        <c:axId val="87454080"/>
        <c:scaling>
          <c:orientation val="minMax"/>
          <c:max val="32"/>
          <c:min val="1"/>
        </c:scaling>
        <c:delete val="1"/>
        <c:axPos val="t"/>
        <c:tickLblPos val="none"/>
        <c:crossAx val="87455616"/>
        <c:crosses val="max"/>
        <c:crossBetween val="midCat"/>
      </c:valAx>
      <c:valAx>
        <c:axId val="87455616"/>
        <c:scaling>
          <c:orientation val="minMax"/>
          <c:max val="100"/>
          <c:min val="0"/>
        </c:scaling>
        <c:delete val="1"/>
        <c:axPos val="r"/>
        <c:numFmt formatCode="0" sourceLinked="1"/>
        <c:tickLblPos val="none"/>
        <c:crossAx val="87454080"/>
        <c:crosses val="max"/>
        <c:crossBetween val="midCat"/>
      </c:valAx>
      <c:spPr>
        <a:ln>
          <a:solidFill>
            <a:schemeClr val="accent1"/>
          </a:solidFill>
        </a:ln>
      </c:spPr>
    </c:plotArea>
    <c:legend>
      <c:legendPos val="r"/>
      <c:layout>
        <c:manualLayout>
          <c:xMode val="edge"/>
          <c:yMode val="edge"/>
          <c:x val="0.8774525131154256"/>
          <c:y val="0.41530243108752524"/>
          <c:w val="0.10913963445016772"/>
          <c:h val="0.22560112112682745"/>
        </c:manualLayout>
      </c:layout>
      <c:txPr>
        <a:bodyPr/>
        <a:lstStyle/>
        <a:p>
          <a:pPr>
            <a:defRPr sz="7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1" l="0.70000000000000062" r="0.70000000000000062" t="0.750000000000014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7843852452575166"/>
          <c:h val="0.75436635994269396"/>
        </c:manualLayout>
      </c:layout>
      <c:barChart>
        <c:barDir val="col"/>
        <c:grouping val="clustered"/>
        <c:ser>
          <c:idx val="0"/>
          <c:order val="0"/>
          <c:tx>
            <c:strRef>
              <c:f>'Chart 6 DATA'!$B$2</c:f>
              <c:strCache>
                <c:ptCount val="1"/>
                <c:pt idx="0">
                  <c:v>2014 (%)</c:v>
                </c:pt>
              </c:strCache>
            </c:strRef>
          </c:tx>
          <c:spPr>
            <a:solidFill>
              <a:schemeClr val="bg1">
                <a:lumMod val="65000"/>
              </a:schemeClr>
            </a:solidFill>
          </c:spPr>
          <c:cat>
            <c:strRef>
              <c:f>'Chart 6 DATA'!$A$3:$A$24</c:f>
              <c:strCache>
                <c:ptCount val="22"/>
                <c:pt idx="0">
                  <c:v>Scotland</c:v>
                </c:pt>
                <c:pt idx="1">
                  <c:v>Ayr</c:v>
                </c:pt>
                <c:pt idx="2">
                  <c:v>WGH</c:v>
                </c:pt>
                <c:pt idx="3">
                  <c:v>FVRH</c:v>
                </c:pt>
                <c:pt idx="4">
                  <c:v>Ninewells</c:v>
                </c:pt>
                <c:pt idx="5">
                  <c:v>Crosshouse</c:v>
                </c:pt>
                <c:pt idx="6">
                  <c:v>Borders</c:v>
                </c:pt>
                <c:pt idx="7">
                  <c:v>Wishaw</c:v>
                </c:pt>
                <c:pt idx="8">
                  <c:v>Hairmyres</c:v>
                </c:pt>
                <c:pt idx="9">
                  <c:v>VHK</c:v>
                </c:pt>
                <c:pt idx="10">
                  <c:v>DGRI</c:v>
                </c:pt>
                <c:pt idx="11">
                  <c:v>Monklands</c:v>
                </c:pt>
                <c:pt idx="12">
                  <c:v>SJH</c:v>
                </c:pt>
                <c:pt idx="13">
                  <c:v>L&amp;I</c:v>
                </c:pt>
                <c:pt idx="14">
                  <c:v>Raigmore</c:v>
                </c:pt>
                <c:pt idx="15">
                  <c:v>ARI</c:v>
                </c:pt>
                <c:pt idx="16">
                  <c:v>PRI</c:v>
                </c:pt>
                <c:pt idx="17">
                  <c:v>Dr Grays</c:v>
                </c:pt>
                <c:pt idx="18">
                  <c:v>Western Isles</c:v>
                </c:pt>
                <c:pt idx="19">
                  <c:v>QMH</c:v>
                </c:pt>
                <c:pt idx="20">
                  <c:v>Balfour</c:v>
                </c:pt>
                <c:pt idx="21">
                  <c:v>Stracathro</c:v>
                </c:pt>
              </c:strCache>
            </c:strRef>
          </c:cat>
          <c:val>
            <c:numRef>
              <c:f>'Chart 6 DATA'!$B$3:$B$24</c:f>
              <c:numCache>
                <c:formatCode>0</c:formatCode>
                <c:ptCount val="22"/>
                <c:pt idx="0">
                  <c:v>82.746848739495789</c:v>
                </c:pt>
                <c:pt idx="1">
                  <c:v>93.793103448275858</c:v>
                </c:pt>
                <c:pt idx="2">
                  <c:v>93.934142114384741</c:v>
                </c:pt>
                <c:pt idx="3">
                  <c:v>91.497975708502025</c:v>
                </c:pt>
                <c:pt idx="4">
                  <c:v>89.705882352941174</c:v>
                </c:pt>
                <c:pt idx="5">
                  <c:v>85.549132947976886</c:v>
                </c:pt>
                <c:pt idx="6">
                  <c:v>89.87341772151899</c:v>
                </c:pt>
                <c:pt idx="7">
                  <c:v>93.233082706766908</c:v>
                </c:pt>
                <c:pt idx="8">
                  <c:v>86.757990867579906</c:v>
                </c:pt>
                <c:pt idx="9">
                  <c:v>88.212927756653997</c:v>
                </c:pt>
                <c:pt idx="10">
                  <c:v>84.659090909090907</c:v>
                </c:pt>
                <c:pt idx="11">
                  <c:v>83.333333333333343</c:v>
                </c:pt>
                <c:pt idx="12">
                  <c:v>79.464285714285708</c:v>
                </c:pt>
                <c:pt idx="13">
                  <c:v>67.391304347826093</c:v>
                </c:pt>
                <c:pt idx="14">
                  <c:v>89.00709219858156</c:v>
                </c:pt>
                <c:pt idx="15">
                  <c:v>62.5</c:v>
                </c:pt>
                <c:pt idx="16">
                  <c:v>75</c:v>
                </c:pt>
                <c:pt idx="17">
                  <c:v>60.526315789473685</c:v>
                </c:pt>
                <c:pt idx="18">
                  <c:v>85.714285714285708</c:v>
                </c:pt>
                <c:pt idx="19">
                  <c:v>61.748633879781423</c:v>
                </c:pt>
                <c:pt idx="20">
                  <c:v>0</c:v>
                </c:pt>
                <c:pt idx="21">
                  <c:v>46.268656716417908</c:v>
                </c:pt>
              </c:numCache>
            </c:numRef>
          </c:val>
        </c:ser>
        <c:ser>
          <c:idx val="1"/>
          <c:order val="1"/>
          <c:tx>
            <c:strRef>
              <c:f>'Chart 6 DATA'!$C$2</c:f>
              <c:strCache>
                <c:ptCount val="1"/>
                <c:pt idx="0">
                  <c:v>2015 (%)</c:v>
                </c:pt>
              </c:strCache>
            </c:strRef>
          </c:tx>
          <c:spPr>
            <a:solidFill>
              <a:srgbClr val="756BB1"/>
            </a:solidFill>
          </c:spPr>
          <c:dPt>
            <c:idx val="0"/>
            <c:spPr>
              <a:solidFill>
                <a:srgbClr val="FFC000"/>
              </a:solidFill>
            </c:spPr>
          </c:dPt>
          <c:dPt>
            <c:idx val="1"/>
            <c:spPr>
              <a:solidFill>
                <a:srgbClr val="FFC000"/>
              </a:solidFill>
            </c:spPr>
          </c:dPt>
          <c:dPt>
            <c:idx val="2"/>
            <c:spPr>
              <a:solidFill>
                <a:srgbClr val="FFC000"/>
              </a:solidFill>
            </c:spPr>
          </c:dPt>
          <c:dPt>
            <c:idx val="3"/>
            <c:spPr>
              <a:solidFill>
                <a:srgbClr val="FFC000"/>
              </a:solidFill>
            </c:spPr>
          </c:dPt>
          <c:dPt>
            <c:idx val="4"/>
            <c:spPr>
              <a:solidFill>
                <a:srgbClr val="FFC000"/>
              </a:solidFill>
            </c:spPr>
          </c:dPt>
          <c:dPt>
            <c:idx val="5"/>
            <c:spPr>
              <a:solidFill>
                <a:srgbClr val="FFC000"/>
              </a:solidFill>
            </c:spPr>
          </c:dPt>
          <c:dPt>
            <c:idx val="6"/>
            <c:spPr>
              <a:solidFill>
                <a:srgbClr val="FFC000"/>
              </a:solidFill>
            </c:spPr>
          </c:dPt>
          <c:dPt>
            <c:idx val="7"/>
            <c:spPr>
              <a:solidFill>
                <a:srgbClr val="FFC000"/>
              </a:solidFill>
            </c:spPr>
          </c:dPt>
          <c:dPt>
            <c:idx val="8"/>
            <c:spPr>
              <a:solidFill>
                <a:srgbClr val="FFC000"/>
              </a:solidFill>
            </c:spPr>
          </c:dPt>
          <c:dPt>
            <c:idx val="9"/>
            <c:spPr>
              <a:solidFill>
                <a:srgbClr val="FFC000"/>
              </a:solidFill>
            </c:spPr>
          </c:dPt>
          <c:dPt>
            <c:idx val="10"/>
            <c:spPr>
              <a:solidFill>
                <a:srgbClr val="FFC000"/>
              </a:solidFill>
            </c:spPr>
          </c:dPt>
          <c:dPt>
            <c:idx val="11"/>
            <c:spPr>
              <a:solidFill>
                <a:srgbClr val="FFC000"/>
              </a:solidFill>
            </c:spPr>
          </c:dPt>
          <c:dPt>
            <c:idx val="12"/>
            <c:spPr>
              <a:solidFill>
                <a:srgbClr val="FFC000"/>
              </a:solidFill>
            </c:spPr>
          </c:dPt>
          <c:dPt>
            <c:idx val="13"/>
            <c:spPr>
              <a:solidFill>
                <a:srgbClr val="FFC000"/>
              </a:solidFill>
            </c:spPr>
          </c:dPt>
          <c:dPt>
            <c:idx val="14"/>
            <c:spPr>
              <a:solidFill>
                <a:srgbClr val="FF0000"/>
              </a:solidFill>
            </c:spPr>
          </c:dPt>
          <c:dPt>
            <c:idx val="15"/>
            <c:spPr>
              <a:solidFill>
                <a:srgbClr val="FFC000"/>
              </a:solidFill>
            </c:spPr>
          </c:dPt>
          <c:dPt>
            <c:idx val="16"/>
            <c:spPr>
              <a:solidFill>
                <a:srgbClr val="FFC000"/>
              </a:solidFill>
            </c:spPr>
          </c:dPt>
          <c:dPt>
            <c:idx val="17"/>
            <c:spPr>
              <a:solidFill>
                <a:srgbClr val="FFC000"/>
              </a:solidFill>
            </c:spPr>
          </c:dPt>
          <c:dPt>
            <c:idx val="18"/>
            <c:spPr>
              <a:solidFill>
                <a:srgbClr val="FFC000"/>
              </a:solidFill>
            </c:spPr>
          </c:dPt>
          <c:dPt>
            <c:idx val="19"/>
            <c:spPr>
              <a:solidFill>
                <a:srgbClr val="FFC000"/>
              </a:solidFill>
            </c:spPr>
          </c:dPt>
          <c:dPt>
            <c:idx val="20"/>
            <c:spPr>
              <a:solidFill>
                <a:srgbClr val="FFC000"/>
              </a:solidFill>
              <a:ln w="25400">
                <a:noFill/>
              </a:ln>
            </c:spPr>
          </c:dPt>
          <c:cat>
            <c:strRef>
              <c:f>'Chart 6 DATA'!$A$3:$A$24</c:f>
              <c:strCache>
                <c:ptCount val="22"/>
                <c:pt idx="0">
                  <c:v>Scotland</c:v>
                </c:pt>
                <c:pt idx="1">
                  <c:v>Ayr</c:v>
                </c:pt>
                <c:pt idx="2">
                  <c:v>WGH</c:v>
                </c:pt>
                <c:pt idx="3">
                  <c:v>FVRH</c:v>
                </c:pt>
                <c:pt idx="4">
                  <c:v>Ninewells</c:v>
                </c:pt>
                <c:pt idx="5">
                  <c:v>Crosshouse</c:v>
                </c:pt>
                <c:pt idx="6">
                  <c:v>Borders</c:v>
                </c:pt>
                <c:pt idx="7">
                  <c:v>Wishaw</c:v>
                </c:pt>
                <c:pt idx="8">
                  <c:v>Hairmyres</c:v>
                </c:pt>
                <c:pt idx="9">
                  <c:v>VHK</c:v>
                </c:pt>
                <c:pt idx="10">
                  <c:v>DGRI</c:v>
                </c:pt>
                <c:pt idx="11">
                  <c:v>Monklands</c:v>
                </c:pt>
                <c:pt idx="12">
                  <c:v>SJH</c:v>
                </c:pt>
                <c:pt idx="13">
                  <c:v>L&amp;I</c:v>
                </c:pt>
                <c:pt idx="14">
                  <c:v>Raigmore</c:v>
                </c:pt>
                <c:pt idx="15">
                  <c:v>ARI</c:v>
                </c:pt>
                <c:pt idx="16">
                  <c:v>PRI</c:v>
                </c:pt>
                <c:pt idx="17">
                  <c:v>Dr Grays</c:v>
                </c:pt>
                <c:pt idx="18">
                  <c:v>Western Isles</c:v>
                </c:pt>
                <c:pt idx="19">
                  <c:v>QMH</c:v>
                </c:pt>
                <c:pt idx="20">
                  <c:v>Balfour</c:v>
                </c:pt>
                <c:pt idx="21">
                  <c:v>Stracathro</c:v>
                </c:pt>
              </c:strCache>
            </c:strRef>
          </c:cat>
          <c:val>
            <c:numRef>
              <c:f>'Chart 6 DATA'!$C$3:$C$24</c:f>
              <c:numCache>
                <c:formatCode>0</c:formatCode>
                <c:ptCount val="22"/>
                <c:pt idx="0">
                  <c:v>83.173946756267767</c:v>
                </c:pt>
                <c:pt idx="1">
                  <c:v>96.581196581196579</c:v>
                </c:pt>
                <c:pt idx="2">
                  <c:v>94.677419354838705</c:v>
                </c:pt>
                <c:pt idx="3">
                  <c:v>93.288590604026851</c:v>
                </c:pt>
                <c:pt idx="4">
                  <c:v>92.178770949720672</c:v>
                </c:pt>
                <c:pt idx="5">
                  <c:v>87.356321839080465</c:v>
                </c:pt>
                <c:pt idx="6">
                  <c:v>86.956521739130437</c:v>
                </c:pt>
                <c:pt idx="7">
                  <c:v>86.470588235294116</c:v>
                </c:pt>
                <c:pt idx="8">
                  <c:v>85.520361990950221</c:v>
                </c:pt>
                <c:pt idx="9">
                  <c:v>85.304659498207883</c:v>
                </c:pt>
                <c:pt idx="10">
                  <c:v>84.816753926701566</c:v>
                </c:pt>
                <c:pt idx="11">
                  <c:v>84.615384615384613</c:v>
                </c:pt>
                <c:pt idx="12">
                  <c:v>81.097560975609767</c:v>
                </c:pt>
                <c:pt idx="13">
                  <c:v>78.378378378378372</c:v>
                </c:pt>
                <c:pt idx="14">
                  <c:v>75.925925925925924</c:v>
                </c:pt>
                <c:pt idx="15">
                  <c:v>69.742489270386272</c:v>
                </c:pt>
                <c:pt idx="16">
                  <c:v>67.32673267326733</c:v>
                </c:pt>
                <c:pt idx="17">
                  <c:v>67.307692307692307</c:v>
                </c:pt>
                <c:pt idx="18">
                  <c:v>66.666666666666657</c:v>
                </c:pt>
                <c:pt idx="19">
                  <c:v>55.865921787709496</c:v>
                </c:pt>
                <c:pt idx="20">
                  <c:v>0</c:v>
                </c:pt>
                <c:pt idx="21">
                  <c:v>0</c:v>
                </c:pt>
              </c:numCache>
            </c:numRef>
          </c:val>
        </c:ser>
        <c:axId val="88416640"/>
        <c:axId val="88418176"/>
      </c:barChart>
      <c:scatterChart>
        <c:scatterStyle val="lineMarker"/>
        <c:ser>
          <c:idx val="2"/>
          <c:order val="2"/>
          <c:tx>
            <c:v>Stroke Standard (2013)</c:v>
          </c:tx>
          <c:spPr>
            <a:ln w="31750">
              <a:solidFill>
                <a:srgbClr val="0070C0"/>
              </a:solidFill>
            </a:ln>
          </c:spPr>
          <c:marker>
            <c:symbol val="none"/>
          </c:marker>
          <c:xVal>
            <c:strRef>
              <c:f>'Chart 6 DATA'!$A$3:$A$24</c:f>
              <c:strCache>
                <c:ptCount val="22"/>
                <c:pt idx="0">
                  <c:v>Scotland</c:v>
                </c:pt>
                <c:pt idx="1">
                  <c:v>Ayr</c:v>
                </c:pt>
                <c:pt idx="2">
                  <c:v>WGH</c:v>
                </c:pt>
                <c:pt idx="3">
                  <c:v>FVRH</c:v>
                </c:pt>
                <c:pt idx="4">
                  <c:v>Ninewells</c:v>
                </c:pt>
                <c:pt idx="5">
                  <c:v>Crosshouse</c:v>
                </c:pt>
                <c:pt idx="6">
                  <c:v>Borders</c:v>
                </c:pt>
                <c:pt idx="7">
                  <c:v>Wishaw</c:v>
                </c:pt>
                <c:pt idx="8">
                  <c:v>Hairmyres</c:v>
                </c:pt>
                <c:pt idx="9">
                  <c:v>VHK</c:v>
                </c:pt>
                <c:pt idx="10">
                  <c:v>DGRI</c:v>
                </c:pt>
                <c:pt idx="11">
                  <c:v>Monklands</c:v>
                </c:pt>
                <c:pt idx="12">
                  <c:v>SJH</c:v>
                </c:pt>
                <c:pt idx="13">
                  <c:v>L&amp;I</c:v>
                </c:pt>
                <c:pt idx="14">
                  <c:v>Raigmore</c:v>
                </c:pt>
                <c:pt idx="15">
                  <c:v>ARI</c:v>
                </c:pt>
                <c:pt idx="16">
                  <c:v>PRI</c:v>
                </c:pt>
                <c:pt idx="17">
                  <c:v>Dr Grays</c:v>
                </c:pt>
                <c:pt idx="18">
                  <c:v>Western Isles</c:v>
                </c:pt>
                <c:pt idx="19">
                  <c:v>QMH</c:v>
                </c:pt>
                <c:pt idx="20">
                  <c:v>Balfour</c:v>
                </c:pt>
                <c:pt idx="21">
                  <c:v>Stracathro</c:v>
                </c:pt>
              </c:strCache>
            </c:strRef>
          </c:xVal>
          <c:yVal>
            <c:numRef>
              <c:f>'Chart 6 DATA'!$D$3:$D$24</c:f>
              <c:numCache>
                <c:formatCode>General</c:formatCode>
                <c:ptCount val="22"/>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numCache>
            </c:numRef>
          </c:yVal>
        </c:ser>
        <c:axId val="88432640"/>
        <c:axId val="88434176"/>
      </c:scatterChart>
      <c:catAx>
        <c:axId val="8841664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88418176"/>
        <c:crosses val="autoZero"/>
        <c:auto val="1"/>
        <c:lblAlgn val="ctr"/>
        <c:lblOffset val="100"/>
      </c:catAx>
      <c:valAx>
        <c:axId val="88418176"/>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8416640"/>
        <c:crosses val="autoZero"/>
        <c:crossBetween val="between"/>
      </c:valAx>
      <c:valAx>
        <c:axId val="88432640"/>
        <c:scaling>
          <c:orientation val="minMax"/>
          <c:max val="21"/>
          <c:min val="1"/>
        </c:scaling>
        <c:delete val="1"/>
        <c:axPos val="t"/>
        <c:tickLblPos val="none"/>
        <c:crossAx val="88434176"/>
        <c:crosses val="max"/>
        <c:crossBetween val="midCat"/>
      </c:valAx>
      <c:valAx>
        <c:axId val="88434176"/>
        <c:scaling>
          <c:orientation val="minMax"/>
        </c:scaling>
        <c:delete val="1"/>
        <c:axPos val="r"/>
        <c:numFmt formatCode="0" sourceLinked="1"/>
        <c:tickLblPos val="none"/>
        <c:crossAx val="88432640"/>
        <c:crosses val="max"/>
        <c:crossBetween val="midCat"/>
      </c:valAx>
      <c:spPr>
        <a:ln>
          <a:solidFill>
            <a:schemeClr val="bg1">
              <a:lumMod val="6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21" l="0.70000000000000062" r="0.70000000000000062" t="0.7500000000000142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506E-2"/>
          <c:y val="8.0232093304875005E-2"/>
          <c:w val="0.81007028782419455"/>
          <c:h val="0.72370482152729065"/>
        </c:manualLayout>
      </c:layout>
      <c:barChart>
        <c:barDir val="col"/>
        <c:grouping val="stacked"/>
        <c:ser>
          <c:idx val="3"/>
          <c:order val="0"/>
          <c:tx>
            <c:strRef>
              <c:f>'Chart 7 (2015)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7 (2015) DATA'!$A$3:$A$22</c:f>
              <c:strCache>
                <c:ptCount val="20"/>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Western Isles</c:v>
                </c:pt>
              </c:strCache>
            </c:strRef>
          </c:cat>
          <c:val>
            <c:numRef>
              <c:f>'Chart 7 (2015) DATA'!$C$3:$C$22</c:f>
              <c:numCache>
                <c:formatCode>0</c:formatCode>
                <c:ptCount val="20"/>
                <c:pt idx="0">
                  <c:v>14.710444674250258</c:v>
                </c:pt>
                <c:pt idx="1">
                  <c:v>9.4017094017094021</c:v>
                </c:pt>
                <c:pt idx="2">
                  <c:v>9.1954022988505741</c:v>
                </c:pt>
                <c:pt idx="3">
                  <c:v>4.3478260869565215</c:v>
                </c:pt>
                <c:pt idx="4">
                  <c:v>3.1413612565445024</c:v>
                </c:pt>
                <c:pt idx="5">
                  <c:v>1.1173184357541899</c:v>
                </c:pt>
                <c:pt idx="6">
                  <c:v>36.200716845878134</c:v>
                </c:pt>
                <c:pt idx="7">
                  <c:v>39.261744966442954</c:v>
                </c:pt>
                <c:pt idx="8">
                  <c:v>18.025751072961373</c:v>
                </c:pt>
                <c:pt idx="9">
                  <c:v>40.384615384615387</c:v>
                </c:pt>
                <c:pt idx="10">
                  <c:v>32.432432432432435</c:v>
                </c:pt>
                <c:pt idx="11">
                  <c:v>7.098765432098765</c:v>
                </c:pt>
                <c:pt idx="12">
                  <c:v>0</c:v>
                </c:pt>
                <c:pt idx="13">
                  <c:v>10.48951048951049</c:v>
                </c:pt>
                <c:pt idx="14">
                  <c:v>2.9411764705882351</c:v>
                </c:pt>
                <c:pt idx="15">
                  <c:v>7.3170731707317067</c:v>
                </c:pt>
                <c:pt idx="16">
                  <c:v>20.806451612903228</c:v>
                </c:pt>
                <c:pt idx="17">
                  <c:v>3.9106145251396649</c:v>
                </c:pt>
                <c:pt idx="18">
                  <c:v>1.9801980198019802</c:v>
                </c:pt>
                <c:pt idx="19">
                  <c:v>0</c:v>
                </c:pt>
              </c:numCache>
            </c:numRef>
          </c:val>
        </c:ser>
        <c:ser>
          <c:idx val="1"/>
          <c:order val="2"/>
          <c:tx>
            <c:strRef>
              <c:f>'Chart 7 (2015)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7 (2015) DATA'!$A$3:$A$22</c:f>
              <c:strCache>
                <c:ptCount val="20"/>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Western Isles</c:v>
                </c:pt>
              </c:strCache>
            </c:strRef>
          </c:cat>
          <c:val>
            <c:numRef>
              <c:f>'Chart 7 (2015) DATA'!$H$3:$H$22</c:f>
              <c:numCache>
                <c:formatCode>0</c:formatCode>
                <c:ptCount val="20"/>
                <c:pt idx="0">
                  <c:v>24.663908996897622</c:v>
                </c:pt>
                <c:pt idx="1">
                  <c:v>52.991452991452988</c:v>
                </c:pt>
                <c:pt idx="2">
                  <c:v>35.632183908045981</c:v>
                </c:pt>
                <c:pt idx="3">
                  <c:v>14.492753623188408</c:v>
                </c:pt>
                <c:pt idx="4">
                  <c:v>36.125654450261784</c:v>
                </c:pt>
                <c:pt idx="5">
                  <c:v>18.994413407821231</c:v>
                </c:pt>
                <c:pt idx="6">
                  <c:v>18.637992831541219</c:v>
                </c:pt>
                <c:pt idx="7">
                  <c:v>30.201342281879199</c:v>
                </c:pt>
                <c:pt idx="8">
                  <c:v>17.811158798283262</c:v>
                </c:pt>
                <c:pt idx="9">
                  <c:v>11.53846153846154</c:v>
                </c:pt>
                <c:pt idx="10">
                  <c:v>5.4054054054054035</c:v>
                </c:pt>
                <c:pt idx="11">
                  <c:v>12.654320987654319</c:v>
                </c:pt>
                <c:pt idx="12">
                  <c:v>20.81447963800905</c:v>
                </c:pt>
                <c:pt idx="13">
                  <c:v>37.062937062937067</c:v>
                </c:pt>
                <c:pt idx="14">
                  <c:v>32.352941176470594</c:v>
                </c:pt>
                <c:pt idx="15">
                  <c:v>14.024390243902438</c:v>
                </c:pt>
                <c:pt idx="16">
                  <c:v>27.903225806451612</c:v>
                </c:pt>
                <c:pt idx="17">
                  <c:v>36.312849162011176</c:v>
                </c:pt>
                <c:pt idx="18">
                  <c:v>15.84158415841584</c:v>
                </c:pt>
                <c:pt idx="19">
                  <c:v>13.333333333333334</c:v>
                </c:pt>
              </c:numCache>
            </c:numRef>
          </c:val>
        </c:ser>
        <c:ser>
          <c:idx val="2"/>
          <c:order val="3"/>
          <c:tx>
            <c:strRef>
              <c:f>'Chart 7 (2015) DATA'!$I$2</c:f>
              <c:strCache>
                <c:ptCount val="1"/>
                <c:pt idx="0">
                  <c:v>2-4 Days</c:v>
                </c:pt>
              </c:strCache>
            </c:strRef>
          </c:tx>
          <c:spPr>
            <a:solidFill>
              <a:srgbClr val="FFFF99"/>
            </a:solidFill>
            <a:ln>
              <a:solidFill>
                <a:schemeClr val="tx1"/>
              </a:solidFill>
            </a:ln>
          </c:spPr>
          <c:dPt>
            <c:idx val="0"/>
            <c:spPr>
              <a:solidFill>
                <a:srgbClr val="FFCC00"/>
              </a:solidFill>
              <a:ln>
                <a:solidFill>
                  <a:schemeClr val="tx1"/>
                </a:solidFill>
              </a:ln>
            </c:spPr>
          </c:dPt>
          <c:cat>
            <c:strRef>
              <c:f>'Chart 7 (2015) DATA'!$A$3:$A$22</c:f>
              <c:strCache>
                <c:ptCount val="20"/>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Western Isles</c:v>
                </c:pt>
              </c:strCache>
            </c:strRef>
          </c:cat>
          <c:val>
            <c:numRef>
              <c:f>'Chart 7 (2015) DATA'!$I$3:$I$22</c:f>
              <c:numCache>
                <c:formatCode>0</c:formatCode>
                <c:ptCount val="20"/>
                <c:pt idx="0">
                  <c:v>43.821096173733189</c:v>
                </c:pt>
                <c:pt idx="1">
                  <c:v>34.188034188034187</c:v>
                </c:pt>
                <c:pt idx="2">
                  <c:v>42.52873563218391</c:v>
                </c:pt>
                <c:pt idx="3">
                  <c:v>68.115942028985501</c:v>
                </c:pt>
                <c:pt idx="4">
                  <c:v>45.549738219895282</c:v>
                </c:pt>
                <c:pt idx="5">
                  <c:v>35.754189944134076</c:v>
                </c:pt>
                <c:pt idx="6">
                  <c:v>30.465949820788531</c:v>
                </c:pt>
                <c:pt idx="7">
                  <c:v>23.825503355704697</c:v>
                </c:pt>
                <c:pt idx="8">
                  <c:v>33.905579399141637</c:v>
                </c:pt>
                <c:pt idx="9">
                  <c:v>15.38461538461538</c:v>
                </c:pt>
                <c:pt idx="10">
                  <c:v>40.540540540540533</c:v>
                </c:pt>
                <c:pt idx="11">
                  <c:v>56.172839506172835</c:v>
                </c:pt>
                <c:pt idx="12">
                  <c:v>64.705882352941174</c:v>
                </c:pt>
                <c:pt idx="13">
                  <c:v>37.06293706293706</c:v>
                </c:pt>
                <c:pt idx="14">
                  <c:v>51.17647058823529</c:v>
                </c:pt>
                <c:pt idx="15">
                  <c:v>59.756097560975618</c:v>
                </c:pt>
                <c:pt idx="16">
                  <c:v>45.967741935483865</c:v>
                </c:pt>
                <c:pt idx="17">
                  <c:v>51.955307262569832</c:v>
                </c:pt>
                <c:pt idx="18">
                  <c:v>49.504950495049513</c:v>
                </c:pt>
                <c:pt idx="19">
                  <c:v>53.333333333333321</c:v>
                </c:pt>
              </c:numCache>
            </c:numRef>
          </c:val>
        </c:ser>
        <c:ser>
          <c:idx val="4"/>
          <c:order val="4"/>
          <c:tx>
            <c:strRef>
              <c:f>'Chart 7 (2015) DATA'!$J$2</c:f>
              <c:strCache>
                <c:ptCount val="1"/>
                <c:pt idx="0">
                  <c:v>5-7 Days</c:v>
                </c:pt>
              </c:strCache>
            </c:strRef>
          </c:tx>
          <c:spPr>
            <a:solidFill>
              <a:srgbClr val="CCFFFF"/>
            </a:solidFill>
            <a:ln>
              <a:solidFill>
                <a:schemeClr val="tx1"/>
              </a:solidFill>
            </a:ln>
          </c:spPr>
          <c:dPt>
            <c:idx val="0"/>
            <c:spPr>
              <a:solidFill>
                <a:srgbClr val="99CC00"/>
              </a:solidFill>
              <a:ln>
                <a:solidFill>
                  <a:schemeClr val="tx1"/>
                </a:solidFill>
              </a:ln>
            </c:spPr>
          </c:dPt>
          <c:cat>
            <c:strRef>
              <c:f>'Chart 7 (2015) DATA'!$A$3:$A$22</c:f>
              <c:strCache>
                <c:ptCount val="20"/>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Western Isles</c:v>
                </c:pt>
              </c:strCache>
            </c:strRef>
          </c:cat>
          <c:val>
            <c:numRef>
              <c:f>'Chart 7 (2015) DATA'!$J$3:$J$22</c:f>
              <c:numCache>
                <c:formatCode>0</c:formatCode>
                <c:ptCount val="20"/>
                <c:pt idx="0">
                  <c:v>12.409513960703222</c:v>
                </c:pt>
                <c:pt idx="1">
                  <c:v>3.4188034188034209</c:v>
                </c:pt>
                <c:pt idx="2">
                  <c:v>8.6206896551724128</c:v>
                </c:pt>
                <c:pt idx="3">
                  <c:v>9.4202898550724541</c:v>
                </c:pt>
                <c:pt idx="4">
                  <c:v>12.565445026178011</c:v>
                </c:pt>
                <c:pt idx="5">
                  <c:v>39.106145251396654</c:v>
                </c:pt>
                <c:pt idx="6">
                  <c:v>10.035842293906811</c:v>
                </c:pt>
                <c:pt idx="7">
                  <c:v>5.0335570469798512</c:v>
                </c:pt>
                <c:pt idx="8">
                  <c:v>24.034334763948493</c:v>
                </c:pt>
                <c:pt idx="9">
                  <c:v>15.384615384615387</c:v>
                </c:pt>
                <c:pt idx="10">
                  <c:v>16.216216216216225</c:v>
                </c:pt>
                <c:pt idx="11">
                  <c:v>11.111111111111114</c:v>
                </c:pt>
                <c:pt idx="12">
                  <c:v>10.859728506787334</c:v>
                </c:pt>
                <c:pt idx="13">
                  <c:v>15.384615384615387</c:v>
                </c:pt>
                <c:pt idx="14">
                  <c:v>12.352941176470594</c:v>
                </c:pt>
                <c:pt idx="15">
                  <c:v>10.975609756097555</c:v>
                </c:pt>
                <c:pt idx="16">
                  <c:v>4.8387096774193594</c:v>
                </c:pt>
                <c:pt idx="17">
                  <c:v>6.7039106145251424</c:v>
                </c:pt>
                <c:pt idx="18">
                  <c:v>20.792079207920793</c:v>
                </c:pt>
                <c:pt idx="19">
                  <c:v>6.6666666666666714</c:v>
                </c:pt>
              </c:numCache>
            </c:numRef>
          </c:val>
        </c:ser>
        <c:overlap val="100"/>
        <c:axId val="88459136"/>
        <c:axId val="88460672"/>
      </c:barChart>
      <c:lineChart>
        <c:grouping val="standard"/>
        <c:ser>
          <c:idx val="0"/>
          <c:order val="1"/>
          <c:tx>
            <c:strRef>
              <c:f>'Chart 7 (2015) DATA'!$L$2</c:f>
              <c:strCache>
                <c:ptCount val="1"/>
                <c:pt idx="0">
                  <c:v>Stroke Standard (2013)</c:v>
                </c:pt>
              </c:strCache>
            </c:strRef>
          </c:tx>
          <c:marker>
            <c:symbol val="none"/>
          </c:marker>
          <c:cat>
            <c:strRef>
              <c:f>'Chart 7 (2015) DATA'!$A$3:$A$22</c:f>
              <c:strCache>
                <c:ptCount val="20"/>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Western Isles</c:v>
                </c:pt>
              </c:strCache>
            </c:strRef>
          </c:cat>
          <c:val>
            <c:numRef>
              <c:f>'Chart 7 (2015) DATA'!$L$3:$L$22</c:f>
              <c:numCache>
                <c:formatCode>0</c:formatCode>
                <c:ptCount val="20"/>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numCache>
            </c:numRef>
          </c:val>
        </c:ser>
        <c:marker val="1"/>
        <c:axId val="88459136"/>
        <c:axId val="88460672"/>
      </c:lineChart>
      <c:catAx>
        <c:axId val="88459136"/>
        <c:scaling>
          <c:orientation val="minMax"/>
        </c:scaling>
        <c:axPos val="b"/>
        <c:tickLblPos val="nextTo"/>
        <c:txPr>
          <a:bodyPr rot="-5400000" vert="horz"/>
          <a:lstStyle/>
          <a:p>
            <a:pPr>
              <a:defRPr sz="800"/>
            </a:pPr>
            <a:endParaRPr lang="en-US"/>
          </a:p>
        </c:txPr>
        <c:crossAx val="88460672"/>
        <c:crosses val="autoZero"/>
        <c:auto val="1"/>
        <c:lblAlgn val="ctr"/>
        <c:lblOffset val="100"/>
      </c:catAx>
      <c:valAx>
        <c:axId val="88460672"/>
        <c:scaling>
          <c:orientation val="minMax"/>
          <c:max val="100"/>
        </c:scaling>
        <c:axPos val="l"/>
        <c:title>
          <c:tx>
            <c:rich>
              <a:bodyPr rot="0" vert="horz"/>
              <a:lstStyle/>
              <a:p>
                <a:pPr>
                  <a:defRPr b="0"/>
                </a:pPr>
                <a:r>
                  <a:rPr lang="en-GB" b="0"/>
                  <a:t>%</a:t>
                </a:r>
              </a:p>
            </c:rich>
          </c:tx>
        </c:title>
        <c:numFmt formatCode="0" sourceLinked="1"/>
        <c:tickLblPos val="nextTo"/>
        <c:txPr>
          <a:bodyPr/>
          <a:lstStyle/>
          <a:p>
            <a:pPr>
              <a:defRPr sz="800"/>
            </a:pPr>
            <a:endParaRPr lang="en-US"/>
          </a:p>
        </c:txPr>
        <c:crossAx val="88459136"/>
        <c:crosses val="autoZero"/>
        <c:crossBetween val="between"/>
      </c:valAx>
      <c:spPr>
        <a:ln>
          <a:solidFill>
            <a:schemeClr val="tx1"/>
          </a:solidFill>
        </a:ln>
      </c:spPr>
    </c:plotArea>
    <c:legend>
      <c:legendPos val="r"/>
      <c:layout>
        <c:manualLayout>
          <c:xMode val="edge"/>
          <c:yMode val="edge"/>
          <c:x val="0.87841302445890002"/>
          <c:y val="0.33786671402917007"/>
          <c:w val="0.10969548538874153"/>
          <c:h val="0.29751642886744689"/>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44" l="0.70000000000000062" r="0.70000000000000062" t="0.750000000000003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1a DATA (final diagnosis)'!$A$3</c:f>
              <c:strCache>
                <c:ptCount val="1"/>
                <c:pt idx="0">
                  <c:v>Scotland (+s)</c:v>
                </c:pt>
              </c:strCache>
            </c:strRef>
          </c:tx>
          <c:spPr>
            <a:ln w="63500">
              <a:solidFill>
                <a:schemeClr val="tx1"/>
              </a:solidFill>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diagnosis)'!$L$3:$P$3</c:f>
              <c:numCache>
                <c:formatCode>0</c:formatCode>
                <c:ptCount val="5"/>
                <c:pt idx="0">
                  <c:v>42.876229806874768</c:v>
                </c:pt>
                <c:pt idx="1">
                  <c:v>48.946840521564695</c:v>
                </c:pt>
                <c:pt idx="2">
                  <c:v>57.338663620788125</c:v>
                </c:pt>
                <c:pt idx="3">
                  <c:v>61.920567700583732</c:v>
                </c:pt>
                <c:pt idx="4">
                  <c:v>63.738089962331046</c:v>
                </c:pt>
              </c:numCache>
            </c:numRef>
          </c:val>
        </c:ser>
        <c:ser>
          <c:idx val="0"/>
          <c:order val="1"/>
          <c:tx>
            <c:strRef>
              <c:f>'Chart 1a DATA (final diagnosis)'!$A$4</c:f>
              <c:strCache>
                <c:ptCount val="1"/>
                <c:pt idx="0">
                  <c:v>Ayrshire &amp; Arran (+s)</c:v>
                </c:pt>
              </c:strCache>
            </c:strRef>
          </c:tx>
          <c:spPr>
            <a:ln w="19050"/>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diagnosis)'!$L$4:$P$4</c:f>
              <c:numCache>
                <c:formatCode>0</c:formatCode>
                <c:ptCount val="5"/>
                <c:pt idx="0">
                  <c:v>44.236760124610591</c:v>
                </c:pt>
                <c:pt idx="1">
                  <c:v>49.614791987673343</c:v>
                </c:pt>
                <c:pt idx="2">
                  <c:v>58.321273516642549</c:v>
                </c:pt>
                <c:pt idx="3">
                  <c:v>62.677165354330711</c:v>
                </c:pt>
                <c:pt idx="4">
                  <c:v>64.769230769230774</c:v>
                </c:pt>
              </c:numCache>
            </c:numRef>
          </c:val>
        </c:ser>
        <c:ser>
          <c:idx val="2"/>
          <c:order val="2"/>
          <c:tx>
            <c:strRef>
              <c:f>'Chart 1a DATA (final diagnosis)'!$A$5</c:f>
              <c:strCache>
                <c:ptCount val="1"/>
                <c:pt idx="0">
                  <c:v>Borders (+s)</c:v>
                </c:pt>
              </c:strCache>
            </c:strRef>
          </c:tx>
          <c:spPr>
            <a:ln w="38100">
              <a:prstDash val="sysDot"/>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diagnosis)'!$L$5:$P$5</c:f>
              <c:numCache>
                <c:formatCode>0</c:formatCode>
                <c:ptCount val="5"/>
                <c:pt idx="0">
                  <c:v>49.350649350649348</c:v>
                </c:pt>
                <c:pt idx="1">
                  <c:v>61.682242990654203</c:v>
                </c:pt>
                <c:pt idx="2">
                  <c:v>79.545454545454547</c:v>
                </c:pt>
                <c:pt idx="3">
                  <c:v>85.436893203883486</c:v>
                </c:pt>
                <c:pt idx="4">
                  <c:v>78.995433789954333</c:v>
                </c:pt>
              </c:numCache>
            </c:numRef>
          </c:val>
        </c:ser>
        <c:ser>
          <c:idx val="3"/>
          <c:order val="3"/>
          <c:tx>
            <c:strRef>
              <c:f>'Chart 1a DATA (final diagnosis)'!$A$6</c:f>
              <c:strCache>
                <c:ptCount val="1"/>
                <c:pt idx="0">
                  <c:v>Dumfries &amp; Galloway (+s)</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diagnosis)'!$L$6:$P$6</c:f>
              <c:numCache>
                <c:formatCode>0</c:formatCode>
                <c:ptCount val="5"/>
                <c:pt idx="0">
                  <c:v>50.763358778625957</c:v>
                </c:pt>
                <c:pt idx="1">
                  <c:v>54.817275747508312</c:v>
                </c:pt>
                <c:pt idx="2">
                  <c:v>69.520547945205479</c:v>
                </c:pt>
                <c:pt idx="3">
                  <c:v>71.134020618556704</c:v>
                </c:pt>
                <c:pt idx="4">
                  <c:v>71.378091872791515</c:v>
                </c:pt>
              </c:numCache>
            </c:numRef>
          </c:val>
        </c:ser>
        <c:ser>
          <c:idx val="4"/>
          <c:order val="4"/>
          <c:tx>
            <c:strRef>
              <c:f>'Chart 1a DATA (final diagnosis)'!$A$7</c:f>
              <c:strCache>
                <c:ptCount val="1"/>
                <c:pt idx="0">
                  <c:v>Fife (+s)</c:v>
                </c:pt>
              </c:strCache>
            </c:strRef>
          </c:tx>
          <c:spPr>
            <a:ln>
              <a:prstDash val="dash"/>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diagnosis)'!$L$7:$P$7</c:f>
              <c:numCache>
                <c:formatCode>0</c:formatCode>
                <c:ptCount val="5"/>
                <c:pt idx="0">
                  <c:v>47.192982456140356</c:v>
                </c:pt>
                <c:pt idx="1">
                  <c:v>50</c:v>
                </c:pt>
                <c:pt idx="2">
                  <c:v>68.841761827079935</c:v>
                </c:pt>
                <c:pt idx="3">
                  <c:v>70.588235294117652</c:v>
                </c:pt>
                <c:pt idx="4">
                  <c:v>73.65930599369085</c:v>
                </c:pt>
              </c:numCache>
            </c:numRef>
          </c:val>
        </c:ser>
        <c:ser>
          <c:idx val="5"/>
          <c:order val="5"/>
          <c:tx>
            <c:strRef>
              <c:f>'Chart 1a DATA (final diagnosis)'!$A$8</c:f>
              <c:strCache>
                <c:ptCount val="1"/>
                <c:pt idx="0">
                  <c:v>Forth Valley (+s)</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diagnosis)'!$L$8:$P$8</c:f>
              <c:numCache>
                <c:formatCode>0</c:formatCode>
                <c:ptCount val="5"/>
                <c:pt idx="0">
                  <c:v>35.100548446069467</c:v>
                </c:pt>
                <c:pt idx="1">
                  <c:v>59.243697478991599</c:v>
                </c:pt>
                <c:pt idx="2">
                  <c:v>55.136268343815509</c:v>
                </c:pt>
                <c:pt idx="3">
                  <c:v>67.786561264822126</c:v>
                </c:pt>
                <c:pt idx="4">
                  <c:v>67.095588235294116</c:v>
                </c:pt>
              </c:numCache>
            </c:numRef>
          </c:val>
        </c:ser>
        <c:ser>
          <c:idx val="6"/>
          <c:order val="6"/>
          <c:tx>
            <c:strRef>
              <c:f>'Chart 1a DATA (final diagnosis)'!$A$9</c:f>
              <c:strCache>
                <c:ptCount val="1"/>
                <c:pt idx="0">
                  <c:v>Grampian (+s)</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diagnosis)'!$L$9:$P$9</c:f>
              <c:numCache>
                <c:formatCode>0</c:formatCode>
                <c:ptCount val="5"/>
                <c:pt idx="0">
                  <c:v>48.909657320872277</c:v>
                </c:pt>
                <c:pt idx="1">
                  <c:v>57.413249211356465</c:v>
                </c:pt>
                <c:pt idx="2">
                  <c:v>59.651669085631355</c:v>
                </c:pt>
                <c:pt idx="3">
                  <c:v>61.294765840220386</c:v>
                </c:pt>
                <c:pt idx="4">
                  <c:v>64.277035236938033</c:v>
                </c:pt>
              </c:numCache>
            </c:numRef>
          </c:val>
        </c:ser>
        <c:ser>
          <c:idx val="7"/>
          <c:order val="7"/>
          <c:tx>
            <c:strRef>
              <c:f>'Chart 1a DATA (final diagnosis)'!$A$10</c:f>
              <c:strCache>
                <c:ptCount val="1"/>
                <c:pt idx="0">
                  <c:v>Greater Glasgow &amp; Clyde (+s)</c:v>
                </c:pt>
              </c:strCache>
            </c:strRef>
          </c:tx>
          <c:spPr>
            <a:ln>
              <a:solidFill>
                <a:srgbClr val="C00000"/>
              </a:solidFill>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diagnosis)'!$L$10:$P$10</c:f>
              <c:numCache>
                <c:formatCode>0</c:formatCode>
                <c:ptCount val="5"/>
                <c:pt idx="0">
                  <c:v>34.357277882797732</c:v>
                </c:pt>
                <c:pt idx="1">
                  <c:v>36.741921204072597</c:v>
                </c:pt>
                <c:pt idx="2">
                  <c:v>48.138297872340424</c:v>
                </c:pt>
                <c:pt idx="3">
                  <c:v>57.104795737122558</c:v>
                </c:pt>
                <c:pt idx="4">
                  <c:v>64.055505819158469</c:v>
                </c:pt>
              </c:numCache>
            </c:numRef>
          </c:val>
        </c:ser>
        <c:ser>
          <c:idx val="8"/>
          <c:order val="8"/>
          <c:tx>
            <c:strRef>
              <c:f>'Chart 1a DATA (final diagnosis)'!$A$11</c:f>
              <c:strCache>
                <c:ptCount val="1"/>
                <c:pt idx="0">
                  <c:v>Highland (+s)</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diagnosis)'!$L$11:$P$11</c:f>
              <c:numCache>
                <c:formatCode>0</c:formatCode>
                <c:ptCount val="5"/>
                <c:pt idx="0">
                  <c:v>24.070450097847356</c:v>
                </c:pt>
                <c:pt idx="1">
                  <c:v>39.737991266375545</c:v>
                </c:pt>
                <c:pt idx="2">
                  <c:v>57.383966244725734</c:v>
                </c:pt>
                <c:pt idx="3">
                  <c:v>63.16916488222698</c:v>
                </c:pt>
                <c:pt idx="4">
                  <c:v>55.511022044088179</c:v>
                </c:pt>
              </c:numCache>
            </c:numRef>
          </c:val>
        </c:ser>
        <c:ser>
          <c:idx val="9"/>
          <c:order val="9"/>
          <c:tx>
            <c:strRef>
              <c:f>'Chart 1a DATA (final diagnosis)'!$A$12</c:f>
              <c:strCache>
                <c:ptCount val="1"/>
                <c:pt idx="0">
                  <c:v>Lanarkshire (+s)</c:v>
                </c:pt>
              </c:strCache>
            </c:strRef>
          </c:tx>
          <c:spPr>
            <a:ln>
              <a:solidFill>
                <a:schemeClr val="bg2">
                  <a:lumMod val="50000"/>
                </a:schemeClr>
              </a:solidFill>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diagnosis)'!$L$12:$P$12</c:f>
              <c:numCache>
                <c:formatCode>0</c:formatCode>
                <c:ptCount val="5"/>
                <c:pt idx="0">
                  <c:v>50.686378035902848</c:v>
                </c:pt>
                <c:pt idx="1">
                  <c:v>68.421052631578945</c:v>
                </c:pt>
                <c:pt idx="2">
                  <c:v>74.111111111111114</c:v>
                </c:pt>
                <c:pt idx="3">
                  <c:v>76.19047619047619</c:v>
                </c:pt>
                <c:pt idx="4">
                  <c:v>68.795811518324612</c:v>
                </c:pt>
              </c:numCache>
            </c:numRef>
          </c:val>
        </c:ser>
        <c:ser>
          <c:idx val="10"/>
          <c:order val="10"/>
          <c:tx>
            <c:strRef>
              <c:f>'Chart 1a DATA (final diagnosis)'!$A$13</c:f>
              <c:strCache>
                <c:ptCount val="1"/>
                <c:pt idx="0">
                  <c:v>Lothian (+s)</c:v>
                </c:pt>
              </c:strCache>
            </c:strRef>
          </c:tx>
          <c:spPr>
            <a:ln>
              <a:prstDash val="lgDash"/>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diagnosis)'!$L$13:$P$13</c:f>
              <c:numCache>
                <c:formatCode>0</c:formatCode>
                <c:ptCount val="5"/>
                <c:pt idx="0">
                  <c:v>46.168768186226963</c:v>
                </c:pt>
                <c:pt idx="1">
                  <c:v>42.602308499475342</c:v>
                </c:pt>
                <c:pt idx="2">
                  <c:v>47.699050401753105</c:v>
                </c:pt>
                <c:pt idx="3">
                  <c:v>48.525280898876403</c:v>
                </c:pt>
                <c:pt idx="4">
                  <c:v>53.995830437804024</c:v>
                </c:pt>
              </c:numCache>
            </c:numRef>
          </c:val>
        </c:ser>
        <c:ser>
          <c:idx val="11"/>
          <c:order val="11"/>
          <c:tx>
            <c:strRef>
              <c:f>'Chart 1a DATA (final diagnosis)'!$A$14</c:f>
              <c:strCache>
                <c:ptCount val="1"/>
                <c:pt idx="0">
                  <c:v>Orkney (+s)</c:v>
                </c:pt>
              </c:strCache>
            </c:strRef>
          </c:tx>
          <c:spPr>
            <a:ln>
              <a:solidFill>
                <a:schemeClr val="bg1">
                  <a:lumMod val="65000"/>
                </a:schemeClr>
              </a:solidFill>
              <a:prstDash val="lgDash"/>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diagnosis)'!$L$14:$P$14</c:f>
              <c:numCache>
                <c:formatCode>0</c:formatCode>
                <c:ptCount val="5"/>
                <c:pt idx="0">
                  <c:v>14.814814814814813</c:v>
                </c:pt>
                <c:pt idx="1">
                  <c:v>9.0909090909090917</c:v>
                </c:pt>
                <c:pt idx="2">
                  <c:v>23.809523809523807</c:v>
                </c:pt>
                <c:pt idx="3">
                  <c:v>17.5</c:v>
                </c:pt>
                <c:pt idx="4">
                  <c:v>45</c:v>
                </c:pt>
              </c:numCache>
            </c:numRef>
          </c:val>
        </c:ser>
        <c:ser>
          <c:idx val="12"/>
          <c:order val="12"/>
          <c:tx>
            <c:strRef>
              <c:f>'Chart 1a DATA (final diagnosis)'!$A$15</c:f>
              <c:strCache>
                <c:ptCount val="1"/>
                <c:pt idx="0">
                  <c:v>Shetland (+s)</c:v>
                </c:pt>
              </c:strCache>
            </c:strRef>
          </c:tx>
          <c:spPr>
            <a:ln w="38100">
              <a:prstDash val="lgDashDotDot"/>
            </a:ln>
          </c:spPr>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diagnosis)'!$L$15:$P$15</c:f>
              <c:numCache>
                <c:formatCode>0</c:formatCode>
                <c:ptCount val="5"/>
                <c:pt idx="0">
                  <c:v>45</c:v>
                </c:pt>
                <c:pt idx="1">
                  <c:v>69.230769230769226</c:v>
                </c:pt>
                <c:pt idx="2">
                  <c:v>54.285714285714285</c:v>
                </c:pt>
                <c:pt idx="3">
                  <c:v>68.571428571428569</c:v>
                </c:pt>
                <c:pt idx="4">
                  <c:v>77.142857142857153</c:v>
                </c:pt>
              </c:numCache>
            </c:numRef>
          </c:val>
        </c:ser>
        <c:ser>
          <c:idx val="13"/>
          <c:order val="13"/>
          <c:tx>
            <c:strRef>
              <c:f>'Chart 1a DATA (final diagnosis)'!$A$16</c:f>
              <c:strCache>
                <c:ptCount val="1"/>
                <c:pt idx="0">
                  <c:v>Tayside (+)</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diagnosis)'!$L$16:$P$16</c:f>
              <c:numCache>
                <c:formatCode>0</c:formatCode>
                <c:ptCount val="5"/>
                <c:pt idx="0">
                  <c:v>59.654631083202517</c:v>
                </c:pt>
                <c:pt idx="1">
                  <c:v>60.876369327073554</c:v>
                </c:pt>
                <c:pt idx="2">
                  <c:v>62.818590704647683</c:v>
                </c:pt>
                <c:pt idx="3">
                  <c:v>64.137931034482747</c:v>
                </c:pt>
                <c:pt idx="4">
                  <c:v>59.905660377358494</c:v>
                </c:pt>
              </c:numCache>
            </c:numRef>
          </c:val>
        </c:ser>
        <c:ser>
          <c:idx val="14"/>
          <c:order val="14"/>
          <c:tx>
            <c:strRef>
              <c:f>'Chart 1a DATA (final diagnosis)'!$A$17</c:f>
              <c:strCache>
                <c:ptCount val="1"/>
                <c:pt idx="0">
                  <c:v>Western Isles (+s)</c:v>
                </c:pt>
              </c:strCache>
            </c:strRef>
          </c:tx>
          <c:marker>
            <c:symbol val="none"/>
          </c:marker>
          <c:cat>
            <c:numRef>
              <c:f>'Chart 1a DATA (final diagnosis)'!$L$2:$P$2</c:f>
              <c:numCache>
                <c:formatCode>General</c:formatCode>
                <c:ptCount val="5"/>
                <c:pt idx="0">
                  <c:v>2011</c:v>
                </c:pt>
                <c:pt idx="1">
                  <c:v>2012</c:v>
                </c:pt>
                <c:pt idx="2">
                  <c:v>2013</c:v>
                </c:pt>
                <c:pt idx="3">
                  <c:v>2014</c:v>
                </c:pt>
                <c:pt idx="4">
                  <c:v>2015</c:v>
                </c:pt>
              </c:numCache>
            </c:numRef>
          </c:cat>
          <c:val>
            <c:numRef>
              <c:f>'Chart 1a DATA (final diagnosis)'!$L$17:$P$17</c:f>
              <c:numCache>
                <c:formatCode>0</c:formatCode>
                <c:ptCount val="5"/>
                <c:pt idx="0">
                  <c:v>53.333333333333336</c:v>
                </c:pt>
                <c:pt idx="1">
                  <c:v>48.387096774193552</c:v>
                </c:pt>
                <c:pt idx="2">
                  <c:v>56.666666666666664</c:v>
                </c:pt>
                <c:pt idx="3">
                  <c:v>81.818181818181827</c:v>
                </c:pt>
                <c:pt idx="4">
                  <c:v>80</c:v>
                </c:pt>
              </c:numCache>
            </c:numRef>
          </c:val>
        </c:ser>
        <c:marker val="1"/>
        <c:axId val="340016128"/>
        <c:axId val="341324544"/>
      </c:lineChart>
      <c:catAx>
        <c:axId val="340016128"/>
        <c:scaling>
          <c:orientation val="minMax"/>
        </c:scaling>
        <c:axPos val="b"/>
        <c:numFmt formatCode="General" sourceLinked="1"/>
        <c:tickLblPos val="nextTo"/>
        <c:crossAx val="341324544"/>
        <c:crosses val="autoZero"/>
        <c:auto val="1"/>
        <c:lblAlgn val="ctr"/>
        <c:lblOffset val="100"/>
      </c:catAx>
      <c:valAx>
        <c:axId val="341324544"/>
        <c:scaling>
          <c:orientation val="minMax"/>
        </c:scaling>
        <c:axPos val="l"/>
        <c:title>
          <c:tx>
            <c:rich>
              <a:bodyPr rot="0" vert="wordArtVert"/>
              <a:lstStyle/>
              <a:p>
                <a:pPr>
                  <a:defRPr/>
                </a:pPr>
                <a:r>
                  <a:rPr lang="en-GB"/>
                  <a:t>%</a:t>
                </a:r>
              </a:p>
            </c:rich>
          </c:tx>
          <c:layout/>
        </c:title>
        <c:numFmt formatCode="0" sourceLinked="1"/>
        <c:tickLblPos val="nextTo"/>
        <c:crossAx val="340016128"/>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512"/>
          <c:h val="0.87035831205139536"/>
        </c:manualLayout>
      </c:layout>
      <c:spPr>
        <a:ln>
          <a:solidFill>
            <a:schemeClr val="tx1"/>
          </a:solidFill>
        </a:ln>
      </c:spPr>
      <c:txPr>
        <a:bodyPr/>
        <a:lstStyle/>
        <a:p>
          <a:pPr>
            <a:defRPr sz="900"/>
          </a:pPr>
          <a:endParaRPr lang="en-US"/>
        </a:p>
      </c:txPr>
    </c:legend>
    <c:plotVisOnly val="1"/>
  </c:chart>
  <c:printSettings>
    <c:headerFooter/>
    <c:pageMargins b="0.75000000000001088" l="0.70000000000000062" r="0.70000000000000062" t="0.75000000000001088"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534E-2"/>
          <c:y val="8.0232093304875005E-2"/>
          <c:w val="0.81007028782419477"/>
          <c:h val="0.72370482152729065"/>
        </c:manualLayout>
      </c:layout>
      <c:barChart>
        <c:barDir val="col"/>
        <c:grouping val="stacked"/>
        <c:ser>
          <c:idx val="3"/>
          <c:order val="0"/>
          <c:tx>
            <c:strRef>
              <c:f>'Chart 7 (2014) DATA'!$C$2</c:f>
              <c:strCache>
                <c:ptCount val="1"/>
                <c:pt idx="0">
                  <c:v>Same Day</c:v>
                </c:pt>
              </c:strCache>
            </c:strRef>
          </c:tx>
          <c:spPr>
            <a:solidFill>
              <a:srgbClr val="003366"/>
            </a:solidFill>
            <a:ln>
              <a:solidFill>
                <a:schemeClr val="tx1"/>
              </a:solidFill>
            </a:ln>
          </c:spPr>
          <c:dPt>
            <c:idx val="0"/>
            <c:spPr>
              <a:solidFill>
                <a:srgbClr val="008000"/>
              </a:solidFill>
              <a:ln>
                <a:solidFill>
                  <a:schemeClr val="tx1"/>
                </a:solidFill>
              </a:ln>
            </c:spPr>
          </c:dPt>
          <c:cat>
            <c:strRef>
              <c:f>'Chart 7 (2014) DATA'!$A$3:$A$23</c:f>
              <c:strCache>
                <c:ptCount val="21"/>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Stracathro</c:v>
                </c:pt>
                <c:pt idx="20">
                  <c:v>Western Isles</c:v>
                </c:pt>
              </c:strCache>
            </c:strRef>
          </c:cat>
          <c:val>
            <c:numRef>
              <c:f>'Chart 7 (2014) DATA'!$C$3:$C$23</c:f>
              <c:numCache>
                <c:formatCode>0</c:formatCode>
                <c:ptCount val="21"/>
                <c:pt idx="0">
                  <c:v>10.845588235294118</c:v>
                </c:pt>
                <c:pt idx="1">
                  <c:v>4.1379310344827589</c:v>
                </c:pt>
                <c:pt idx="2">
                  <c:v>6.9364161849710975</c:v>
                </c:pt>
                <c:pt idx="3">
                  <c:v>2.5316455696202533</c:v>
                </c:pt>
                <c:pt idx="4">
                  <c:v>3.4090909090909087</c:v>
                </c:pt>
                <c:pt idx="5">
                  <c:v>2.7322404371584699</c:v>
                </c:pt>
                <c:pt idx="6">
                  <c:v>27.376425855513308</c:v>
                </c:pt>
                <c:pt idx="7">
                  <c:v>41.700404858299592</c:v>
                </c:pt>
                <c:pt idx="8">
                  <c:v>9.6491228070175428</c:v>
                </c:pt>
                <c:pt idx="9">
                  <c:v>31.578947368421051</c:v>
                </c:pt>
                <c:pt idx="10">
                  <c:v>19.565217391304348</c:v>
                </c:pt>
                <c:pt idx="11">
                  <c:v>7.0921985815602842</c:v>
                </c:pt>
                <c:pt idx="12">
                  <c:v>0</c:v>
                </c:pt>
                <c:pt idx="13">
                  <c:v>8.0246913580246915</c:v>
                </c:pt>
                <c:pt idx="14">
                  <c:v>0</c:v>
                </c:pt>
                <c:pt idx="15">
                  <c:v>2.6785714285714284</c:v>
                </c:pt>
                <c:pt idx="16">
                  <c:v>16.11785095320624</c:v>
                </c:pt>
                <c:pt idx="17">
                  <c:v>4.4117647058823533</c:v>
                </c:pt>
                <c:pt idx="18">
                  <c:v>0.86206896551724133</c:v>
                </c:pt>
                <c:pt idx="19">
                  <c:v>1.4925373134328357</c:v>
                </c:pt>
                <c:pt idx="20">
                  <c:v>0</c:v>
                </c:pt>
              </c:numCache>
            </c:numRef>
          </c:val>
        </c:ser>
        <c:ser>
          <c:idx val="1"/>
          <c:order val="2"/>
          <c:tx>
            <c:strRef>
              <c:f>'Chart 7 (2014) DATA'!$H$2</c:f>
              <c:strCache>
                <c:ptCount val="1"/>
                <c:pt idx="0">
                  <c:v>1 Day</c:v>
                </c:pt>
              </c:strCache>
            </c:strRef>
          </c:tx>
          <c:spPr>
            <a:solidFill>
              <a:srgbClr val="9999FF"/>
            </a:solidFill>
            <a:ln>
              <a:solidFill>
                <a:schemeClr val="tx1"/>
              </a:solidFill>
            </a:ln>
          </c:spPr>
          <c:dPt>
            <c:idx val="0"/>
            <c:spPr>
              <a:solidFill>
                <a:srgbClr val="FF0000"/>
              </a:solidFill>
              <a:ln>
                <a:solidFill>
                  <a:schemeClr val="tx1"/>
                </a:solidFill>
              </a:ln>
            </c:spPr>
          </c:dPt>
          <c:cat>
            <c:strRef>
              <c:f>'Chart 7 (2014) DATA'!$A$3:$A$23</c:f>
              <c:strCache>
                <c:ptCount val="21"/>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Stracathro</c:v>
                </c:pt>
                <c:pt idx="20">
                  <c:v>Western Isles</c:v>
                </c:pt>
              </c:strCache>
            </c:strRef>
          </c:cat>
          <c:val>
            <c:numRef>
              <c:f>'Chart 7 (2014) DATA'!$H$3:$H$23</c:f>
              <c:numCache>
                <c:formatCode>0</c:formatCode>
                <c:ptCount val="21"/>
                <c:pt idx="0">
                  <c:v>26.706932773109244</c:v>
                </c:pt>
                <c:pt idx="1">
                  <c:v>38.620689655172413</c:v>
                </c:pt>
                <c:pt idx="2">
                  <c:v>34.682080924855498</c:v>
                </c:pt>
                <c:pt idx="3">
                  <c:v>20.253164556962027</c:v>
                </c:pt>
                <c:pt idx="4">
                  <c:v>35.795454545454547</c:v>
                </c:pt>
                <c:pt idx="5">
                  <c:v>24.043715846994537</c:v>
                </c:pt>
                <c:pt idx="6">
                  <c:v>20.912547528517113</c:v>
                </c:pt>
                <c:pt idx="7">
                  <c:v>18.623481781376526</c:v>
                </c:pt>
                <c:pt idx="8">
                  <c:v>21.491228070175445</c:v>
                </c:pt>
                <c:pt idx="9">
                  <c:v>15.789473684210524</c:v>
                </c:pt>
                <c:pt idx="10">
                  <c:v>6.5217391304347814</c:v>
                </c:pt>
                <c:pt idx="11">
                  <c:v>20.921985815602838</c:v>
                </c:pt>
                <c:pt idx="12">
                  <c:v>25.570776255707763</c:v>
                </c:pt>
                <c:pt idx="13">
                  <c:v>39.506172839506178</c:v>
                </c:pt>
                <c:pt idx="14">
                  <c:v>34.586466165413533</c:v>
                </c:pt>
                <c:pt idx="15">
                  <c:v>13.839285714285714</c:v>
                </c:pt>
                <c:pt idx="16">
                  <c:v>39.341421143847484</c:v>
                </c:pt>
                <c:pt idx="17">
                  <c:v>26.470588235294116</c:v>
                </c:pt>
                <c:pt idx="18">
                  <c:v>13.793103448275859</c:v>
                </c:pt>
                <c:pt idx="19">
                  <c:v>28.35820895522388</c:v>
                </c:pt>
                <c:pt idx="20">
                  <c:v>0</c:v>
                </c:pt>
              </c:numCache>
            </c:numRef>
          </c:val>
        </c:ser>
        <c:ser>
          <c:idx val="2"/>
          <c:order val="3"/>
          <c:tx>
            <c:strRef>
              <c:f>'Chart 7 (2014) DATA'!$I$2</c:f>
              <c:strCache>
                <c:ptCount val="1"/>
                <c:pt idx="0">
                  <c:v>2-4 Days</c:v>
                </c:pt>
              </c:strCache>
            </c:strRef>
          </c:tx>
          <c:spPr>
            <a:solidFill>
              <a:srgbClr val="FFFF99"/>
            </a:solidFill>
            <a:ln>
              <a:solidFill>
                <a:schemeClr val="tx1"/>
              </a:solidFill>
            </a:ln>
          </c:spPr>
          <c:dPt>
            <c:idx val="0"/>
            <c:spPr>
              <a:solidFill>
                <a:srgbClr val="FFCC00"/>
              </a:solidFill>
              <a:ln>
                <a:solidFill>
                  <a:schemeClr val="tx1"/>
                </a:solidFill>
              </a:ln>
            </c:spPr>
          </c:dPt>
          <c:cat>
            <c:strRef>
              <c:f>'Chart 7 (2014) DATA'!$A$3:$A$23</c:f>
              <c:strCache>
                <c:ptCount val="21"/>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Stracathro</c:v>
                </c:pt>
                <c:pt idx="20">
                  <c:v>Western Isles</c:v>
                </c:pt>
              </c:strCache>
            </c:strRef>
          </c:cat>
          <c:val>
            <c:numRef>
              <c:f>'Chart 7 (2014) DATA'!$I$3:$I$23</c:f>
              <c:numCache>
                <c:formatCode>0</c:formatCode>
                <c:ptCount val="21"/>
                <c:pt idx="0">
                  <c:v>45.194327731092429</c:v>
                </c:pt>
                <c:pt idx="1">
                  <c:v>51.034482758620683</c:v>
                </c:pt>
                <c:pt idx="2">
                  <c:v>43.930635838150295</c:v>
                </c:pt>
                <c:pt idx="3">
                  <c:v>67.088607594936718</c:v>
                </c:pt>
                <c:pt idx="4">
                  <c:v>45.454545454545453</c:v>
                </c:pt>
                <c:pt idx="5">
                  <c:v>34.972677595628411</c:v>
                </c:pt>
                <c:pt idx="6">
                  <c:v>39.923954372623577</c:v>
                </c:pt>
                <c:pt idx="7">
                  <c:v>31.174089068825907</c:v>
                </c:pt>
                <c:pt idx="8">
                  <c:v>31.359649122807014</c:v>
                </c:pt>
                <c:pt idx="9">
                  <c:v>13.15789473684211</c:v>
                </c:pt>
                <c:pt idx="10">
                  <c:v>41.304347826086968</c:v>
                </c:pt>
                <c:pt idx="11">
                  <c:v>60.99290780141844</c:v>
                </c:pt>
                <c:pt idx="12">
                  <c:v>61.187214611872143</c:v>
                </c:pt>
                <c:pt idx="13">
                  <c:v>35.802469135802475</c:v>
                </c:pt>
                <c:pt idx="14">
                  <c:v>58.646616541353374</c:v>
                </c:pt>
                <c:pt idx="15">
                  <c:v>62.946428571428569</c:v>
                </c:pt>
                <c:pt idx="16">
                  <c:v>38.474870017331014</c:v>
                </c:pt>
                <c:pt idx="17">
                  <c:v>58.823529411764703</c:v>
                </c:pt>
                <c:pt idx="18">
                  <c:v>60.344827586206897</c:v>
                </c:pt>
                <c:pt idx="19">
                  <c:v>16.417910447761194</c:v>
                </c:pt>
                <c:pt idx="20">
                  <c:v>85.714285714285708</c:v>
                </c:pt>
              </c:numCache>
            </c:numRef>
          </c:val>
        </c:ser>
        <c:ser>
          <c:idx val="4"/>
          <c:order val="4"/>
          <c:tx>
            <c:strRef>
              <c:f>'Chart 7 (2014) DATA'!$J$2</c:f>
              <c:strCache>
                <c:ptCount val="1"/>
                <c:pt idx="0">
                  <c:v>5-7 Days</c:v>
                </c:pt>
              </c:strCache>
            </c:strRef>
          </c:tx>
          <c:spPr>
            <a:solidFill>
              <a:srgbClr val="CCFFFF"/>
            </a:solidFill>
            <a:ln>
              <a:solidFill>
                <a:schemeClr val="tx1"/>
              </a:solidFill>
            </a:ln>
          </c:spPr>
          <c:dPt>
            <c:idx val="0"/>
            <c:spPr>
              <a:solidFill>
                <a:srgbClr val="99CC00"/>
              </a:solidFill>
              <a:ln>
                <a:solidFill>
                  <a:schemeClr val="tx1"/>
                </a:solidFill>
              </a:ln>
            </c:spPr>
          </c:dPt>
          <c:cat>
            <c:strRef>
              <c:f>'Chart 7 (2014) DATA'!$A$3:$A$23</c:f>
              <c:strCache>
                <c:ptCount val="21"/>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Stracathro</c:v>
                </c:pt>
                <c:pt idx="20">
                  <c:v>Western Isles</c:v>
                </c:pt>
              </c:strCache>
            </c:strRef>
          </c:cat>
          <c:val>
            <c:numRef>
              <c:f>'Chart 7 (2014) DATA'!$J$3:$J$23</c:f>
              <c:numCache>
                <c:formatCode>0</c:formatCode>
                <c:ptCount val="21"/>
                <c:pt idx="0">
                  <c:v>12.132352941176478</c:v>
                </c:pt>
                <c:pt idx="1">
                  <c:v>6.2068965517241423</c:v>
                </c:pt>
                <c:pt idx="2">
                  <c:v>10.982658959537559</c:v>
                </c:pt>
                <c:pt idx="3">
                  <c:v>7.5949367088607573</c:v>
                </c:pt>
                <c:pt idx="4">
                  <c:v>13.63636363636364</c:v>
                </c:pt>
                <c:pt idx="5">
                  <c:v>33.879781420765013</c:v>
                </c:pt>
                <c:pt idx="6">
                  <c:v>7.6045627376425813</c:v>
                </c:pt>
                <c:pt idx="7">
                  <c:v>6.8825910931173979</c:v>
                </c:pt>
                <c:pt idx="8">
                  <c:v>23.903508771929822</c:v>
                </c:pt>
                <c:pt idx="9">
                  <c:v>21.05263157894737</c:v>
                </c:pt>
                <c:pt idx="10">
                  <c:v>21.739130434782595</c:v>
                </c:pt>
                <c:pt idx="11">
                  <c:v>5.6737588652482316</c:v>
                </c:pt>
                <c:pt idx="12">
                  <c:v>8.2191780821917746</c:v>
                </c:pt>
                <c:pt idx="13">
                  <c:v>14.197530864197518</c:v>
                </c:pt>
                <c:pt idx="14">
                  <c:v>5.2631578947368496</c:v>
                </c:pt>
                <c:pt idx="15">
                  <c:v>12.5</c:v>
                </c:pt>
                <c:pt idx="16">
                  <c:v>4.159445407279037</c:v>
                </c:pt>
                <c:pt idx="17">
                  <c:v>6.6176470588235361</c:v>
                </c:pt>
                <c:pt idx="18">
                  <c:v>14.65517241379311</c:v>
                </c:pt>
                <c:pt idx="19">
                  <c:v>44.776119402985074</c:v>
                </c:pt>
                <c:pt idx="20">
                  <c:v>0</c:v>
                </c:pt>
              </c:numCache>
            </c:numRef>
          </c:val>
        </c:ser>
        <c:overlap val="100"/>
        <c:axId val="91618688"/>
        <c:axId val="98907264"/>
      </c:barChart>
      <c:lineChart>
        <c:grouping val="standard"/>
        <c:ser>
          <c:idx val="0"/>
          <c:order val="1"/>
          <c:tx>
            <c:strRef>
              <c:f>'Chart 7 (2014) DATA'!$L$2</c:f>
              <c:strCache>
                <c:ptCount val="1"/>
                <c:pt idx="0">
                  <c:v>Stroke Standard (2013)</c:v>
                </c:pt>
              </c:strCache>
            </c:strRef>
          </c:tx>
          <c:marker>
            <c:symbol val="none"/>
          </c:marker>
          <c:cat>
            <c:strRef>
              <c:f>'Chart 7 (2014) DATA'!$A$3:$A$23</c:f>
              <c:strCache>
                <c:ptCount val="21"/>
                <c:pt idx="0">
                  <c:v>Scotland</c:v>
                </c:pt>
                <c:pt idx="1">
                  <c:v>Ayr</c:v>
                </c:pt>
                <c:pt idx="2">
                  <c:v>Crosshouse</c:v>
                </c:pt>
                <c:pt idx="3">
                  <c:v>Borders</c:v>
                </c:pt>
                <c:pt idx="4">
                  <c:v>DGRI</c:v>
                </c:pt>
                <c:pt idx="5">
                  <c:v>QMH</c:v>
                </c:pt>
                <c:pt idx="6">
                  <c:v>VHK</c:v>
                </c:pt>
                <c:pt idx="7">
                  <c:v>FVRH</c:v>
                </c:pt>
                <c:pt idx="8">
                  <c:v>ARI</c:v>
                </c:pt>
                <c:pt idx="9">
                  <c:v>Dr Grays</c:v>
                </c:pt>
                <c:pt idx="10">
                  <c:v>L&amp;I</c:v>
                </c:pt>
                <c:pt idx="11">
                  <c:v>Raigmore</c:v>
                </c:pt>
                <c:pt idx="12">
                  <c:v>Hairmyres</c:v>
                </c:pt>
                <c:pt idx="13">
                  <c:v>Monklands</c:v>
                </c:pt>
                <c:pt idx="14">
                  <c:v>Wishaw</c:v>
                </c:pt>
                <c:pt idx="15">
                  <c:v>SJH</c:v>
                </c:pt>
                <c:pt idx="16">
                  <c:v>WGH</c:v>
                </c:pt>
                <c:pt idx="17">
                  <c:v>Ninewells</c:v>
                </c:pt>
                <c:pt idx="18">
                  <c:v>PRI</c:v>
                </c:pt>
                <c:pt idx="19">
                  <c:v>Stracathro</c:v>
                </c:pt>
                <c:pt idx="20">
                  <c:v>Western Isles</c:v>
                </c:pt>
              </c:strCache>
            </c:strRef>
          </c:cat>
          <c:val>
            <c:numRef>
              <c:f>'Chart 7 (2014) DATA'!$L$3:$L$23</c:f>
              <c:numCache>
                <c:formatCode>0</c:formatCode>
                <c:ptCount val="21"/>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numCache>
            </c:numRef>
          </c:val>
        </c:ser>
        <c:marker val="1"/>
        <c:axId val="91618688"/>
        <c:axId val="98907264"/>
      </c:lineChart>
      <c:catAx>
        <c:axId val="91618688"/>
        <c:scaling>
          <c:orientation val="minMax"/>
        </c:scaling>
        <c:axPos val="b"/>
        <c:tickLblPos val="nextTo"/>
        <c:txPr>
          <a:bodyPr rot="-5400000" vert="horz"/>
          <a:lstStyle/>
          <a:p>
            <a:pPr>
              <a:defRPr sz="800"/>
            </a:pPr>
            <a:endParaRPr lang="en-US"/>
          </a:p>
        </c:txPr>
        <c:crossAx val="98907264"/>
        <c:crosses val="autoZero"/>
        <c:auto val="1"/>
        <c:lblAlgn val="ctr"/>
        <c:lblOffset val="100"/>
      </c:catAx>
      <c:valAx>
        <c:axId val="98907264"/>
        <c:scaling>
          <c:orientation val="minMax"/>
          <c:max val="100"/>
        </c:scaling>
        <c:axPos val="l"/>
        <c:title>
          <c:tx>
            <c:rich>
              <a:bodyPr rot="0" vert="horz"/>
              <a:lstStyle/>
              <a:p>
                <a:pPr>
                  <a:defRPr b="0"/>
                </a:pPr>
                <a:r>
                  <a:rPr lang="en-GB" b="0"/>
                  <a:t>%</a:t>
                </a:r>
              </a:p>
            </c:rich>
          </c:tx>
          <c:layout/>
        </c:title>
        <c:numFmt formatCode="0" sourceLinked="1"/>
        <c:tickLblPos val="nextTo"/>
        <c:txPr>
          <a:bodyPr/>
          <a:lstStyle/>
          <a:p>
            <a:pPr>
              <a:defRPr sz="800"/>
            </a:pPr>
            <a:endParaRPr lang="en-US"/>
          </a:p>
        </c:txPr>
        <c:crossAx val="91618688"/>
        <c:crosses val="autoZero"/>
        <c:crossBetween val="between"/>
      </c:valAx>
      <c:spPr>
        <a:ln>
          <a:solidFill>
            <a:schemeClr val="tx1"/>
          </a:solidFill>
        </a:ln>
      </c:spPr>
    </c:plotArea>
    <c:legend>
      <c:legendPos val="r"/>
      <c:layout>
        <c:manualLayout>
          <c:xMode val="edge"/>
          <c:yMode val="edge"/>
          <c:x val="0.87841302445890002"/>
          <c:y val="0.33786671402917029"/>
          <c:w val="0.10969548538874158"/>
          <c:h val="0.29751642886744711"/>
        </c:manualLayout>
      </c:layout>
      <c:spPr>
        <a:ln>
          <a:solidFill>
            <a:schemeClr val="tx1"/>
          </a:solidFill>
        </a:ln>
      </c:spPr>
      <c:txPr>
        <a:bodyPr/>
        <a:lstStyle/>
        <a:p>
          <a:pPr>
            <a:defRPr sz="7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GB"/>
  <c:chart>
    <c:plotArea>
      <c:layout/>
      <c:barChart>
        <c:barDir val="col"/>
        <c:grouping val="clustered"/>
        <c:ser>
          <c:idx val="0"/>
          <c:order val="0"/>
          <c:tx>
            <c:strRef>
              <c:f>'Chart 9 DATA'!$B$2</c:f>
              <c:strCache>
                <c:ptCount val="1"/>
                <c:pt idx="0">
                  <c:v>2014 (%)</c:v>
                </c:pt>
              </c:strCache>
            </c:strRef>
          </c:tx>
          <c:spPr>
            <a:solidFill>
              <a:srgbClr val="9999FF"/>
            </a:solidFill>
            <a:ln>
              <a:solidFill>
                <a:prstClr val="black"/>
              </a:solidFill>
            </a:ln>
          </c:spPr>
          <c:dPt>
            <c:idx val="0"/>
            <c:spPr>
              <a:solidFill>
                <a:srgbClr val="99CC00"/>
              </a:solidFill>
              <a:ln>
                <a:solidFill>
                  <a:prstClr val="black"/>
                </a:solidFill>
              </a:ln>
            </c:spPr>
          </c:dPt>
          <c:cat>
            <c:strRef>
              <c:f>'Chart 9 DATA'!$A$3:$A$30</c:f>
              <c:strCache>
                <c:ptCount val="28"/>
                <c:pt idx="0">
                  <c:v>Scotland (n=928)</c:v>
                </c:pt>
                <c:pt idx="1">
                  <c:v>ARI (n=152)</c:v>
                </c:pt>
                <c:pt idx="2">
                  <c:v>Hairmyres (n=26)</c:v>
                </c:pt>
                <c:pt idx="3">
                  <c:v>RIE (n=85)</c:v>
                </c:pt>
                <c:pt idx="4">
                  <c:v>Crosshouse (n=31)</c:v>
                </c:pt>
                <c:pt idx="5">
                  <c:v>Wishaw (n=47)</c:v>
                </c:pt>
                <c:pt idx="6">
                  <c:v>SJH (n=26)</c:v>
                </c:pt>
                <c:pt idx="7">
                  <c:v>Ninewells (n=52)</c:v>
                </c:pt>
                <c:pt idx="8">
                  <c:v>Monklands (n=39)</c:v>
                </c:pt>
                <c:pt idx="9">
                  <c:v>Ayr (n=11)</c:v>
                </c:pt>
                <c:pt idx="10">
                  <c:v>PRI (n=22)</c:v>
                </c:pt>
                <c:pt idx="11">
                  <c:v>DGRI (n=26)</c:v>
                </c:pt>
                <c:pt idx="12">
                  <c:v>Western Isles (n=8)</c:v>
                </c:pt>
                <c:pt idx="13">
                  <c:v>VHK (n=57)</c:v>
                </c:pt>
                <c:pt idx="14">
                  <c:v>FVRH (n=39)</c:v>
                </c:pt>
                <c:pt idx="15">
                  <c:v>QEUH 5 (n=225)</c:v>
                </c:pt>
                <c:pt idx="16">
                  <c:v>Caithness (n=11)</c:v>
                </c:pt>
                <c:pt idx="17">
                  <c:v>WGH (n=11)</c:v>
                </c:pt>
                <c:pt idx="18">
                  <c:v>Dr Grays (n=8)</c:v>
                </c:pt>
                <c:pt idx="19">
                  <c:v>Raigmore (n=21)</c:v>
                </c:pt>
                <c:pt idx="20">
                  <c:v>Borders (n=10)</c:v>
                </c:pt>
                <c:pt idx="21">
                  <c:v>GCH 5 (n=8)</c:v>
                </c:pt>
                <c:pt idx="22">
                  <c:v>GRI (n=1)</c:v>
                </c:pt>
                <c:pt idx="23">
                  <c:v>RAH (n=2)</c:v>
                </c:pt>
                <c:pt idx="24">
                  <c:v>Belford 5 (n=3)</c:v>
                </c:pt>
                <c:pt idx="25">
                  <c:v>L&amp;I 5 (n=3)</c:v>
                </c:pt>
                <c:pt idx="26">
                  <c:v>Balfour 5 (n=2)</c:v>
                </c:pt>
                <c:pt idx="27">
                  <c:v>Gilbert Bain 5 (n=2)</c:v>
                </c:pt>
              </c:strCache>
            </c:strRef>
          </c:cat>
          <c:val>
            <c:numRef>
              <c:f>'Chart 9 DATA'!$B$3:$B$30</c:f>
              <c:numCache>
                <c:formatCode>0</c:formatCode>
                <c:ptCount val="28"/>
                <c:pt idx="0">
                  <c:v>42.657342657342653</c:v>
                </c:pt>
                <c:pt idx="1">
                  <c:v>62.878787878787875</c:v>
                </c:pt>
                <c:pt idx="2">
                  <c:v>53.846153846153847</c:v>
                </c:pt>
                <c:pt idx="3">
                  <c:v>60</c:v>
                </c:pt>
                <c:pt idx="4">
                  <c:v>76.666666666666671</c:v>
                </c:pt>
                <c:pt idx="5">
                  <c:v>59.259259259259252</c:v>
                </c:pt>
                <c:pt idx="6">
                  <c:v>35.483870967741936</c:v>
                </c:pt>
                <c:pt idx="7">
                  <c:v>77.083333333333343</c:v>
                </c:pt>
                <c:pt idx="8">
                  <c:v>40</c:v>
                </c:pt>
                <c:pt idx="9">
                  <c:v>47.368421052631575</c:v>
                </c:pt>
                <c:pt idx="10">
                  <c:v>54.54545454545454</c:v>
                </c:pt>
                <c:pt idx="11">
                  <c:v>54.285714285714285</c:v>
                </c:pt>
                <c:pt idx="12">
                  <c:v>33.333333333333329</c:v>
                </c:pt>
                <c:pt idx="13">
                  <c:v>35.714285714285715</c:v>
                </c:pt>
                <c:pt idx="14">
                  <c:v>20.588235294117645</c:v>
                </c:pt>
                <c:pt idx="15">
                  <c:v>16.831683168316832</c:v>
                </c:pt>
                <c:pt idx="16">
                  <c:v>33.333333333333329</c:v>
                </c:pt>
                <c:pt idx="17">
                  <c:v>33.333333333333329</c:v>
                </c:pt>
                <c:pt idx="18">
                  <c:v>25</c:v>
                </c:pt>
                <c:pt idx="19">
                  <c:v>14.814814814814813</c:v>
                </c:pt>
                <c:pt idx="20">
                  <c:v>30</c:v>
                </c:pt>
                <c:pt idx="21">
                  <c:v>18.181818181818183</c:v>
                </c:pt>
                <c:pt idx="22">
                  <c:v>0</c:v>
                </c:pt>
                <c:pt idx="23">
                  <c:v>0</c:v>
                </c:pt>
                <c:pt idx="24">
                  <c:v>0</c:v>
                </c:pt>
                <c:pt idx="25">
                  <c:v>37.5</c:v>
                </c:pt>
                <c:pt idx="26">
                  <c:v>0</c:v>
                </c:pt>
                <c:pt idx="27">
                  <c:v>0</c:v>
                </c:pt>
              </c:numCache>
            </c:numRef>
          </c:val>
        </c:ser>
        <c:ser>
          <c:idx val="1"/>
          <c:order val="1"/>
          <c:tx>
            <c:strRef>
              <c:f>'Chart 9 DATA'!$C$2</c:f>
              <c:strCache>
                <c:ptCount val="1"/>
                <c:pt idx="0">
                  <c:v>2015 (%)</c:v>
                </c:pt>
              </c:strCache>
            </c:strRef>
          </c:tx>
          <c:spPr>
            <a:solidFill>
              <a:srgbClr val="993366"/>
            </a:solidFill>
            <a:ln>
              <a:solidFill>
                <a:schemeClr val="tx1"/>
              </a:solidFill>
            </a:ln>
          </c:spPr>
          <c:dPt>
            <c:idx val="0"/>
            <c:spPr>
              <a:solidFill>
                <a:srgbClr val="008000"/>
              </a:solidFill>
              <a:ln>
                <a:solidFill>
                  <a:schemeClr val="tx1"/>
                </a:solidFill>
              </a:ln>
            </c:spPr>
          </c:dPt>
          <c:val>
            <c:numRef>
              <c:f>'Chart 9 DATA'!$C$3:$C$30</c:f>
              <c:numCache>
                <c:formatCode>0</c:formatCode>
                <c:ptCount val="28"/>
                <c:pt idx="0">
                  <c:v>50.862068965517238</c:v>
                </c:pt>
                <c:pt idx="1">
                  <c:v>75.657894736842096</c:v>
                </c:pt>
                <c:pt idx="2">
                  <c:v>73.076923076923066</c:v>
                </c:pt>
                <c:pt idx="3">
                  <c:v>71.764705882352942</c:v>
                </c:pt>
                <c:pt idx="4">
                  <c:v>70.967741935483872</c:v>
                </c:pt>
                <c:pt idx="5">
                  <c:v>65.957446808510639</c:v>
                </c:pt>
                <c:pt idx="6">
                  <c:v>65.384615384615387</c:v>
                </c:pt>
                <c:pt idx="7">
                  <c:v>63.46153846153846</c:v>
                </c:pt>
                <c:pt idx="8">
                  <c:v>58.974358974358978</c:v>
                </c:pt>
                <c:pt idx="9">
                  <c:v>54.54545454545454</c:v>
                </c:pt>
                <c:pt idx="10">
                  <c:v>54.54545454545454</c:v>
                </c:pt>
                <c:pt idx="11">
                  <c:v>50</c:v>
                </c:pt>
                <c:pt idx="12">
                  <c:v>50</c:v>
                </c:pt>
                <c:pt idx="13">
                  <c:v>49.122807017543856</c:v>
                </c:pt>
                <c:pt idx="14">
                  <c:v>30.76923076923077</c:v>
                </c:pt>
                <c:pt idx="15">
                  <c:v>28.444444444444443</c:v>
                </c:pt>
                <c:pt idx="16">
                  <c:v>27.27272727272727</c:v>
                </c:pt>
                <c:pt idx="17">
                  <c:v>27.27272727272727</c:v>
                </c:pt>
                <c:pt idx="18">
                  <c:v>25</c:v>
                </c:pt>
                <c:pt idx="19">
                  <c:v>19.047619047619047</c:v>
                </c:pt>
                <c:pt idx="20">
                  <c:v>0</c:v>
                </c:pt>
                <c:pt idx="21">
                  <c:v>0</c:v>
                </c:pt>
                <c:pt idx="22">
                  <c:v>0</c:v>
                </c:pt>
                <c:pt idx="23">
                  <c:v>0</c:v>
                </c:pt>
                <c:pt idx="24">
                  <c:v>0</c:v>
                </c:pt>
                <c:pt idx="25">
                  <c:v>0</c:v>
                </c:pt>
                <c:pt idx="26">
                  <c:v>0</c:v>
                </c:pt>
                <c:pt idx="27">
                  <c:v>0</c:v>
                </c:pt>
              </c:numCache>
            </c:numRef>
          </c:val>
        </c:ser>
        <c:axId val="109671552"/>
        <c:axId val="109673088"/>
      </c:barChart>
      <c:scatterChart>
        <c:scatterStyle val="smoothMarker"/>
        <c:ser>
          <c:idx val="2"/>
          <c:order val="2"/>
          <c:tx>
            <c:v>Stroke Standard (2013)</c:v>
          </c:tx>
          <c:spPr>
            <a:ln w="28575">
              <a:solidFill>
                <a:srgbClr val="0070C0"/>
              </a:solidFill>
            </a:ln>
          </c:spPr>
          <c:marker>
            <c:symbol val="none"/>
          </c:marker>
          <c:yVal>
            <c:numRef>
              <c:f>'Chart 9 DATA'!$D$3:$D$30</c:f>
              <c:numCache>
                <c:formatCode>General</c:formatCode>
                <c:ptCount val="28"/>
                <c:pt idx="0" formatCode="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109705472"/>
        <c:axId val="109703936"/>
      </c:scatterChart>
      <c:catAx>
        <c:axId val="109671552"/>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09673088"/>
        <c:crosses val="autoZero"/>
        <c:auto val="1"/>
        <c:lblAlgn val="ctr"/>
        <c:lblOffset val="100"/>
      </c:catAx>
      <c:valAx>
        <c:axId val="10967308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layout/>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9671552"/>
        <c:crosses val="autoZero"/>
        <c:crossBetween val="between"/>
      </c:valAx>
      <c:valAx>
        <c:axId val="109703936"/>
        <c:scaling>
          <c:orientation val="minMax"/>
          <c:max val="100"/>
          <c:min val="0"/>
        </c:scaling>
        <c:delete val="1"/>
        <c:axPos val="r"/>
        <c:numFmt formatCode="0" sourceLinked="1"/>
        <c:tickLblPos val="none"/>
        <c:crossAx val="109705472"/>
        <c:crosses val="max"/>
        <c:crossBetween val="midCat"/>
      </c:valAx>
      <c:valAx>
        <c:axId val="109705472"/>
        <c:scaling>
          <c:orientation val="minMax"/>
          <c:max val="25"/>
          <c:min val="2"/>
        </c:scaling>
        <c:delete val="1"/>
        <c:axPos val="t"/>
        <c:tickLblPos val="none"/>
        <c:crossAx val="109703936"/>
        <c:crosses val="max"/>
        <c:crossBetween val="midCat"/>
      </c:valAx>
      <c:spPr>
        <a:ln>
          <a:solidFill>
            <a:srgbClr val="1F497D"/>
          </a:solidFill>
        </a:ln>
      </c:spPr>
    </c:plotArea>
    <c:legend>
      <c:legendPos val="r"/>
      <c:layout/>
      <c:txPr>
        <a:bodyPr/>
        <a:lstStyle/>
        <a:p>
          <a:pPr>
            <a:defRPr sz="775" b="0" i="0" u="none" strike="noStrike" baseline="0">
              <a:solidFill>
                <a:srgbClr val="000000"/>
              </a:solidFill>
              <a:latin typeface="Calibri"/>
              <a:ea typeface="Calibri"/>
              <a:cs typeface="Calibri"/>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441162318894557E-2"/>
          <c:y val="6.2880386822139533E-2"/>
          <c:w val="0.79236899416144257"/>
          <c:h val="0.75456464186563699"/>
        </c:manualLayout>
      </c:layout>
      <c:barChart>
        <c:barDir val="col"/>
        <c:grouping val="stacked"/>
        <c:ser>
          <c:idx val="0"/>
          <c:order val="0"/>
          <c:tx>
            <c:strRef>
              <c:f>'Chart 10 (2015)'!$D$47</c:f>
              <c:strCache>
                <c:ptCount val="1"/>
                <c:pt idx="0">
                  <c:v>Within 30 mins</c:v>
                </c:pt>
              </c:strCache>
            </c:strRef>
          </c:tx>
          <c:spPr>
            <a:solidFill>
              <a:srgbClr val="003366"/>
            </a:solidFill>
            <a:ln w="12700">
              <a:solidFill>
                <a:srgbClr val="000000"/>
              </a:solidFill>
              <a:prstDash val="solid"/>
            </a:ln>
          </c:spPr>
          <c:dPt>
            <c:idx val="0"/>
            <c:spPr>
              <a:solidFill>
                <a:srgbClr val="008000"/>
              </a:solidFill>
              <a:ln w="12700">
                <a:solidFill>
                  <a:srgbClr val="000000"/>
                </a:solidFill>
                <a:prstDash val="solid"/>
              </a:ln>
            </c:spPr>
          </c:dPt>
          <c:cat>
            <c:strRef>
              <c:f>'Chart 10 (2015)'!$P$48:$P$75</c:f>
              <c:strCache>
                <c:ptCount val="28"/>
                <c:pt idx="0">
                  <c:v>Scotland (n=928)</c:v>
                </c:pt>
                <c:pt idx="1">
                  <c:v>Ayr (n=11)</c:v>
                </c:pt>
                <c:pt idx="2">
                  <c:v>Crosshouse (n=31)</c:v>
                </c:pt>
                <c:pt idx="3">
                  <c:v>Borders (n=10)</c:v>
                </c:pt>
                <c:pt idx="4">
                  <c:v>DGRI (n=26)</c:v>
                </c:pt>
                <c:pt idx="5">
                  <c:v>GCH (n=8)</c:v>
                </c:pt>
                <c:pt idx="6">
                  <c:v>VHK (n=57)</c:v>
                </c:pt>
                <c:pt idx="7">
                  <c:v>FVRH3 (n=39)</c:v>
                </c:pt>
                <c:pt idx="8">
                  <c:v>ARI (n=152)</c:v>
                </c:pt>
                <c:pt idx="9">
                  <c:v>Dr Grays (n=8)</c:v>
                </c:pt>
                <c:pt idx="10">
                  <c:v>GRI3 (n=1)</c:v>
                </c:pt>
                <c:pt idx="11">
                  <c:v>QEUH (n=225)</c:v>
                </c:pt>
                <c:pt idx="12">
                  <c:v>RAH (n=2)</c:v>
                </c:pt>
                <c:pt idx="13">
                  <c:v>Belford (n=3)</c:v>
                </c:pt>
                <c:pt idx="14">
                  <c:v>Caithness (n=11)</c:v>
                </c:pt>
                <c:pt idx="15">
                  <c:v>L&amp;I (n=3)</c:v>
                </c:pt>
                <c:pt idx="16">
                  <c:v>Raigmore (n=21)</c:v>
                </c:pt>
                <c:pt idx="17">
                  <c:v>Hairmyres (n=26)</c:v>
                </c:pt>
                <c:pt idx="18">
                  <c:v>Monklands (n=39)</c:v>
                </c:pt>
                <c:pt idx="19">
                  <c:v>Wishaw (n=47)</c:v>
                </c:pt>
                <c:pt idx="20">
                  <c:v>RIE (n=85)</c:v>
                </c:pt>
                <c:pt idx="21">
                  <c:v>SJH (n=26)</c:v>
                </c:pt>
                <c:pt idx="22">
                  <c:v>WGH (n=11)</c:v>
                </c:pt>
                <c:pt idx="23">
                  <c:v>Balfour (n=2)</c:v>
                </c:pt>
                <c:pt idx="24">
                  <c:v>Gilbert Bain (n=2)</c:v>
                </c:pt>
                <c:pt idx="25">
                  <c:v>Ninewells (n=52)</c:v>
                </c:pt>
                <c:pt idx="26">
                  <c:v>PRI (n=22)</c:v>
                </c:pt>
                <c:pt idx="27">
                  <c:v>Western Isles (n=8)</c:v>
                </c:pt>
              </c:strCache>
            </c:strRef>
          </c:cat>
          <c:val>
            <c:numRef>
              <c:f>'Chart 10 (2015)'!$D$48:$D$75</c:f>
              <c:numCache>
                <c:formatCode>0</c:formatCode>
                <c:ptCount val="28"/>
                <c:pt idx="0">
                  <c:v>9.375</c:v>
                </c:pt>
                <c:pt idx="1">
                  <c:v>0</c:v>
                </c:pt>
                <c:pt idx="2">
                  <c:v>3.225806451612903</c:v>
                </c:pt>
                <c:pt idx="3">
                  <c:v>0</c:v>
                </c:pt>
                <c:pt idx="4">
                  <c:v>19.230769230769234</c:v>
                </c:pt>
                <c:pt idx="5">
                  <c:v>0</c:v>
                </c:pt>
                <c:pt idx="6">
                  <c:v>5.2631578947368416</c:v>
                </c:pt>
                <c:pt idx="7">
                  <c:v>0</c:v>
                </c:pt>
                <c:pt idx="8">
                  <c:v>21.710526315789476</c:v>
                </c:pt>
                <c:pt idx="9">
                  <c:v>0</c:v>
                </c:pt>
                <c:pt idx="10">
                  <c:v>0</c:v>
                </c:pt>
                <c:pt idx="11">
                  <c:v>5.7777777777777777</c:v>
                </c:pt>
                <c:pt idx="12">
                  <c:v>0</c:v>
                </c:pt>
                <c:pt idx="13">
                  <c:v>0</c:v>
                </c:pt>
                <c:pt idx="14">
                  <c:v>0</c:v>
                </c:pt>
                <c:pt idx="15">
                  <c:v>0</c:v>
                </c:pt>
                <c:pt idx="16">
                  <c:v>0</c:v>
                </c:pt>
                <c:pt idx="17">
                  <c:v>3.8461538461538463</c:v>
                </c:pt>
                <c:pt idx="18">
                  <c:v>10.256410256410255</c:v>
                </c:pt>
                <c:pt idx="19">
                  <c:v>12.76595744680851</c:v>
                </c:pt>
                <c:pt idx="20">
                  <c:v>12.941176470588237</c:v>
                </c:pt>
                <c:pt idx="21">
                  <c:v>3.8461538461538463</c:v>
                </c:pt>
                <c:pt idx="22">
                  <c:v>18.181818181818183</c:v>
                </c:pt>
                <c:pt idx="23">
                  <c:v>0</c:v>
                </c:pt>
                <c:pt idx="24">
                  <c:v>0</c:v>
                </c:pt>
                <c:pt idx="25">
                  <c:v>7.6923076923076925</c:v>
                </c:pt>
                <c:pt idx="26">
                  <c:v>13.636363636363635</c:v>
                </c:pt>
                <c:pt idx="27">
                  <c:v>0</c:v>
                </c:pt>
              </c:numCache>
            </c:numRef>
          </c:val>
        </c:ser>
        <c:ser>
          <c:idx val="1"/>
          <c:order val="1"/>
          <c:tx>
            <c:strRef>
              <c:f>'Chart 10 (2015)'!$G$47</c:f>
              <c:strCache>
                <c:ptCount val="1"/>
                <c:pt idx="0">
                  <c:v>&gt;30&lt;=60 mins</c:v>
                </c:pt>
              </c:strCache>
            </c:strRef>
          </c:tx>
          <c:spPr>
            <a:solidFill>
              <a:srgbClr val="9999FF"/>
            </a:solidFill>
            <a:ln w="12700">
              <a:solidFill>
                <a:srgbClr val="000000"/>
              </a:solidFill>
              <a:prstDash val="solid"/>
            </a:ln>
          </c:spPr>
          <c:dPt>
            <c:idx val="0"/>
            <c:spPr>
              <a:solidFill>
                <a:srgbClr val="FF0000"/>
              </a:solidFill>
              <a:ln w="12700">
                <a:solidFill>
                  <a:srgbClr val="000000"/>
                </a:solidFill>
                <a:prstDash val="solid"/>
              </a:ln>
            </c:spPr>
          </c:dPt>
          <c:dPt>
            <c:idx val="29"/>
            <c:spPr>
              <a:solidFill>
                <a:srgbClr val="FF0000"/>
              </a:solidFill>
              <a:ln w="12700">
                <a:solidFill>
                  <a:srgbClr val="000000"/>
                </a:solidFill>
                <a:prstDash val="solid"/>
              </a:ln>
            </c:spPr>
          </c:dPt>
          <c:cat>
            <c:strRef>
              <c:f>'Chart 10 (2015)'!$P$48:$P$75</c:f>
              <c:strCache>
                <c:ptCount val="28"/>
                <c:pt idx="0">
                  <c:v>Scotland (n=928)</c:v>
                </c:pt>
                <c:pt idx="1">
                  <c:v>Ayr (n=11)</c:v>
                </c:pt>
                <c:pt idx="2">
                  <c:v>Crosshouse (n=31)</c:v>
                </c:pt>
                <c:pt idx="3">
                  <c:v>Borders (n=10)</c:v>
                </c:pt>
                <c:pt idx="4">
                  <c:v>DGRI (n=26)</c:v>
                </c:pt>
                <c:pt idx="5">
                  <c:v>GCH (n=8)</c:v>
                </c:pt>
                <c:pt idx="6">
                  <c:v>VHK (n=57)</c:v>
                </c:pt>
                <c:pt idx="7">
                  <c:v>FVRH3 (n=39)</c:v>
                </c:pt>
                <c:pt idx="8">
                  <c:v>ARI (n=152)</c:v>
                </c:pt>
                <c:pt idx="9">
                  <c:v>Dr Grays (n=8)</c:v>
                </c:pt>
                <c:pt idx="10">
                  <c:v>GRI3 (n=1)</c:v>
                </c:pt>
                <c:pt idx="11">
                  <c:v>QEUH (n=225)</c:v>
                </c:pt>
                <c:pt idx="12">
                  <c:v>RAH (n=2)</c:v>
                </c:pt>
                <c:pt idx="13">
                  <c:v>Belford (n=3)</c:v>
                </c:pt>
                <c:pt idx="14">
                  <c:v>Caithness (n=11)</c:v>
                </c:pt>
                <c:pt idx="15">
                  <c:v>L&amp;I (n=3)</c:v>
                </c:pt>
                <c:pt idx="16">
                  <c:v>Raigmore (n=21)</c:v>
                </c:pt>
                <c:pt idx="17">
                  <c:v>Hairmyres (n=26)</c:v>
                </c:pt>
                <c:pt idx="18">
                  <c:v>Monklands (n=39)</c:v>
                </c:pt>
                <c:pt idx="19">
                  <c:v>Wishaw (n=47)</c:v>
                </c:pt>
                <c:pt idx="20">
                  <c:v>RIE (n=85)</c:v>
                </c:pt>
                <c:pt idx="21">
                  <c:v>SJH (n=26)</c:v>
                </c:pt>
                <c:pt idx="22">
                  <c:v>WGH (n=11)</c:v>
                </c:pt>
                <c:pt idx="23">
                  <c:v>Balfour (n=2)</c:v>
                </c:pt>
                <c:pt idx="24">
                  <c:v>Gilbert Bain (n=2)</c:v>
                </c:pt>
                <c:pt idx="25">
                  <c:v>Ninewells (n=52)</c:v>
                </c:pt>
                <c:pt idx="26">
                  <c:v>PRI (n=22)</c:v>
                </c:pt>
                <c:pt idx="27">
                  <c:v>Western Isles (n=8)</c:v>
                </c:pt>
              </c:strCache>
            </c:strRef>
          </c:cat>
          <c:val>
            <c:numRef>
              <c:f>'Chart 10 (2015)'!$G$48:$G$75</c:f>
              <c:numCache>
                <c:formatCode>0</c:formatCode>
                <c:ptCount val="28"/>
                <c:pt idx="0">
                  <c:v>41.487068965517238</c:v>
                </c:pt>
                <c:pt idx="1">
                  <c:v>54.54545454545454</c:v>
                </c:pt>
                <c:pt idx="2">
                  <c:v>67.741935483870975</c:v>
                </c:pt>
                <c:pt idx="3">
                  <c:v>0</c:v>
                </c:pt>
                <c:pt idx="4">
                  <c:v>30.769230769230766</c:v>
                </c:pt>
                <c:pt idx="5">
                  <c:v>0</c:v>
                </c:pt>
                <c:pt idx="6">
                  <c:v>43.859649122807014</c:v>
                </c:pt>
                <c:pt idx="7">
                  <c:v>30.76923076923077</c:v>
                </c:pt>
                <c:pt idx="8">
                  <c:v>53.947368421052616</c:v>
                </c:pt>
                <c:pt idx="9">
                  <c:v>25</c:v>
                </c:pt>
                <c:pt idx="10">
                  <c:v>0</c:v>
                </c:pt>
                <c:pt idx="11">
                  <c:v>22.666666666666664</c:v>
                </c:pt>
                <c:pt idx="12">
                  <c:v>0</c:v>
                </c:pt>
                <c:pt idx="13">
                  <c:v>0</c:v>
                </c:pt>
                <c:pt idx="14">
                  <c:v>27.27272727272727</c:v>
                </c:pt>
                <c:pt idx="15">
                  <c:v>0</c:v>
                </c:pt>
                <c:pt idx="16">
                  <c:v>19.047619047619047</c:v>
                </c:pt>
                <c:pt idx="17">
                  <c:v>69.230769230769226</c:v>
                </c:pt>
                <c:pt idx="18">
                  <c:v>48.717948717948723</c:v>
                </c:pt>
                <c:pt idx="19">
                  <c:v>53.191489361702125</c:v>
                </c:pt>
                <c:pt idx="20">
                  <c:v>58.823529411764703</c:v>
                </c:pt>
                <c:pt idx="21">
                  <c:v>61.53846153846154</c:v>
                </c:pt>
                <c:pt idx="22">
                  <c:v>9.0909090909090864</c:v>
                </c:pt>
                <c:pt idx="23">
                  <c:v>0</c:v>
                </c:pt>
                <c:pt idx="24">
                  <c:v>0</c:v>
                </c:pt>
                <c:pt idx="25">
                  <c:v>55.769230769230766</c:v>
                </c:pt>
                <c:pt idx="26">
                  <c:v>40.909090909090907</c:v>
                </c:pt>
                <c:pt idx="27">
                  <c:v>50</c:v>
                </c:pt>
              </c:numCache>
            </c:numRef>
          </c:val>
        </c:ser>
        <c:ser>
          <c:idx val="2"/>
          <c:order val="2"/>
          <c:tx>
            <c:strRef>
              <c:f>'Chart 10 (2015)'!$H$47</c:f>
              <c:strCache>
                <c:ptCount val="1"/>
                <c:pt idx="0">
                  <c:v>&gt;60&lt;=75 mins</c:v>
                </c:pt>
              </c:strCache>
            </c:strRef>
          </c:tx>
          <c:spPr>
            <a:solidFill>
              <a:srgbClr val="FFFF99"/>
            </a:solidFill>
            <a:ln w="12700">
              <a:solidFill>
                <a:srgbClr val="000000"/>
              </a:solidFill>
              <a:prstDash val="solid"/>
            </a:ln>
          </c:spPr>
          <c:dPt>
            <c:idx val="0"/>
            <c:spPr>
              <a:solidFill>
                <a:srgbClr val="99CC00"/>
              </a:solidFill>
              <a:ln w="12700">
                <a:solidFill>
                  <a:srgbClr val="000000"/>
                </a:solidFill>
                <a:prstDash val="solid"/>
              </a:ln>
            </c:spPr>
          </c:dPt>
          <c:cat>
            <c:strRef>
              <c:f>'Chart 10 (2015)'!$P$48:$P$75</c:f>
              <c:strCache>
                <c:ptCount val="28"/>
                <c:pt idx="0">
                  <c:v>Scotland (n=928)</c:v>
                </c:pt>
                <c:pt idx="1">
                  <c:v>Ayr (n=11)</c:v>
                </c:pt>
                <c:pt idx="2">
                  <c:v>Crosshouse (n=31)</c:v>
                </c:pt>
                <c:pt idx="3">
                  <c:v>Borders (n=10)</c:v>
                </c:pt>
                <c:pt idx="4">
                  <c:v>DGRI (n=26)</c:v>
                </c:pt>
                <c:pt idx="5">
                  <c:v>GCH (n=8)</c:v>
                </c:pt>
                <c:pt idx="6">
                  <c:v>VHK (n=57)</c:v>
                </c:pt>
                <c:pt idx="7">
                  <c:v>FVRH3 (n=39)</c:v>
                </c:pt>
                <c:pt idx="8">
                  <c:v>ARI (n=152)</c:v>
                </c:pt>
                <c:pt idx="9">
                  <c:v>Dr Grays (n=8)</c:v>
                </c:pt>
                <c:pt idx="10">
                  <c:v>GRI3 (n=1)</c:v>
                </c:pt>
                <c:pt idx="11">
                  <c:v>QEUH (n=225)</c:v>
                </c:pt>
                <c:pt idx="12">
                  <c:v>RAH (n=2)</c:v>
                </c:pt>
                <c:pt idx="13">
                  <c:v>Belford (n=3)</c:v>
                </c:pt>
                <c:pt idx="14">
                  <c:v>Caithness (n=11)</c:v>
                </c:pt>
                <c:pt idx="15">
                  <c:v>L&amp;I (n=3)</c:v>
                </c:pt>
                <c:pt idx="16">
                  <c:v>Raigmore (n=21)</c:v>
                </c:pt>
                <c:pt idx="17">
                  <c:v>Hairmyres (n=26)</c:v>
                </c:pt>
                <c:pt idx="18">
                  <c:v>Monklands (n=39)</c:v>
                </c:pt>
                <c:pt idx="19">
                  <c:v>Wishaw (n=47)</c:v>
                </c:pt>
                <c:pt idx="20">
                  <c:v>RIE (n=85)</c:v>
                </c:pt>
                <c:pt idx="21">
                  <c:v>SJH (n=26)</c:v>
                </c:pt>
                <c:pt idx="22">
                  <c:v>WGH (n=11)</c:v>
                </c:pt>
                <c:pt idx="23">
                  <c:v>Balfour (n=2)</c:v>
                </c:pt>
                <c:pt idx="24">
                  <c:v>Gilbert Bain (n=2)</c:v>
                </c:pt>
                <c:pt idx="25">
                  <c:v>Ninewells (n=52)</c:v>
                </c:pt>
                <c:pt idx="26">
                  <c:v>PRI (n=22)</c:v>
                </c:pt>
                <c:pt idx="27">
                  <c:v>Western Isles (n=8)</c:v>
                </c:pt>
              </c:strCache>
            </c:strRef>
          </c:cat>
          <c:val>
            <c:numRef>
              <c:f>'Chart 10 (2015)'!$H$48:$H$75</c:f>
              <c:numCache>
                <c:formatCode>0</c:formatCode>
                <c:ptCount val="28"/>
                <c:pt idx="0">
                  <c:v>13.900862068965523</c:v>
                </c:pt>
                <c:pt idx="1">
                  <c:v>18.181818181818194</c:v>
                </c:pt>
                <c:pt idx="2">
                  <c:v>12.903225806451616</c:v>
                </c:pt>
                <c:pt idx="3">
                  <c:v>40</c:v>
                </c:pt>
                <c:pt idx="4">
                  <c:v>15.384615384615387</c:v>
                </c:pt>
                <c:pt idx="5">
                  <c:v>50</c:v>
                </c:pt>
                <c:pt idx="6">
                  <c:v>15.789473684210527</c:v>
                </c:pt>
                <c:pt idx="7">
                  <c:v>23.076923076923077</c:v>
                </c:pt>
                <c:pt idx="8">
                  <c:v>8.5526315789473699</c:v>
                </c:pt>
                <c:pt idx="9">
                  <c:v>0</c:v>
                </c:pt>
                <c:pt idx="10">
                  <c:v>0</c:v>
                </c:pt>
                <c:pt idx="11">
                  <c:v>17.777777777777779</c:v>
                </c:pt>
                <c:pt idx="12">
                  <c:v>0</c:v>
                </c:pt>
                <c:pt idx="13">
                  <c:v>0</c:v>
                </c:pt>
                <c:pt idx="14">
                  <c:v>27.27272727272727</c:v>
                </c:pt>
                <c:pt idx="15">
                  <c:v>0</c:v>
                </c:pt>
                <c:pt idx="16">
                  <c:v>28.571428571428566</c:v>
                </c:pt>
                <c:pt idx="17">
                  <c:v>15.384615384615387</c:v>
                </c:pt>
                <c:pt idx="18">
                  <c:v>15.384615384615387</c:v>
                </c:pt>
                <c:pt idx="19">
                  <c:v>10.638297872340431</c:v>
                </c:pt>
                <c:pt idx="20">
                  <c:v>7.058823529411768</c:v>
                </c:pt>
                <c:pt idx="21">
                  <c:v>11.538461538461547</c:v>
                </c:pt>
                <c:pt idx="22">
                  <c:v>0</c:v>
                </c:pt>
                <c:pt idx="23">
                  <c:v>0</c:v>
                </c:pt>
                <c:pt idx="24">
                  <c:v>0</c:v>
                </c:pt>
                <c:pt idx="25">
                  <c:v>9.6153846153846061</c:v>
                </c:pt>
                <c:pt idx="26">
                  <c:v>4.5454545454545539</c:v>
                </c:pt>
                <c:pt idx="27">
                  <c:v>12.5</c:v>
                </c:pt>
              </c:numCache>
            </c:numRef>
          </c:val>
        </c:ser>
        <c:overlap val="100"/>
        <c:axId val="154543232"/>
        <c:axId val="154544768"/>
      </c:barChart>
      <c:scatterChart>
        <c:scatterStyle val="smoothMarker"/>
        <c:ser>
          <c:idx val="3"/>
          <c:order val="3"/>
          <c:tx>
            <c:v>Stroke Standard (2013)</c:v>
          </c:tx>
          <c:spPr>
            <a:ln w="28575">
              <a:solidFill>
                <a:srgbClr val="0070C0"/>
              </a:solidFill>
            </a:ln>
          </c:spPr>
          <c:marker>
            <c:symbol val="none"/>
          </c:marker>
          <c:yVal>
            <c:numRef>
              <c:f>'Chart 10 (2015)'!$I$48:$I$75</c:f>
              <c:numCache>
                <c:formatCode>General</c:formatCode>
                <c:ptCount val="2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154556672"/>
        <c:axId val="154555136"/>
      </c:scatterChart>
      <c:catAx>
        <c:axId val="154543232"/>
        <c:scaling>
          <c:orientation val="minMax"/>
        </c:scaling>
        <c:axPos val="b"/>
        <c:numFmt formatCode="General" sourceLinked="1"/>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154544768"/>
        <c:crosses val="autoZero"/>
        <c:auto val="1"/>
        <c:lblAlgn val="ctr"/>
        <c:lblOffset val="100"/>
        <c:tickLblSkip val="1"/>
        <c:tickMarkSkip val="1"/>
      </c:catAx>
      <c:valAx>
        <c:axId val="154544768"/>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45679012345723E-2"/>
              <c:y val="0.38133916830376746"/>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4543232"/>
        <c:crosses val="autoZero"/>
        <c:crossBetween val="between"/>
      </c:valAx>
      <c:valAx>
        <c:axId val="154555136"/>
        <c:scaling>
          <c:orientation val="minMax"/>
          <c:max val="100"/>
          <c:min val="0"/>
        </c:scaling>
        <c:delete val="1"/>
        <c:axPos val="l"/>
        <c:numFmt formatCode="General" sourceLinked="1"/>
        <c:tickLblPos val="none"/>
        <c:crossAx val="154556672"/>
        <c:crossesAt val="27"/>
        <c:crossBetween val="midCat"/>
      </c:valAx>
      <c:valAx>
        <c:axId val="154556672"/>
        <c:scaling>
          <c:orientation val="minMax"/>
          <c:max val="26"/>
          <c:min val="1"/>
        </c:scaling>
        <c:delete val="1"/>
        <c:axPos val="t"/>
        <c:tickLblPos val="none"/>
        <c:crossAx val="154555136"/>
        <c:crosses val="max"/>
        <c:crossBetween val="midCat"/>
        <c:majorUnit val="1"/>
      </c:valAx>
      <c:spPr>
        <a:solidFill>
          <a:srgbClr val="FFFFFF"/>
        </a:solidFill>
        <a:ln w="12700">
          <a:solidFill>
            <a:srgbClr val="808080"/>
          </a:solidFill>
          <a:prstDash val="solid"/>
        </a:ln>
      </c:spPr>
    </c:plotArea>
    <c:legend>
      <c:legendPos val="r"/>
      <c:layout>
        <c:manualLayout>
          <c:xMode val="edge"/>
          <c:yMode val="edge"/>
          <c:x val="0.89038533482977933"/>
          <c:y val="0.3103448275862119"/>
          <c:w val="0.10512532734755098"/>
          <c:h val="0.35666916888938582"/>
        </c:manualLayout>
      </c:layout>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366" r="0.75000000000001366"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441162318894557E-2"/>
          <c:y val="6.2880386822139533E-2"/>
          <c:w val="0.79236899416144257"/>
          <c:h val="0.75456464186563676"/>
        </c:manualLayout>
      </c:layout>
      <c:barChart>
        <c:barDir val="col"/>
        <c:grouping val="stacked"/>
        <c:ser>
          <c:idx val="0"/>
          <c:order val="0"/>
          <c:tx>
            <c:strRef>
              <c:f>'Chart 10 (2014)'!$D$45</c:f>
              <c:strCache>
                <c:ptCount val="1"/>
                <c:pt idx="0">
                  <c:v>Within 30 mins</c:v>
                </c:pt>
              </c:strCache>
            </c:strRef>
          </c:tx>
          <c:spPr>
            <a:solidFill>
              <a:srgbClr val="003366"/>
            </a:solidFill>
            <a:ln w="12700">
              <a:solidFill>
                <a:srgbClr val="000000"/>
              </a:solidFill>
              <a:prstDash val="solid"/>
            </a:ln>
          </c:spPr>
          <c:dPt>
            <c:idx val="0"/>
            <c:spPr>
              <a:solidFill>
                <a:srgbClr val="008000"/>
              </a:solidFill>
              <a:ln w="12700">
                <a:solidFill>
                  <a:srgbClr val="000000"/>
                </a:solidFill>
                <a:prstDash val="solid"/>
              </a:ln>
            </c:spPr>
          </c:dPt>
          <c:cat>
            <c:strRef>
              <c:f>'Chart 10 (2014)'!$P$46:$P$73</c:f>
              <c:strCache>
                <c:ptCount val="28"/>
                <c:pt idx="0">
                  <c:v>Scotland (n=858)</c:v>
                </c:pt>
                <c:pt idx="1">
                  <c:v>Ayr (n=19)</c:v>
                </c:pt>
                <c:pt idx="2">
                  <c:v>Crosshouse (n=30)</c:v>
                </c:pt>
                <c:pt idx="3">
                  <c:v>Borders (n=10)</c:v>
                </c:pt>
                <c:pt idx="4">
                  <c:v>DGRI (n=35)</c:v>
                </c:pt>
                <c:pt idx="5">
                  <c:v>GCH (n=11)</c:v>
                </c:pt>
                <c:pt idx="6">
                  <c:v>VHK (n=42)</c:v>
                </c:pt>
                <c:pt idx="7">
                  <c:v>FVRH3 (n=34)</c:v>
                </c:pt>
                <c:pt idx="8">
                  <c:v>ARI (n=132)</c:v>
                </c:pt>
                <c:pt idx="9">
                  <c:v>Dr Grays (n=12)</c:v>
                </c:pt>
                <c:pt idx="10">
                  <c:v>GRI3 (n=1)</c:v>
                </c:pt>
                <c:pt idx="11">
                  <c:v>QEUH (n=202)</c:v>
                </c:pt>
                <c:pt idx="12">
                  <c:v>RAH (n=0)</c:v>
                </c:pt>
                <c:pt idx="13">
                  <c:v>Belford (n=3)</c:v>
                </c:pt>
                <c:pt idx="14">
                  <c:v>Caithness (n=3)</c:v>
                </c:pt>
                <c:pt idx="15">
                  <c:v>L&amp;I (n=8)</c:v>
                </c:pt>
                <c:pt idx="16">
                  <c:v>Raigmore (n=27)</c:v>
                </c:pt>
                <c:pt idx="17">
                  <c:v>Hairmyres (n=13)</c:v>
                </c:pt>
                <c:pt idx="18">
                  <c:v>Monklands (n=25)</c:v>
                </c:pt>
                <c:pt idx="19">
                  <c:v>Wishaw (n=27)</c:v>
                </c:pt>
                <c:pt idx="20">
                  <c:v>RIE (n=100)</c:v>
                </c:pt>
                <c:pt idx="21">
                  <c:v>SJH (n=31)</c:v>
                </c:pt>
                <c:pt idx="22">
                  <c:v>WGH (n=15)</c:v>
                </c:pt>
                <c:pt idx="23">
                  <c:v>Balfour (n=1)</c:v>
                </c:pt>
                <c:pt idx="24">
                  <c:v>Gilbert Bain (n=1)</c:v>
                </c:pt>
                <c:pt idx="25">
                  <c:v>Ninewells (n=48)</c:v>
                </c:pt>
                <c:pt idx="26">
                  <c:v>PRI (n=22)</c:v>
                </c:pt>
                <c:pt idx="27">
                  <c:v>Western Isles (n=6)</c:v>
                </c:pt>
              </c:strCache>
            </c:strRef>
          </c:cat>
          <c:val>
            <c:numRef>
              <c:f>'Chart 10 (2014)'!$D$46:$D$73</c:f>
              <c:numCache>
                <c:formatCode>0</c:formatCode>
                <c:ptCount val="28"/>
                <c:pt idx="0">
                  <c:v>6.1771561771561769</c:v>
                </c:pt>
                <c:pt idx="1">
                  <c:v>0</c:v>
                </c:pt>
                <c:pt idx="2">
                  <c:v>10</c:v>
                </c:pt>
                <c:pt idx="3">
                  <c:v>0</c:v>
                </c:pt>
                <c:pt idx="4">
                  <c:v>0</c:v>
                </c:pt>
                <c:pt idx="5">
                  <c:v>0</c:v>
                </c:pt>
                <c:pt idx="6">
                  <c:v>4.7619047619047619</c:v>
                </c:pt>
                <c:pt idx="7">
                  <c:v>0</c:v>
                </c:pt>
                <c:pt idx="8">
                  <c:v>21.212121212121211</c:v>
                </c:pt>
                <c:pt idx="9">
                  <c:v>0</c:v>
                </c:pt>
                <c:pt idx="10">
                  <c:v>0</c:v>
                </c:pt>
                <c:pt idx="11">
                  <c:v>0.99009900990099009</c:v>
                </c:pt>
                <c:pt idx="12">
                  <c:v>0</c:v>
                </c:pt>
                <c:pt idx="13">
                  <c:v>0</c:v>
                </c:pt>
                <c:pt idx="14">
                  <c:v>0</c:v>
                </c:pt>
                <c:pt idx="15">
                  <c:v>0</c:v>
                </c:pt>
                <c:pt idx="16">
                  <c:v>0</c:v>
                </c:pt>
                <c:pt idx="17">
                  <c:v>0</c:v>
                </c:pt>
                <c:pt idx="18">
                  <c:v>4</c:v>
                </c:pt>
                <c:pt idx="19">
                  <c:v>7.4074074074074066</c:v>
                </c:pt>
                <c:pt idx="20">
                  <c:v>9</c:v>
                </c:pt>
                <c:pt idx="21">
                  <c:v>0</c:v>
                </c:pt>
                <c:pt idx="22">
                  <c:v>0</c:v>
                </c:pt>
                <c:pt idx="23">
                  <c:v>0</c:v>
                </c:pt>
                <c:pt idx="24">
                  <c:v>0</c:v>
                </c:pt>
                <c:pt idx="25">
                  <c:v>2.083333333333333</c:v>
                </c:pt>
                <c:pt idx="26">
                  <c:v>18.181818181818183</c:v>
                </c:pt>
                <c:pt idx="27">
                  <c:v>16.666666666666664</c:v>
                </c:pt>
              </c:numCache>
            </c:numRef>
          </c:val>
        </c:ser>
        <c:ser>
          <c:idx val="1"/>
          <c:order val="1"/>
          <c:tx>
            <c:strRef>
              <c:f>'Chart 10 (2014)'!$G$45</c:f>
              <c:strCache>
                <c:ptCount val="1"/>
                <c:pt idx="0">
                  <c:v>&gt;30&lt;=60 mins</c:v>
                </c:pt>
              </c:strCache>
            </c:strRef>
          </c:tx>
          <c:spPr>
            <a:solidFill>
              <a:srgbClr val="9999FF"/>
            </a:solidFill>
            <a:ln w="12700">
              <a:solidFill>
                <a:srgbClr val="000000"/>
              </a:solidFill>
              <a:prstDash val="solid"/>
            </a:ln>
          </c:spPr>
          <c:dPt>
            <c:idx val="0"/>
            <c:spPr>
              <a:solidFill>
                <a:srgbClr val="FF0000"/>
              </a:solidFill>
              <a:ln w="12700">
                <a:solidFill>
                  <a:srgbClr val="000000"/>
                </a:solidFill>
                <a:prstDash val="solid"/>
              </a:ln>
            </c:spPr>
          </c:dPt>
          <c:dPt>
            <c:idx val="29"/>
            <c:spPr>
              <a:solidFill>
                <a:srgbClr val="FF0000"/>
              </a:solidFill>
              <a:ln w="12700">
                <a:solidFill>
                  <a:srgbClr val="000000"/>
                </a:solidFill>
                <a:prstDash val="solid"/>
              </a:ln>
            </c:spPr>
          </c:dPt>
          <c:cat>
            <c:strRef>
              <c:f>'Chart 10 (2014)'!$P$46:$P$73</c:f>
              <c:strCache>
                <c:ptCount val="28"/>
                <c:pt idx="0">
                  <c:v>Scotland (n=858)</c:v>
                </c:pt>
                <c:pt idx="1">
                  <c:v>Ayr (n=19)</c:v>
                </c:pt>
                <c:pt idx="2">
                  <c:v>Crosshouse (n=30)</c:v>
                </c:pt>
                <c:pt idx="3">
                  <c:v>Borders (n=10)</c:v>
                </c:pt>
                <c:pt idx="4">
                  <c:v>DGRI (n=35)</c:v>
                </c:pt>
                <c:pt idx="5">
                  <c:v>GCH (n=11)</c:v>
                </c:pt>
                <c:pt idx="6">
                  <c:v>VHK (n=42)</c:v>
                </c:pt>
                <c:pt idx="7">
                  <c:v>FVRH3 (n=34)</c:v>
                </c:pt>
                <c:pt idx="8">
                  <c:v>ARI (n=132)</c:v>
                </c:pt>
                <c:pt idx="9">
                  <c:v>Dr Grays (n=12)</c:v>
                </c:pt>
                <c:pt idx="10">
                  <c:v>GRI3 (n=1)</c:v>
                </c:pt>
                <c:pt idx="11">
                  <c:v>QEUH (n=202)</c:v>
                </c:pt>
                <c:pt idx="12">
                  <c:v>RAH (n=0)</c:v>
                </c:pt>
                <c:pt idx="13">
                  <c:v>Belford (n=3)</c:v>
                </c:pt>
                <c:pt idx="14">
                  <c:v>Caithness (n=3)</c:v>
                </c:pt>
                <c:pt idx="15">
                  <c:v>L&amp;I (n=8)</c:v>
                </c:pt>
                <c:pt idx="16">
                  <c:v>Raigmore (n=27)</c:v>
                </c:pt>
                <c:pt idx="17">
                  <c:v>Hairmyres (n=13)</c:v>
                </c:pt>
                <c:pt idx="18">
                  <c:v>Monklands (n=25)</c:v>
                </c:pt>
                <c:pt idx="19">
                  <c:v>Wishaw (n=27)</c:v>
                </c:pt>
                <c:pt idx="20">
                  <c:v>RIE (n=100)</c:v>
                </c:pt>
                <c:pt idx="21">
                  <c:v>SJH (n=31)</c:v>
                </c:pt>
                <c:pt idx="22">
                  <c:v>WGH (n=15)</c:v>
                </c:pt>
                <c:pt idx="23">
                  <c:v>Balfour (n=1)</c:v>
                </c:pt>
                <c:pt idx="24">
                  <c:v>Gilbert Bain (n=1)</c:v>
                </c:pt>
                <c:pt idx="25">
                  <c:v>Ninewells (n=48)</c:v>
                </c:pt>
                <c:pt idx="26">
                  <c:v>PRI (n=22)</c:v>
                </c:pt>
                <c:pt idx="27">
                  <c:v>Western Isles (n=6)</c:v>
                </c:pt>
              </c:strCache>
            </c:strRef>
          </c:cat>
          <c:val>
            <c:numRef>
              <c:f>'Chart 10 (2014)'!$G$46:$G$73</c:f>
              <c:numCache>
                <c:formatCode>0</c:formatCode>
                <c:ptCount val="28"/>
                <c:pt idx="0">
                  <c:v>36.480186480186475</c:v>
                </c:pt>
                <c:pt idx="1">
                  <c:v>47.368421052631575</c:v>
                </c:pt>
                <c:pt idx="2">
                  <c:v>66.666666666666671</c:v>
                </c:pt>
                <c:pt idx="3">
                  <c:v>30</c:v>
                </c:pt>
                <c:pt idx="4">
                  <c:v>54.285714285714285</c:v>
                </c:pt>
                <c:pt idx="5">
                  <c:v>18.181818181818183</c:v>
                </c:pt>
                <c:pt idx="6">
                  <c:v>30.952380952380953</c:v>
                </c:pt>
                <c:pt idx="7">
                  <c:v>20.588235294117645</c:v>
                </c:pt>
                <c:pt idx="8">
                  <c:v>41.666666666666664</c:v>
                </c:pt>
                <c:pt idx="9">
                  <c:v>25</c:v>
                </c:pt>
                <c:pt idx="10">
                  <c:v>0</c:v>
                </c:pt>
                <c:pt idx="11">
                  <c:v>15.841584158415841</c:v>
                </c:pt>
                <c:pt idx="12">
                  <c:v>0</c:v>
                </c:pt>
                <c:pt idx="13">
                  <c:v>0</c:v>
                </c:pt>
                <c:pt idx="14">
                  <c:v>33.333333333333329</c:v>
                </c:pt>
                <c:pt idx="15">
                  <c:v>37.5</c:v>
                </c:pt>
                <c:pt idx="16">
                  <c:v>14.814814814814813</c:v>
                </c:pt>
                <c:pt idx="17">
                  <c:v>53.846153846153847</c:v>
                </c:pt>
                <c:pt idx="18">
                  <c:v>36</c:v>
                </c:pt>
                <c:pt idx="19">
                  <c:v>51.851851851851848</c:v>
                </c:pt>
                <c:pt idx="20">
                  <c:v>51</c:v>
                </c:pt>
                <c:pt idx="21">
                  <c:v>35.483870967741936</c:v>
                </c:pt>
                <c:pt idx="22">
                  <c:v>33.333333333333329</c:v>
                </c:pt>
                <c:pt idx="23">
                  <c:v>0</c:v>
                </c:pt>
                <c:pt idx="24">
                  <c:v>0</c:v>
                </c:pt>
                <c:pt idx="25">
                  <c:v>75.000000000000014</c:v>
                </c:pt>
                <c:pt idx="26">
                  <c:v>36.36363636363636</c:v>
                </c:pt>
                <c:pt idx="27">
                  <c:v>16.666666666666664</c:v>
                </c:pt>
              </c:numCache>
            </c:numRef>
          </c:val>
        </c:ser>
        <c:ser>
          <c:idx val="2"/>
          <c:order val="2"/>
          <c:tx>
            <c:strRef>
              <c:f>'Chart 10 (2014)'!$H$45</c:f>
              <c:strCache>
                <c:ptCount val="1"/>
                <c:pt idx="0">
                  <c:v>&gt;60&lt;=75 mins</c:v>
                </c:pt>
              </c:strCache>
            </c:strRef>
          </c:tx>
          <c:spPr>
            <a:solidFill>
              <a:srgbClr val="FFFF99"/>
            </a:solidFill>
            <a:ln w="12700">
              <a:solidFill>
                <a:srgbClr val="000000"/>
              </a:solidFill>
              <a:prstDash val="solid"/>
            </a:ln>
          </c:spPr>
          <c:dPt>
            <c:idx val="0"/>
            <c:spPr>
              <a:solidFill>
                <a:srgbClr val="99CC00"/>
              </a:solidFill>
              <a:ln w="12700">
                <a:solidFill>
                  <a:srgbClr val="000000"/>
                </a:solidFill>
                <a:prstDash val="solid"/>
              </a:ln>
            </c:spPr>
          </c:dPt>
          <c:cat>
            <c:strRef>
              <c:f>'Chart 10 (2014)'!$P$46:$P$73</c:f>
              <c:strCache>
                <c:ptCount val="28"/>
                <c:pt idx="0">
                  <c:v>Scotland (n=858)</c:v>
                </c:pt>
                <c:pt idx="1">
                  <c:v>Ayr (n=19)</c:v>
                </c:pt>
                <c:pt idx="2">
                  <c:v>Crosshouse (n=30)</c:v>
                </c:pt>
                <c:pt idx="3">
                  <c:v>Borders (n=10)</c:v>
                </c:pt>
                <c:pt idx="4">
                  <c:v>DGRI (n=35)</c:v>
                </c:pt>
                <c:pt idx="5">
                  <c:v>GCH (n=11)</c:v>
                </c:pt>
                <c:pt idx="6">
                  <c:v>VHK (n=42)</c:v>
                </c:pt>
                <c:pt idx="7">
                  <c:v>FVRH3 (n=34)</c:v>
                </c:pt>
                <c:pt idx="8">
                  <c:v>ARI (n=132)</c:v>
                </c:pt>
                <c:pt idx="9">
                  <c:v>Dr Grays (n=12)</c:v>
                </c:pt>
                <c:pt idx="10">
                  <c:v>GRI3 (n=1)</c:v>
                </c:pt>
                <c:pt idx="11">
                  <c:v>QEUH (n=202)</c:v>
                </c:pt>
                <c:pt idx="12">
                  <c:v>RAH (n=0)</c:v>
                </c:pt>
                <c:pt idx="13">
                  <c:v>Belford (n=3)</c:v>
                </c:pt>
                <c:pt idx="14">
                  <c:v>Caithness (n=3)</c:v>
                </c:pt>
                <c:pt idx="15">
                  <c:v>L&amp;I (n=8)</c:v>
                </c:pt>
                <c:pt idx="16">
                  <c:v>Raigmore (n=27)</c:v>
                </c:pt>
                <c:pt idx="17">
                  <c:v>Hairmyres (n=13)</c:v>
                </c:pt>
                <c:pt idx="18">
                  <c:v>Monklands (n=25)</c:v>
                </c:pt>
                <c:pt idx="19">
                  <c:v>Wishaw (n=27)</c:v>
                </c:pt>
                <c:pt idx="20">
                  <c:v>RIE (n=100)</c:v>
                </c:pt>
                <c:pt idx="21">
                  <c:v>SJH (n=31)</c:v>
                </c:pt>
                <c:pt idx="22">
                  <c:v>WGH (n=15)</c:v>
                </c:pt>
                <c:pt idx="23">
                  <c:v>Balfour (n=1)</c:v>
                </c:pt>
                <c:pt idx="24">
                  <c:v>Gilbert Bain (n=1)</c:v>
                </c:pt>
                <c:pt idx="25">
                  <c:v>Ninewells (n=48)</c:v>
                </c:pt>
                <c:pt idx="26">
                  <c:v>PRI (n=22)</c:v>
                </c:pt>
                <c:pt idx="27">
                  <c:v>Western Isles (n=6)</c:v>
                </c:pt>
              </c:strCache>
            </c:strRef>
          </c:cat>
          <c:val>
            <c:numRef>
              <c:f>'Chart 10 (2014)'!$H$46:$H$73</c:f>
              <c:numCache>
                <c:formatCode>0</c:formatCode>
                <c:ptCount val="28"/>
                <c:pt idx="0">
                  <c:v>16.666666666666664</c:v>
                </c:pt>
                <c:pt idx="1">
                  <c:v>21.05263157894737</c:v>
                </c:pt>
                <c:pt idx="2">
                  <c:v>10</c:v>
                </c:pt>
                <c:pt idx="3">
                  <c:v>40</c:v>
                </c:pt>
                <c:pt idx="4">
                  <c:v>5.7142857142857153</c:v>
                </c:pt>
                <c:pt idx="5">
                  <c:v>27.27272727272727</c:v>
                </c:pt>
                <c:pt idx="6">
                  <c:v>14.285714285714285</c:v>
                </c:pt>
                <c:pt idx="7">
                  <c:v>17.647058823529413</c:v>
                </c:pt>
                <c:pt idx="8">
                  <c:v>17.424242424242422</c:v>
                </c:pt>
                <c:pt idx="9">
                  <c:v>16.666666666666671</c:v>
                </c:pt>
                <c:pt idx="10">
                  <c:v>0</c:v>
                </c:pt>
                <c:pt idx="11">
                  <c:v>16.831683168316832</c:v>
                </c:pt>
                <c:pt idx="12">
                  <c:v>0</c:v>
                </c:pt>
                <c:pt idx="13">
                  <c:v>0</c:v>
                </c:pt>
                <c:pt idx="14">
                  <c:v>66.666666666666671</c:v>
                </c:pt>
                <c:pt idx="15">
                  <c:v>25</c:v>
                </c:pt>
                <c:pt idx="16">
                  <c:v>14.814814814814813</c:v>
                </c:pt>
                <c:pt idx="17">
                  <c:v>15.38461538461538</c:v>
                </c:pt>
                <c:pt idx="18">
                  <c:v>28</c:v>
                </c:pt>
                <c:pt idx="19">
                  <c:v>14.814814814814824</c:v>
                </c:pt>
                <c:pt idx="20">
                  <c:v>18</c:v>
                </c:pt>
                <c:pt idx="21">
                  <c:v>29.032258064516128</c:v>
                </c:pt>
                <c:pt idx="22">
                  <c:v>20.000000000000007</c:v>
                </c:pt>
                <c:pt idx="23">
                  <c:v>0</c:v>
                </c:pt>
                <c:pt idx="24">
                  <c:v>0</c:v>
                </c:pt>
                <c:pt idx="25">
                  <c:v>8.3333333333333144</c:v>
                </c:pt>
                <c:pt idx="26">
                  <c:v>4.5454545454545539</c:v>
                </c:pt>
                <c:pt idx="27">
                  <c:v>0</c:v>
                </c:pt>
              </c:numCache>
            </c:numRef>
          </c:val>
        </c:ser>
        <c:overlap val="100"/>
        <c:axId val="154611712"/>
        <c:axId val="154613248"/>
      </c:barChart>
      <c:scatterChart>
        <c:scatterStyle val="smoothMarker"/>
        <c:ser>
          <c:idx val="3"/>
          <c:order val="3"/>
          <c:tx>
            <c:v>Stroke Standard (2013)</c:v>
          </c:tx>
          <c:spPr>
            <a:ln w="28575">
              <a:solidFill>
                <a:srgbClr val="0070C0"/>
              </a:solidFill>
            </a:ln>
          </c:spPr>
          <c:marker>
            <c:symbol val="none"/>
          </c:marker>
          <c:yVal>
            <c:numRef>
              <c:f>'Chart 10 (2014)'!$I$46:$I$73</c:f>
              <c:numCache>
                <c:formatCode>General</c:formatCode>
                <c:ptCount val="28"/>
                <c:pt idx="0">
                  <c:v>80</c:v>
                </c:pt>
                <c:pt idx="1">
                  <c:v>80</c:v>
                </c:pt>
                <c:pt idx="2">
                  <c:v>80</c:v>
                </c:pt>
                <c:pt idx="3">
                  <c:v>80</c:v>
                </c:pt>
                <c:pt idx="4">
                  <c:v>80</c:v>
                </c:pt>
                <c:pt idx="5">
                  <c:v>80</c:v>
                </c:pt>
                <c:pt idx="6">
                  <c:v>80</c:v>
                </c:pt>
                <c:pt idx="7">
                  <c:v>80</c:v>
                </c:pt>
                <c:pt idx="8">
                  <c:v>80</c:v>
                </c:pt>
                <c:pt idx="9">
                  <c:v>80</c:v>
                </c:pt>
                <c:pt idx="10">
                  <c:v>80</c:v>
                </c:pt>
                <c:pt idx="11">
                  <c:v>80</c:v>
                </c:pt>
                <c:pt idx="12">
                  <c:v>80</c:v>
                </c:pt>
                <c:pt idx="13">
                  <c:v>80</c:v>
                </c:pt>
                <c:pt idx="14">
                  <c:v>80</c:v>
                </c:pt>
                <c:pt idx="15">
                  <c:v>80</c:v>
                </c:pt>
                <c:pt idx="16">
                  <c:v>80</c:v>
                </c:pt>
                <c:pt idx="17">
                  <c:v>80</c:v>
                </c:pt>
                <c:pt idx="18">
                  <c:v>80</c:v>
                </c:pt>
                <c:pt idx="19">
                  <c:v>80</c:v>
                </c:pt>
                <c:pt idx="20">
                  <c:v>80</c:v>
                </c:pt>
                <c:pt idx="21">
                  <c:v>80</c:v>
                </c:pt>
                <c:pt idx="22">
                  <c:v>80</c:v>
                </c:pt>
                <c:pt idx="23">
                  <c:v>80</c:v>
                </c:pt>
                <c:pt idx="24">
                  <c:v>80</c:v>
                </c:pt>
                <c:pt idx="25">
                  <c:v>80</c:v>
                </c:pt>
                <c:pt idx="26">
                  <c:v>80</c:v>
                </c:pt>
                <c:pt idx="27">
                  <c:v>80</c:v>
                </c:pt>
              </c:numCache>
            </c:numRef>
          </c:yVal>
          <c:smooth val="1"/>
        </c:ser>
        <c:axId val="154633344"/>
        <c:axId val="154615168"/>
      </c:scatterChart>
      <c:catAx>
        <c:axId val="154611712"/>
        <c:scaling>
          <c:orientation val="minMax"/>
        </c:scaling>
        <c:axPos val="b"/>
        <c:numFmt formatCode="General" sourceLinked="1"/>
        <c:tickLblPos val="nextTo"/>
        <c:spPr>
          <a:ln w="3175">
            <a:solidFill>
              <a:srgbClr val="000000"/>
            </a:solidFill>
            <a:prstDash val="solid"/>
          </a:ln>
        </c:spPr>
        <c:txPr>
          <a:bodyPr rot="-5400000" vert="horz"/>
          <a:lstStyle/>
          <a:p>
            <a:pPr>
              <a:defRPr sz="700" b="0" i="0" u="none" strike="noStrike" baseline="0">
                <a:solidFill>
                  <a:srgbClr val="000000"/>
                </a:solidFill>
                <a:latin typeface="Arial"/>
                <a:ea typeface="Arial"/>
                <a:cs typeface="Arial"/>
              </a:defRPr>
            </a:pPr>
            <a:endParaRPr lang="en-US"/>
          </a:p>
        </c:txPr>
        <c:crossAx val="154613248"/>
        <c:crosses val="autoZero"/>
        <c:auto val="1"/>
        <c:lblAlgn val="ctr"/>
        <c:lblOffset val="100"/>
        <c:tickLblSkip val="1"/>
        <c:tickMarkSkip val="1"/>
      </c:catAx>
      <c:valAx>
        <c:axId val="154613248"/>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45679012345723E-2"/>
              <c:y val="0.38133916830376757"/>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4611712"/>
        <c:crosses val="autoZero"/>
        <c:crossBetween val="between"/>
      </c:valAx>
      <c:valAx>
        <c:axId val="154615168"/>
        <c:scaling>
          <c:orientation val="minMax"/>
          <c:max val="100"/>
          <c:min val="0"/>
        </c:scaling>
        <c:delete val="1"/>
        <c:axPos val="l"/>
        <c:numFmt formatCode="General" sourceLinked="1"/>
        <c:tickLblPos val="none"/>
        <c:crossAx val="154633344"/>
        <c:crossesAt val="27"/>
        <c:crossBetween val="midCat"/>
      </c:valAx>
      <c:valAx>
        <c:axId val="154633344"/>
        <c:scaling>
          <c:orientation val="minMax"/>
          <c:max val="26"/>
          <c:min val="1"/>
        </c:scaling>
        <c:delete val="1"/>
        <c:axPos val="t"/>
        <c:tickLblPos val="none"/>
        <c:crossAx val="154615168"/>
        <c:crosses val="max"/>
        <c:crossBetween val="midCat"/>
        <c:majorUnit val="1"/>
      </c:valAx>
      <c:spPr>
        <a:solidFill>
          <a:srgbClr val="FFFFFF"/>
        </a:solidFill>
        <a:ln w="12700">
          <a:solidFill>
            <a:srgbClr val="808080"/>
          </a:solidFill>
          <a:prstDash val="solid"/>
        </a:ln>
      </c:spPr>
    </c:plotArea>
    <c:legend>
      <c:legendPos val="r"/>
      <c:layout>
        <c:manualLayout>
          <c:xMode val="edge"/>
          <c:yMode val="edge"/>
          <c:x val="0.89038533482977933"/>
          <c:y val="0.31034482758621201"/>
          <c:w val="0.10512532734755103"/>
          <c:h val="0.35666916888938582"/>
        </c:manualLayout>
      </c:layout>
      <c:spPr>
        <a:solidFill>
          <a:srgbClr val="FFFFFF"/>
        </a:solidFill>
        <a:ln w="3175">
          <a:solidFill>
            <a:srgbClr val="000000"/>
          </a:solidFill>
          <a:prstDash val="solid"/>
        </a:ln>
      </c:spPr>
      <c:txPr>
        <a:bodyPr/>
        <a:lstStyle/>
        <a:p>
          <a:pPr>
            <a:defRPr sz="585"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388" r="0.75000000000001388"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354302433470273E-2"/>
          <c:y val="6.2753036437249707E-2"/>
          <c:w val="0.79148025388449295"/>
          <c:h val="0.78137651821862353"/>
        </c:manualLayout>
      </c:layout>
      <c:barChart>
        <c:barDir val="col"/>
        <c:grouping val="clustered"/>
        <c:ser>
          <c:idx val="1"/>
          <c:order val="1"/>
          <c:tx>
            <c:strRef>
              <c:f>'Chart 12'!$E$42</c:f>
              <c:strCache>
                <c:ptCount val="1"/>
                <c:pt idx="0">
                  <c:v>2014 &lt;=14 days</c:v>
                </c:pt>
              </c:strCache>
            </c:strRef>
          </c:tx>
          <c:spPr>
            <a:solidFill>
              <a:srgbClr val="9999FF"/>
            </a:solidFill>
            <a:ln>
              <a:solidFill>
                <a:prstClr val="black"/>
              </a:solidFill>
            </a:ln>
          </c:spPr>
          <c:dPt>
            <c:idx val="0"/>
            <c:spPr>
              <a:solidFill>
                <a:srgbClr val="99CC00"/>
              </a:solidFill>
              <a:ln>
                <a:solidFill>
                  <a:prstClr val="black"/>
                </a:solidFill>
              </a:ln>
            </c:spPr>
          </c:dPt>
          <c:dPt>
            <c:idx val="9"/>
            <c:spPr>
              <a:solidFill>
                <a:srgbClr val="9999FF"/>
              </a:solidFill>
              <a:ln w="9525">
                <a:solidFill>
                  <a:prstClr val="black"/>
                </a:solidFill>
              </a:ln>
            </c:spPr>
          </c:dPt>
          <c:cat>
            <c:strRef>
              <c:f>'Chart 12'!$C$43:$C$53</c:f>
              <c:strCache>
                <c:ptCount val="11"/>
                <c:pt idx="0">
                  <c:v>Scotland (n=392)</c:v>
                </c:pt>
                <c:pt idx="1">
                  <c:v>Ninewells (n=27)</c:v>
                </c:pt>
                <c:pt idx="2">
                  <c:v>RIE (n=54)</c:v>
                </c:pt>
                <c:pt idx="3">
                  <c:v>ARI (n=30)</c:v>
                </c:pt>
                <c:pt idx="4">
                  <c:v>Ayr (n=23)</c:v>
                </c:pt>
                <c:pt idx="5">
                  <c:v>QEUH (n=103)</c:v>
                </c:pt>
                <c:pt idx="6">
                  <c:v>FVRH (n=31)</c:v>
                </c:pt>
                <c:pt idx="7">
                  <c:v>DGRI (n=27)</c:v>
                </c:pt>
                <c:pt idx="8">
                  <c:v>VHK (n=9)</c:v>
                </c:pt>
                <c:pt idx="9">
                  <c:v>Hairmyres (n=63)</c:v>
                </c:pt>
                <c:pt idx="10">
                  <c:v>Raigmore (n=25)</c:v>
                </c:pt>
              </c:strCache>
            </c:strRef>
          </c:cat>
          <c:val>
            <c:numRef>
              <c:f>'Chart 12'!$E$43:$E$53</c:f>
              <c:numCache>
                <c:formatCode>0</c:formatCode>
                <c:ptCount val="11"/>
                <c:pt idx="0">
                  <c:v>37.163814180929094</c:v>
                </c:pt>
                <c:pt idx="1">
                  <c:v>56.25</c:v>
                </c:pt>
                <c:pt idx="2">
                  <c:v>53.424657534246577</c:v>
                </c:pt>
                <c:pt idx="3">
                  <c:v>50</c:v>
                </c:pt>
                <c:pt idx="4">
                  <c:v>35.555555555555557</c:v>
                </c:pt>
                <c:pt idx="5">
                  <c:v>35.593220338983052</c:v>
                </c:pt>
                <c:pt idx="6">
                  <c:v>40</c:v>
                </c:pt>
                <c:pt idx="7">
                  <c:v>7.4074074074074066</c:v>
                </c:pt>
                <c:pt idx="8">
                  <c:v>30.76923076923077</c:v>
                </c:pt>
                <c:pt idx="9">
                  <c:v>31.25</c:v>
                </c:pt>
                <c:pt idx="10">
                  <c:v>18.181818181818183</c:v>
                </c:pt>
              </c:numCache>
            </c:numRef>
          </c:val>
        </c:ser>
        <c:ser>
          <c:idx val="2"/>
          <c:order val="2"/>
          <c:tx>
            <c:strRef>
              <c:f>'Chart 12'!$F$42</c:f>
              <c:strCache>
                <c:ptCount val="1"/>
                <c:pt idx="0">
                  <c:v>2015 &lt;=14 days</c:v>
                </c:pt>
              </c:strCache>
            </c:strRef>
          </c:tx>
          <c:spPr>
            <a:solidFill>
              <a:srgbClr val="993366"/>
            </a:solidFill>
            <a:ln>
              <a:solidFill>
                <a:prstClr val="black"/>
              </a:solidFill>
            </a:ln>
          </c:spPr>
          <c:dPt>
            <c:idx val="0"/>
            <c:spPr>
              <a:solidFill>
                <a:srgbClr val="008000"/>
              </a:solidFill>
              <a:ln>
                <a:solidFill>
                  <a:prstClr val="black"/>
                </a:solidFill>
              </a:ln>
            </c:spPr>
          </c:dPt>
          <c:dPt>
            <c:idx val="9"/>
            <c:spPr>
              <a:solidFill>
                <a:srgbClr val="993366"/>
              </a:solidFill>
              <a:ln w="9525">
                <a:solidFill>
                  <a:prstClr val="black"/>
                </a:solidFill>
              </a:ln>
            </c:spPr>
          </c:dPt>
          <c:cat>
            <c:strRef>
              <c:f>'Chart 12'!$C$43:$C$53</c:f>
              <c:strCache>
                <c:ptCount val="11"/>
                <c:pt idx="0">
                  <c:v>Scotland (n=392)</c:v>
                </c:pt>
                <c:pt idx="1">
                  <c:v>Ninewells (n=27)</c:v>
                </c:pt>
                <c:pt idx="2">
                  <c:v>RIE (n=54)</c:v>
                </c:pt>
                <c:pt idx="3">
                  <c:v>ARI (n=30)</c:v>
                </c:pt>
                <c:pt idx="4">
                  <c:v>Ayr (n=23)</c:v>
                </c:pt>
                <c:pt idx="5">
                  <c:v>QEUH (n=103)</c:v>
                </c:pt>
                <c:pt idx="6">
                  <c:v>FVRH (n=31)</c:v>
                </c:pt>
                <c:pt idx="7">
                  <c:v>DGRI (n=27)</c:v>
                </c:pt>
                <c:pt idx="8">
                  <c:v>VHK (n=9)</c:v>
                </c:pt>
                <c:pt idx="9">
                  <c:v>Hairmyres (n=63)</c:v>
                </c:pt>
                <c:pt idx="10">
                  <c:v>Raigmore (n=25)</c:v>
                </c:pt>
              </c:strCache>
            </c:strRef>
          </c:cat>
          <c:val>
            <c:numRef>
              <c:f>'Chart 12'!$F$43:$F$53</c:f>
              <c:numCache>
                <c:formatCode>0</c:formatCode>
                <c:ptCount val="11"/>
                <c:pt idx="0">
                  <c:v>41.326530612244902</c:v>
                </c:pt>
                <c:pt idx="1">
                  <c:v>77.777777777777786</c:v>
                </c:pt>
                <c:pt idx="2">
                  <c:v>57.407407407407405</c:v>
                </c:pt>
                <c:pt idx="3">
                  <c:v>53.333333333333336</c:v>
                </c:pt>
                <c:pt idx="4">
                  <c:v>52.173913043478258</c:v>
                </c:pt>
                <c:pt idx="5">
                  <c:v>36.893203883495147</c:v>
                </c:pt>
                <c:pt idx="6">
                  <c:v>35.483870967741936</c:v>
                </c:pt>
                <c:pt idx="7">
                  <c:v>33.333333333333329</c:v>
                </c:pt>
                <c:pt idx="8">
                  <c:v>33.333333333333329</c:v>
                </c:pt>
                <c:pt idx="9">
                  <c:v>31.746031746031743</c:v>
                </c:pt>
                <c:pt idx="10">
                  <c:v>4</c:v>
                </c:pt>
              </c:numCache>
            </c:numRef>
          </c:val>
        </c:ser>
        <c:axId val="158321280"/>
        <c:axId val="158372224"/>
      </c:barChart>
      <c:scatterChart>
        <c:scatterStyle val="lineMarker"/>
        <c:ser>
          <c:idx val="0"/>
          <c:order val="0"/>
          <c:tx>
            <c:v>Stroke Standard (2013)</c:v>
          </c:tx>
          <c:spPr>
            <a:ln w="31750">
              <a:solidFill>
                <a:srgbClr val="0070C0"/>
              </a:solidFill>
              <a:prstDash val="solid"/>
            </a:ln>
          </c:spPr>
          <c:marker>
            <c:symbol val="none"/>
          </c:marker>
          <c:yVal>
            <c:numRef>
              <c:f>'Chart 12'!$G$43:$G$53</c:f>
              <c:numCache>
                <c:formatCode>0</c:formatCode>
                <c:ptCount val="11"/>
                <c:pt idx="0">
                  <c:v>80</c:v>
                </c:pt>
                <c:pt idx="1">
                  <c:v>80</c:v>
                </c:pt>
                <c:pt idx="2">
                  <c:v>80</c:v>
                </c:pt>
                <c:pt idx="3">
                  <c:v>80</c:v>
                </c:pt>
                <c:pt idx="4">
                  <c:v>80</c:v>
                </c:pt>
                <c:pt idx="5">
                  <c:v>80</c:v>
                </c:pt>
                <c:pt idx="6">
                  <c:v>80</c:v>
                </c:pt>
                <c:pt idx="7">
                  <c:v>80</c:v>
                </c:pt>
                <c:pt idx="8">
                  <c:v>80</c:v>
                </c:pt>
                <c:pt idx="9">
                  <c:v>80</c:v>
                </c:pt>
                <c:pt idx="10">
                  <c:v>80</c:v>
                </c:pt>
              </c:numCache>
            </c:numRef>
          </c:yVal>
        </c:ser>
        <c:axId val="158374144"/>
        <c:axId val="158380032"/>
      </c:scatterChart>
      <c:catAx>
        <c:axId val="158321280"/>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58372224"/>
        <c:crosses val="autoZero"/>
        <c:auto val="1"/>
        <c:lblAlgn val="ctr"/>
        <c:lblOffset val="100"/>
        <c:tickLblSkip val="1"/>
        <c:tickMarkSkip val="1"/>
      </c:catAx>
      <c:valAx>
        <c:axId val="158372224"/>
        <c:scaling>
          <c:orientation val="minMax"/>
          <c:max val="100"/>
        </c:scaling>
        <c:axPos val="l"/>
        <c:title>
          <c:tx>
            <c:rich>
              <a:bodyPr rot="0" vert="horz"/>
              <a:lstStyle/>
              <a:p>
                <a:pPr algn="ctr">
                  <a:defRPr sz="800" b="0" i="0" u="none" strike="noStrike" baseline="0">
                    <a:solidFill>
                      <a:srgbClr val="000000"/>
                    </a:solidFill>
                    <a:latin typeface="Arial"/>
                    <a:ea typeface="Arial"/>
                    <a:cs typeface="Arial"/>
                  </a:defRPr>
                </a:pPr>
                <a:r>
                  <a:rPr lang="en-GB"/>
                  <a:t>%</a:t>
                </a:r>
              </a:p>
            </c:rich>
          </c:tx>
          <c:layout>
            <c:manualLayout>
              <c:xMode val="edge"/>
              <c:yMode val="edge"/>
              <c:x val="1.2331778199856223E-2"/>
              <c:y val="0.39473688739728691"/>
            </c:manualLayout>
          </c:layout>
          <c:spPr>
            <a:noFill/>
            <a:ln w="25400">
              <a:noFill/>
            </a:ln>
          </c:spPr>
        </c:title>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8321280"/>
        <c:crosses val="autoZero"/>
        <c:crossBetween val="between"/>
      </c:valAx>
      <c:valAx>
        <c:axId val="158374144"/>
        <c:scaling>
          <c:orientation val="minMax"/>
          <c:max val="10"/>
          <c:min val="1"/>
        </c:scaling>
        <c:delete val="1"/>
        <c:axPos val="t"/>
        <c:tickLblPos val="none"/>
        <c:crossAx val="158380032"/>
        <c:crosses val="max"/>
        <c:crossBetween val="midCat"/>
      </c:valAx>
      <c:valAx>
        <c:axId val="158380032"/>
        <c:scaling>
          <c:orientation val="minMax"/>
          <c:max val="100"/>
          <c:min val="0"/>
        </c:scaling>
        <c:delete val="1"/>
        <c:axPos val="r"/>
        <c:numFmt formatCode="0" sourceLinked="1"/>
        <c:tickLblPos val="none"/>
        <c:crossAx val="158374144"/>
        <c:crosses val="max"/>
        <c:crossBetween val="midCat"/>
      </c:valAx>
      <c:spPr>
        <a:ln w="12700">
          <a:solidFill>
            <a:schemeClr val="bg1">
              <a:lumMod val="50000"/>
            </a:schemeClr>
          </a:solidFill>
          <a:prstDash val="solid"/>
        </a:ln>
      </c:spPr>
    </c:plotArea>
    <c:legend>
      <c:legendPos val="r"/>
      <c:layout>
        <c:manualLayout>
          <c:xMode val="edge"/>
          <c:yMode val="edge"/>
          <c:x val="0.8768460909599417"/>
          <c:y val="0.32440320984468596"/>
          <c:w val="0.11269062678640863"/>
          <c:h val="0.22004582419000909"/>
        </c:manualLayout>
      </c:layout>
      <c:spPr>
        <a:no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596E-2"/>
          <c:y val="8.0232093304875005E-2"/>
          <c:w val="0.80311862477044349"/>
          <c:h val="0.72370482152729065"/>
        </c:manualLayout>
      </c:layout>
      <c:barChart>
        <c:barDir val="col"/>
        <c:grouping val="stacked"/>
        <c:ser>
          <c:idx val="3"/>
          <c:order val="0"/>
          <c:tx>
            <c:v>% Pre SU STay</c:v>
          </c:tx>
          <c:spPr>
            <a:solidFill>
              <a:srgbClr val="003366"/>
            </a:solidFill>
            <a:ln>
              <a:solidFill>
                <a:schemeClr val="tx1"/>
              </a:solidFill>
            </a:ln>
          </c:spPr>
          <c:dPt>
            <c:idx val="0"/>
            <c:spPr>
              <a:solidFill>
                <a:srgbClr val="0080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DATA'!$L$3:$L$31</c:f>
              <c:numCache>
                <c:formatCode>0</c:formatCode>
                <c:ptCount val="29"/>
                <c:pt idx="0">
                  <c:v>5.4544310793384048</c:v>
                </c:pt>
                <c:pt idx="1">
                  <c:v>5.7086289391189569</c:v>
                </c:pt>
                <c:pt idx="2">
                  <c:v>2.4879459980713596</c:v>
                </c:pt>
                <c:pt idx="3">
                  <c:v>3.7916583516264217</c:v>
                </c:pt>
                <c:pt idx="4">
                  <c:v>7.7874243620099968</c:v>
                </c:pt>
                <c:pt idx="5">
                  <c:v>1.0309278350515463</c:v>
                </c:pt>
                <c:pt idx="6">
                  <c:v>3.8076545632973504</c:v>
                </c:pt>
                <c:pt idx="7">
                  <c:v>5.3832413121143228</c:v>
                </c:pt>
                <c:pt idx="8">
                  <c:v>5.1938867716968531</c:v>
                </c:pt>
                <c:pt idx="9">
                  <c:v>7.5</c:v>
                </c:pt>
                <c:pt idx="10">
                  <c:v>7.5139823295776926</c:v>
                </c:pt>
                <c:pt idx="11">
                  <c:v>6.9957884885353305</c:v>
                </c:pt>
                <c:pt idx="12">
                  <c:v>4.9025379382522241</c:v>
                </c:pt>
                <c:pt idx="13">
                  <c:v>6.5785652047632883</c:v>
                </c:pt>
                <c:pt idx="14">
                  <c:v>0.13458950201884254</c:v>
                </c:pt>
                <c:pt idx="15">
                  <c:v>7.9808459696727854E-2</c:v>
                </c:pt>
                <c:pt idx="16">
                  <c:v>0.28011204481792717</c:v>
                </c:pt>
                <c:pt idx="17">
                  <c:v>6.3541666666666661</c:v>
                </c:pt>
                <c:pt idx="18">
                  <c:v>7.9441582183812534</c:v>
                </c:pt>
                <c:pt idx="19">
                  <c:v>8.6239695624603687</c:v>
                </c:pt>
                <c:pt idx="20">
                  <c:v>6.9442484121383208</c:v>
                </c:pt>
                <c:pt idx="21">
                  <c:v>5.2900751158702253</c:v>
                </c:pt>
                <c:pt idx="22">
                  <c:v>5.3068882337175021</c:v>
                </c:pt>
                <c:pt idx="23">
                  <c:v>9.3129039980847494</c:v>
                </c:pt>
                <c:pt idx="24">
                  <c:v>2.7329192546583849</c:v>
                </c:pt>
                <c:pt idx="25">
                  <c:v>0.14749262536873156</c:v>
                </c:pt>
                <c:pt idx="26">
                  <c:v>4.6821094135041896</c:v>
                </c:pt>
                <c:pt idx="27">
                  <c:v>5.1635663887107119</c:v>
                </c:pt>
                <c:pt idx="28">
                  <c:v>3.0346820809248554</c:v>
                </c:pt>
              </c:numCache>
            </c:numRef>
          </c:val>
        </c:ser>
        <c:ser>
          <c:idx val="0"/>
          <c:order val="1"/>
          <c:tx>
            <c:v>% Acute/Integrated SU</c:v>
          </c:tx>
          <c:spPr>
            <a:solidFill>
              <a:srgbClr val="9999FF"/>
            </a:solidFill>
            <a:ln>
              <a:solidFill>
                <a:schemeClr val="tx1"/>
              </a:solidFill>
            </a:ln>
          </c:spPr>
          <c:dPt>
            <c:idx val="0"/>
            <c:spPr>
              <a:solidFill>
                <a:srgbClr val="FF00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DATA'!$P$3:$P$31</c:f>
              <c:numCache>
                <c:formatCode>0</c:formatCode>
                <c:ptCount val="29"/>
                <c:pt idx="0">
                  <c:v>57.495517921573736</c:v>
                </c:pt>
                <c:pt idx="1">
                  <c:v>41.379310344827587</c:v>
                </c:pt>
                <c:pt idx="2">
                  <c:v>45.564127290260366</c:v>
                </c:pt>
                <c:pt idx="3">
                  <c:v>47.794851327080423</c:v>
                </c:pt>
                <c:pt idx="4">
                  <c:v>43.383320178900291</c:v>
                </c:pt>
                <c:pt idx="5">
                  <c:v>34.27835051546392</c:v>
                </c:pt>
                <c:pt idx="6">
                  <c:v>37.271835132482828</c:v>
                </c:pt>
                <c:pt idx="7">
                  <c:v>68.650535888275414</c:v>
                </c:pt>
                <c:pt idx="8">
                  <c:v>20.135151062743095</c:v>
                </c:pt>
                <c:pt idx="9">
                  <c:v>82.3125</c:v>
                </c:pt>
                <c:pt idx="10">
                  <c:v>53.546243008835212</c:v>
                </c:pt>
                <c:pt idx="11">
                  <c:v>84.043051006083289</c:v>
                </c:pt>
                <c:pt idx="12">
                  <c:v>65.642987964416534</c:v>
                </c:pt>
                <c:pt idx="13">
                  <c:v>85.477781004937555</c:v>
                </c:pt>
                <c:pt idx="14">
                  <c:v>51.54777927321669</c:v>
                </c:pt>
                <c:pt idx="15">
                  <c:v>25.857940941739827</c:v>
                </c:pt>
                <c:pt idx="16">
                  <c:v>96.918767507002798</c:v>
                </c:pt>
                <c:pt idx="17">
                  <c:v>81.388888888888886</c:v>
                </c:pt>
                <c:pt idx="18">
                  <c:v>89.778959614425787</c:v>
                </c:pt>
                <c:pt idx="19">
                  <c:v>88.247727753117729</c:v>
                </c:pt>
                <c:pt idx="20">
                  <c:v>92.194777699364863</c:v>
                </c:pt>
                <c:pt idx="21">
                  <c:v>42.144797826434392</c:v>
                </c:pt>
                <c:pt idx="22">
                  <c:v>86.504958456177974</c:v>
                </c:pt>
                <c:pt idx="23">
                  <c:v>71.414891070146041</c:v>
                </c:pt>
                <c:pt idx="24">
                  <c:v>13.664596273291925</c:v>
                </c:pt>
                <c:pt idx="25">
                  <c:v>99.852507374631273</c:v>
                </c:pt>
                <c:pt idx="26">
                  <c:v>57.503696402168558</c:v>
                </c:pt>
                <c:pt idx="27">
                  <c:v>91.853752405388065</c:v>
                </c:pt>
                <c:pt idx="28">
                  <c:v>94.075144508670519</c:v>
                </c:pt>
              </c:numCache>
            </c:numRef>
          </c:val>
        </c:ser>
        <c:ser>
          <c:idx val="1"/>
          <c:order val="2"/>
          <c:tx>
            <c:v>% Rehab SU</c:v>
          </c:tx>
          <c:spPr>
            <a:solidFill>
              <a:srgbClr val="993366"/>
            </a:solidFill>
            <a:ln>
              <a:solidFill>
                <a:prstClr val="black"/>
              </a:solidFill>
            </a:ln>
          </c:spPr>
          <c:dPt>
            <c:idx val="0"/>
            <c:spPr>
              <a:solidFill>
                <a:srgbClr val="FFC000"/>
              </a:solidFill>
              <a:ln>
                <a:solidFill>
                  <a:prstClr val="black"/>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DATA'!$R$3:$R$31</c:f>
              <c:numCache>
                <c:formatCode>0</c:formatCode>
                <c:ptCount val="29"/>
                <c:pt idx="0">
                  <c:v>29.508027301361921</c:v>
                </c:pt>
                <c:pt idx="1">
                  <c:v>51.130176538524999</c:v>
                </c:pt>
                <c:pt idx="2">
                  <c:v>50.675024108003853</c:v>
                </c:pt>
                <c:pt idx="3">
                  <c:v>4.5699461185392138</c:v>
                </c:pt>
                <c:pt idx="4">
                  <c:v>31.412786108918706</c:v>
                </c:pt>
                <c:pt idx="5">
                  <c:v>62.242268041237111</c:v>
                </c:pt>
                <c:pt idx="6">
                  <c:v>54.556754988550871</c:v>
                </c:pt>
                <c:pt idx="7">
                  <c:v>23.026956804157194</c:v>
                </c:pt>
                <c:pt idx="8">
                  <c:v>61.772679055514089</c:v>
                </c:pt>
                <c:pt idx="9">
                  <c:v>5.0625</c:v>
                </c:pt>
                <c:pt idx="10">
                  <c:v>37.553700251276645</c:v>
                </c:pt>
                <c:pt idx="11">
                  <c:v>6.6214319138979878</c:v>
                </c:pt>
                <c:pt idx="12">
                  <c:v>28.205128205128204</c:v>
                </c:pt>
                <c:pt idx="13">
                  <c:v>7.4208539064769097</c:v>
                </c:pt>
                <c:pt idx="14">
                  <c:v>45.087483176312247</c:v>
                </c:pt>
                <c:pt idx="15">
                  <c:v>73.982442138866716</c:v>
                </c:pt>
                <c:pt idx="16">
                  <c:v>2.801120448179272</c:v>
                </c:pt>
                <c:pt idx="17">
                  <c:v>2.4189814814814814</c:v>
                </c:pt>
                <c:pt idx="18">
                  <c:v>1.1799900282532825</c:v>
                </c:pt>
                <c:pt idx="19">
                  <c:v>0</c:v>
                </c:pt>
                <c:pt idx="20">
                  <c:v>0</c:v>
                </c:pt>
                <c:pt idx="21">
                  <c:v>29.950455489851368</c:v>
                </c:pt>
                <c:pt idx="22">
                  <c:v>0</c:v>
                </c:pt>
                <c:pt idx="23">
                  <c:v>10.090974383528849</c:v>
                </c:pt>
                <c:pt idx="24">
                  <c:v>80.745341614906835</c:v>
                </c:pt>
                <c:pt idx="25">
                  <c:v>0</c:v>
                </c:pt>
                <c:pt idx="26">
                  <c:v>35.448496796451458</c:v>
                </c:pt>
                <c:pt idx="27">
                  <c:v>0.41693393200769718</c:v>
                </c:pt>
                <c:pt idx="28">
                  <c:v>0</c:v>
                </c:pt>
              </c:numCache>
            </c:numRef>
          </c:val>
        </c:ser>
        <c:ser>
          <c:idx val="2"/>
          <c:order val="3"/>
          <c:tx>
            <c:v>% Post SU</c:v>
          </c:tx>
          <c:spPr>
            <a:solidFill>
              <a:srgbClr val="FFFCCC"/>
            </a:solidFill>
            <a:ln>
              <a:solidFill>
                <a:schemeClr val="tx1"/>
              </a:solidFill>
            </a:ln>
          </c:spPr>
          <c:dPt>
            <c:idx val="0"/>
            <c:spPr>
              <a:solidFill>
                <a:srgbClr val="99CC00"/>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DATA'!$T$3:$T$31</c:f>
              <c:numCache>
                <c:formatCode>0</c:formatCode>
                <c:ptCount val="29"/>
                <c:pt idx="0">
                  <c:v>3.4917525263645062</c:v>
                </c:pt>
                <c:pt idx="1">
                  <c:v>0.49496782709123904</c:v>
                </c:pt>
                <c:pt idx="2">
                  <c:v>0</c:v>
                </c:pt>
                <c:pt idx="3">
                  <c:v>42.1273198962283</c:v>
                </c:pt>
                <c:pt idx="4">
                  <c:v>1.0786635096027362</c:v>
                </c:pt>
                <c:pt idx="5">
                  <c:v>2.4484536082474229</c:v>
                </c:pt>
                <c:pt idx="6">
                  <c:v>1.8449460255152108</c:v>
                </c:pt>
                <c:pt idx="7">
                  <c:v>0.52776875608963947</c:v>
                </c:pt>
                <c:pt idx="8">
                  <c:v>3.0526853416100264</c:v>
                </c:pt>
                <c:pt idx="9">
                  <c:v>0</c:v>
                </c:pt>
                <c:pt idx="10">
                  <c:v>0.27559374240090784</c:v>
                </c:pt>
                <c:pt idx="11">
                  <c:v>1.7547964436125409</c:v>
                </c:pt>
                <c:pt idx="12">
                  <c:v>0.46114599686028257</c:v>
                </c:pt>
                <c:pt idx="13">
                  <c:v>0.47923322683706071</c:v>
                </c:pt>
                <c:pt idx="14">
                  <c:v>2.4226110363391657</c:v>
                </c:pt>
                <c:pt idx="15">
                  <c:v>7.9808459696727854E-2</c:v>
                </c:pt>
                <c:pt idx="16">
                  <c:v>0</c:v>
                </c:pt>
                <c:pt idx="17">
                  <c:v>1.0069444444444444</c:v>
                </c:pt>
                <c:pt idx="18">
                  <c:v>0.21605451221538974</c:v>
                </c:pt>
                <c:pt idx="19">
                  <c:v>0</c:v>
                </c:pt>
                <c:pt idx="20">
                  <c:v>4.2342978122794639E-2</c:v>
                </c:pt>
                <c:pt idx="21">
                  <c:v>14.623621543870865</c:v>
                </c:pt>
                <c:pt idx="22">
                  <c:v>3.3101045296167246</c:v>
                </c:pt>
                <c:pt idx="23">
                  <c:v>0.61048599473306198</c:v>
                </c:pt>
                <c:pt idx="24">
                  <c:v>0</c:v>
                </c:pt>
                <c:pt idx="25">
                  <c:v>0</c:v>
                </c:pt>
                <c:pt idx="26">
                  <c:v>0.50517496303597831</c:v>
                </c:pt>
                <c:pt idx="27">
                  <c:v>0.3367543296985247</c:v>
                </c:pt>
                <c:pt idx="28">
                  <c:v>2.8901734104046244</c:v>
                </c:pt>
              </c:numCache>
            </c:numRef>
          </c:val>
        </c:ser>
        <c:ser>
          <c:idx val="4"/>
          <c:order val="4"/>
          <c:tx>
            <c:v>% No SU</c:v>
          </c:tx>
          <c:spPr>
            <a:solidFill>
              <a:srgbClr val="CCFFFF"/>
            </a:solidFill>
            <a:ln>
              <a:solidFill>
                <a:schemeClr val="tx1"/>
              </a:solidFill>
            </a:ln>
          </c:spPr>
          <c:dPt>
            <c:idx val="0"/>
            <c:spPr>
              <a:solidFill>
                <a:srgbClr val="969696"/>
              </a:solidFill>
              <a:ln>
                <a:solidFill>
                  <a:schemeClr val="tx1"/>
                </a:solidFill>
              </a:ln>
            </c:spPr>
          </c:dPt>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DATA'!$V$3:$V$31</c:f>
              <c:numCache>
                <c:formatCode>0</c:formatCode>
                <c:ptCount val="29"/>
                <c:pt idx="0">
                  <c:v>4.0516191648730864</c:v>
                </c:pt>
                <c:pt idx="1">
                  <c:v>1.2869163504372216</c:v>
                </c:pt>
                <c:pt idx="2">
                  <c:v>1.2729026036644167</c:v>
                </c:pt>
                <c:pt idx="3">
                  <c:v>1.7162243065256437</c:v>
                </c:pt>
                <c:pt idx="4">
                  <c:v>16.337805840568269</c:v>
                </c:pt>
                <c:pt idx="5">
                  <c:v>0</c:v>
                </c:pt>
                <c:pt idx="6">
                  <c:v>2.5188092901537456</c:v>
                </c:pt>
                <c:pt idx="7">
                  <c:v>2.4114972393634297</c:v>
                </c:pt>
                <c:pt idx="8">
                  <c:v>9.8455977684359404</c:v>
                </c:pt>
                <c:pt idx="9">
                  <c:v>5.125</c:v>
                </c:pt>
                <c:pt idx="10">
                  <c:v>1.1104806679095403</c:v>
                </c:pt>
                <c:pt idx="11">
                  <c:v>0.58493214787084702</c:v>
                </c:pt>
                <c:pt idx="12">
                  <c:v>0.79801151229722656</c:v>
                </c:pt>
                <c:pt idx="13">
                  <c:v>4.3566656985187337E-2</c:v>
                </c:pt>
                <c:pt idx="14">
                  <c:v>0.80753701211305517</c:v>
                </c:pt>
                <c:pt idx="15">
                  <c:v>0</c:v>
                </c:pt>
                <c:pt idx="16">
                  <c:v>0</c:v>
                </c:pt>
                <c:pt idx="17">
                  <c:v>8.831018518518519</c:v>
                </c:pt>
                <c:pt idx="18">
                  <c:v>0.88083762672428123</c:v>
                </c:pt>
                <c:pt idx="19">
                  <c:v>3.128302684421898</c:v>
                </c:pt>
                <c:pt idx="20">
                  <c:v>0.81863091037402969</c:v>
                </c:pt>
                <c:pt idx="21">
                  <c:v>7.9910500239731492</c:v>
                </c:pt>
                <c:pt idx="22">
                  <c:v>4.8780487804878048</c:v>
                </c:pt>
                <c:pt idx="23">
                  <c:v>8.5707445535073017</c:v>
                </c:pt>
                <c:pt idx="24">
                  <c:v>2.8571428571428572</c:v>
                </c:pt>
                <c:pt idx="25">
                  <c:v>0</c:v>
                </c:pt>
                <c:pt idx="26">
                  <c:v>1.8605224248398227</c:v>
                </c:pt>
                <c:pt idx="27">
                  <c:v>2.2289929441949967</c:v>
                </c:pt>
                <c:pt idx="28">
                  <c:v>0</c:v>
                </c:pt>
              </c:numCache>
            </c:numRef>
          </c:val>
        </c:ser>
        <c:overlap val="100"/>
        <c:axId val="158559232"/>
        <c:axId val="158606464"/>
      </c:barChart>
      <c:lineChart>
        <c:grouping val="standard"/>
        <c:ser>
          <c:idx val="5"/>
          <c:order val="5"/>
          <c:tx>
            <c:v>% Stayed in SU</c:v>
          </c:tx>
          <c:spPr>
            <a:ln>
              <a:noFill/>
            </a:ln>
          </c:spPr>
          <c:marker>
            <c:symbol val="square"/>
            <c:size val="8"/>
            <c:spPr>
              <a:noFill/>
              <a:ln>
                <a:solidFill>
                  <a:schemeClr val="tx1"/>
                </a:solidFill>
              </a:ln>
            </c:spPr>
          </c:marker>
          <c:cat>
            <c:strRef>
              <c:f>'Chart 13 (2015) DATA'!$A$3:$A$31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(2015) DATA'!$E$3:$E$31</c:f>
              <c:numCache>
                <c:formatCode>#\ ###\ ##0</c:formatCode>
                <c:ptCount val="29"/>
                <c:pt idx="0">
                  <c:v>88.323353293413177</c:v>
                </c:pt>
                <c:pt idx="1">
                  <c:v>95.112781954887211</c:v>
                </c:pt>
                <c:pt idx="2">
                  <c:v>97.911227154046998</c:v>
                </c:pt>
                <c:pt idx="3">
                  <c:v>86.574074074074076</c:v>
                </c:pt>
                <c:pt idx="4">
                  <c:v>82.995951417004051</c:v>
                </c:pt>
                <c:pt idx="5">
                  <c:v>100</c:v>
                </c:pt>
                <c:pt idx="6">
                  <c:v>80.351437699680503</c:v>
                </c:pt>
                <c:pt idx="7">
                  <c:v>92.687385740402192</c:v>
                </c:pt>
                <c:pt idx="8">
                  <c:v>76.5625</c:v>
                </c:pt>
                <c:pt idx="9">
                  <c:v>82.307692307692307</c:v>
                </c:pt>
                <c:pt idx="10">
                  <c:v>97.292069632495156</c:v>
                </c:pt>
                <c:pt idx="11">
                  <c:v>99.074074074074076</c:v>
                </c:pt>
                <c:pt idx="12">
                  <c:v>98.066783831282962</c:v>
                </c:pt>
                <c:pt idx="13">
                  <c:v>99.704142011834321</c:v>
                </c:pt>
                <c:pt idx="14">
                  <c:v>96.666666666666671</c:v>
                </c:pt>
                <c:pt idx="15">
                  <c:v>100</c:v>
                </c:pt>
                <c:pt idx="16">
                  <c:v>100</c:v>
                </c:pt>
                <c:pt idx="17">
                  <c:v>58.974358974358978</c:v>
                </c:pt>
                <c:pt idx="18">
                  <c:v>98.327759197324411</c:v>
                </c:pt>
                <c:pt idx="19">
                  <c:v>93.538461538461533</c:v>
                </c:pt>
                <c:pt idx="20">
                  <c:v>96.706586826347305</c:v>
                </c:pt>
                <c:pt idx="21">
                  <c:v>75.106837606837601</c:v>
                </c:pt>
                <c:pt idx="22">
                  <c:v>83.333333333333343</c:v>
                </c:pt>
                <c:pt idx="23">
                  <c:v>72.727272727272734</c:v>
                </c:pt>
                <c:pt idx="24">
                  <c:v>76.19047619047619</c:v>
                </c:pt>
                <c:pt idx="25">
                  <c:v>100</c:v>
                </c:pt>
                <c:pt idx="26">
                  <c:v>98.017621145374449</c:v>
                </c:pt>
                <c:pt idx="27">
                  <c:v>87.027027027027032</c:v>
                </c:pt>
                <c:pt idx="28">
                  <c:v>100</c:v>
                </c:pt>
              </c:numCache>
            </c:numRef>
          </c:val>
        </c:ser>
        <c:marker val="1"/>
        <c:axId val="158559232"/>
        <c:axId val="158606464"/>
      </c:lineChart>
      <c:catAx>
        <c:axId val="158559232"/>
        <c:scaling>
          <c:orientation val="minMax"/>
        </c:scaling>
        <c:axPos val="b"/>
        <c:tickLblPos val="nextTo"/>
        <c:txPr>
          <a:bodyPr rot="-5400000" vert="horz"/>
          <a:lstStyle/>
          <a:p>
            <a:pPr>
              <a:defRPr sz="800"/>
            </a:pPr>
            <a:endParaRPr lang="en-US"/>
          </a:p>
        </c:txPr>
        <c:crossAx val="158606464"/>
        <c:crosses val="autoZero"/>
        <c:auto val="1"/>
        <c:lblAlgn val="ctr"/>
        <c:lblOffset val="100"/>
      </c:catAx>
      <c:valAx>
        <c:axId val="158606464"/>
        <c:scaling>
          <c:orientation val="minMax"/>
          <c:max val="100"/>
        </c:scaling>
        <c:axPos val="l"/>
        <c:title>
          <c:tx>
            <c:rich>
              <a:bodyPr rot="0" vert="horz"/>
              <a:lstStyle/>
              <a:p>
                <a:pPr>
                  <a:defRPr b="0"/>
                </a:pPr>
                <a:r>
                  <a:rPr lang="en-GB" b="0"/>
                  <a:t>%</a:t>
                </a:r>
              </a:p>
            </c:rich>
          </c:tx>
          <c:layout/>
        </c:title>
        <c:numFmt formatCode="0" sourceLinked="0"/>
        <c:tickLblPos val="nextTo"/>
        <c:txPr>
          <a:bodyPr/>
          <a:lstStyle/>
          <a:p>
            <a:pPr>
              <a:defRPr sz="800"/>
            </a:pPr>
            <a:endParaRPr lang="en-US"/>
          </a:p>
        </c:txPr>
        <c:crossAx val="158559232"/>
        <c:crosses val="autoZero"/>
        <c:crossBetween val="between"/>
      </c:valAx>
      <c:spPr>
        <a:ln>
          <a:solidFill>
            <a:schemeClr val="tx1"/>
          </a:solidFill>
        </a:ln>
      </c:spPr>
    </c:plotArea>
    <c:legend>
      <c:legendPos val="r"/>
      <c:layout>
        <c:manualLayout>
          <c:xMode val="edge"/>
          <c:yMode val="edge"/>
          <c:x val="0.87215981214027505"/>
          <c:y val="0.33652773666449737"/>
          <c:w val="0.11801170839046549"/>
          <c:h val="0.32694452667100832"/>
        </c:manualLayout>
      </c:layout>
      <c:spPr>
        <a:ln>
          <a:solidFill>
            <a:schemeClr val="tx1"/>
          </a:solidFill>
        </a:ln>
      </c:spPr>
      <c:txPr>
        <a:bodyPr/>
        <a:lstStyle/>
        <a:p>
          <a:pPr>
            <a:defRPr sz="8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5.6876699137440631E-2"/>
          <c:y val="8.0232093304875005E-2"/>
          <c:w val="0.80311862477044349"/>
          <c:h val="0.72370482152729065"/>
        </c:manualLayout>
      </c:layout>
      <c:barChart>
        <c:barDir val="col"/>
        <c:grouping val="stacked"/>
        <c:ser>
          <c:idx val="3"/>
          <c:order val="0"/>
          <c:tx>
            <c:v>% Pre SU STay</c:v>
          </c:tx>
          <c:spPr>
            <a:solidFill>
              <a:srgbClr val="003366"/>
            </a:solidFill>
            <a:ln>
              <a:solidFill>
                <a:schemeClr val="tx1"/>
              </a:solidFill>
            </a:ln>
          </c:spPr>
          <c:dPt>
            <c:idx val="0"/>
            <c:spPr>
              <a:solidFill>
                <a:srgbClr val="008000"/>
              </a:solidFill>
              <a:ln>
                <a:solidFill>
                  <a:schemeClr val="tx1"/>
                </a:solidFill>
              </a:ln>
            </c:spPr>
          </c:dPt>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(revised)'!$L$3:$L$31</c:f>
              <c:numCache>
                <c:formatCode>0</c:formatCode>
                <c:ptCount val="29"/>
                <c:pt idx="0">
                  <c:v>4.9186071706829066</c:v>
                </c:pt>
                <c:pt idx="1">
                  <c:v>5.5365296803652964</c:v>
                </c:pt>
                <c:pt idx="2">
                  <c:v>1.6949152542372881</c:v>
                </c:pt>
                <c:pt idx="3">
                  <c:v>2.1691609214730114</c:v>
                </c:pt>
                <c:pt idx="4">
                  <c:v>5.5540862205765675</c:v>
                </c:pt>
                <c:pt idx="5">
                  <c:v>1.5748031496062991</c:v>
                </c:pt>
                <c:pt idx="6">
                  <c:v>3.6108193277310923</c:v>
                </c:pt>
                <c:pt idx="7">
                  <c:v>5.8174610014651389</c:v>
                </c:pt>
                <c:pt idx="8">
                  <c:v>5.0756205819496962</c:v>
                </c:pt>
                <c:pt idx="9">
                  <c:v>6.8897637795275593</c:v>
                </c:pt>
                <c:pt idx="10">
                  <c:v>8.7776461295418642</c:v>
                </c:pt>
                <c:pt idx="11">
                  <c:v>6.9685386650985004</c:v>
                </c:pt>
                <c:pt idx="12">
                  <c:v>3.8665473075333976</c:v>
                </c:pt>
                <c:pt idx="13">
                  <c:v>7.1965811965811959</c:v>
                </c:pt>
                <c:pt idx="14">
                  <c:v>0.43478260869565216</c:v>
                </c:pt>
                <c:pt idx="15">
                  <c:v>0.31948881789137379</c:v>
                </c:pt>
                <c:pt idx="16">
                  <c:v>1.251303441084463</c:v>
                </c:pt>
                <c:pt idx="17">
                  <c:v>5.5347213241950088</c:v>
                </c:pt>
                <c:pt idx="18">
                  <c:v>8.2189204438593197</c:v>
                </c:pt>
                <c:pt idx="19">
                  <c:v>8.3965728274173816</c:v>
                </c:pt>
                <c:pt idx="20">
                  <c:v>4.5317653807543383</c:v>
                </c:pt>
                <c:pt idx="21">
                  <c:v>3.9323173628622596</c:v>
                </c:pt>
                <c:pt idx="22">
                  <c:v>5.740600555134999</c:v>
                </c:pt>
                <c:pt idx="23">
                  <c:v>4.9713007101858153</c:v>
                </c:pt>
                <c:pt idx="24">
                  <c:v>5.8823529411764701</c:v>
                </c:pt>
                <c:pt idx="25">
                  <c:v>0.22396416573348266</c:v>
                </c:pt>
                <c:pt idx="26">
                  <c:v>5.0235478806907379</c:v>
                </c:pt>
                <c:pt idx="27">
                  <c:v>5.8271285205568146</c:v>
                </c:pt>
                <c:pt idx="28">
                  <c:v>17.089305402425577</c:v>
                </c:pt>
              </c:numCache>
            </c:numRef>
          </c:val>
        </c:ser>
        <c:ser>
          <c:idx val="0"/>
          <c:order val="1"/>
          <c:tx>
            <c:v>% Acute/Integrated SU</c:v>
          </c:tx>
          <c:spPr>
            <a:solidFill>
              <a:srgbClr val="9999FF"/>
            </a:solidFill>
            <a:ln>
              <a:solidFill>
                <a:schemeClr val="tx1"/>
              </a:solidFill>
            </a:ln>
          </c:spPr>
          <c:dPt>
            <c:idx val="0"/>
            <c:spPr>
              <a:solidFill>
                <a:srgbClr val="FF0000"/>
              </a:solidFill>
              <a:ln>
                <a:solidFill>
                  <a:schemeClr val="tx1"/>
                </a:solidFill>
              </a:ln>
            </c:spPr>
          </c:dPt>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(revised)'!$P$3:$P$31</c:f>
              <c:numCache>
                <c:formatCode>0</c:formatCode>
                <c:ptCount val="29"/>
                <c:pt idx="0">
                  <c:v>57.337341121473784</c:v>
                </c:pt>
                <c:pt idx="1">
                  <c:v>29.723173515981738</c:v>
                </c:pt>
                <c:pt idx="2">
                  <c:v>40.657421674370823</c:v>
                </c:pt>
                <c:pt idx="3">
                  <c:v>41.079535900454012</c:v>
                </c:pt>
                <c:pt idx="4">
                  <c:v>47.738693467336688</c:v>
                </c:pt>
                <c:pt idx="5">
                  <c:v>27.334083239595053</c:v>
                </c:pt>
                <c:pt idx="6">
                  <c:v>38.662027310924366</c:v>
                </c:pt>
                <c:pt idx="7">
                  <c:v>69.637162802723424</c:v>
                </c:pt>
                <c:pt idx="8">
                  <c:v>20.857307249712314</c:v>
                </c:pt>
                <c:pt idx="9">
                  <c:v>91.289370078740163</c:v>
                </c:pt>
                <c:pt idx="10">
                  <c:v>48.074644549763036</c:v>
                </c:pt>
                <c:pt idx="11">
                  <c:v>93.031461334901493</c:v>
                </c:pt>
                <c:pt idx="12">
                  <c:v>66.457788183445814</c:v>
                </c:pt>
                <c:pt idx="13">
                  <c:v>92.034188034188034</c:v>
                </c:pt>
                <c:pt idx="14">
                  <c:v>16.811594202898551</c:v>
                </c:pt>
                <c:pt idx="15">
                  <c:v>40.468583599574018</c:v>
                </c:pt>
                <c:pt idx="16">
                  <c:v>98.331595411887378</c:v>
                </c:pt>
                <c:pt idx="17">
                  <c:v>84.676063623432043</c:v>
                </c:pt>
                <c:pt idx="18">
                  <c:v>91.009968027082948</c:v>
                </c:pt>
                <c:pt idx="19">
                  <c:v>90.061199510403924</c:v>
                </c:pt>
                <c:pt idx="20">
                  <c:v>94.693819016205367</c:v>
                </c:pt>
                <c:pt idx="21">
                  <c:v>43.065453349413438</c:v>
                </c:pt>
                <c:pt idx="22">
                  <c:v>90.71410547564976</c:v>
                </c:pt>
                <c:pt idx="23">
                  <c:v>72.77945325420761</c:v>
                </c:pt>
                <c:pt idx="24">
                  <c:v>10.441176470588236</c:v>
                </c:pt>
                <c:pt idx="25">
                  <c:v>99.664053751399777</c:v>
                </c:pt>
                <c:pt idx="26">
                  <c:v>45.568716997288426</c:v>
                </c:pt>
                <c:pt idx="27">
                  <c:v>93.104564584007761</c:v>
                </c:pt>
                <c:pt idx="28">
                  <c:v>82.91069459757442</c:v>
                </c:pt>
              </c:numCache>
            </c:numRef>
          </c:val>
        </c:ser>
        <c:ser>
          <c:idx val="1"/>
          <c:order val="2"/>
          <c:tx>
            <c:v>% Rehab SU</c:v>
          </c:tx>
          <c:spPr>
            <a:solidFill>
              <a:srgbClr val="993366"/>
            </a:solidFill>
            <a:ln>
              <a:solidFill>
                <a:prstClr val="black"/>
              </a:solidFill>
            </a:ln>
          </c:spPr>
          <c:dPt>
            <c:idx val="0"/>
            <c:spPr>
              <a:solidFill>
                <a:srgbClr val="FFC000"/>
              </a:solidFill>
              <a:ln>
                <a:solidFill>
                  <a:prstClr val="black"/>
                </a:solidFill>
              </a:ln>
            </c:spPr>
          </c:dPt>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(revised)'!$R$3:$R$31</c:f>
              <c:numCache>
                <c:formatCode>0</c:formatCode>
                <c:ptCount val="29"/>
                <c:pt idx="0">
                  <c:v>30.951865050642891</c:v>
                </c:pt>
                <c:pt idx="1">
                  <c:v>63.213470319634702</c:v>
                </c:pt>
                <c:pt idx="2">
                  <c:v>55.367231638418076</c:v>
                </c:pt>
                <c:pt idx="3">
                  <c:v>1.2275096687405416</c:v>
                </c:pt>
                <c:pt idx="4">
                  <c:v>37.900026448029621</c:v>
                </c:pt>
                <c:pt idx="5">
                  <c:v>71.091113610798658</c:v>
                </c:pt>
                <c:pt idx="6">
                  <c:v>53.512342436974791</c:v>
                </c:pt>
                <c:pt idx="7">
                  <c:v>23.485305524433336</c:v>
                </c:pt>
                <c:pt idx="8">
                  <c:v>58.951175406871613</c:v>
                </c:pt>
                <c:pt idx="9">
                  <c:v>0.63976377952755903</c:v>
                </c:pt>
                <c:pt idx="10">
                  <c:v>39.375987361769354</c:v>
                </c:pt>
                <c:pt idx="11">
                  <c:v>0</c:v>
                </c:pt>
                <c:pt idx="12">
                  <c:v>25.609420190056465</c:v>
                </c:pt>
                <c:pt idx="13">
                  <c:v>1.7094017094017096E-2</c:v>
                </c:pt>
                <c:pt idx="14">
                  <c:v>82.173913043478265</c:v>
                </c:pt>
                <c:pt idx="15">
                  <c:v>58.572949946751862</c:v>
                </c:pt>
                <c:pt idx="16">
                  <c:v>0</c:v>
                </c:pt>
                <c:pt idx="17">
                  <c:v>5.1855683434630802</c:v>
                </c:pt>
                <c:pt idx="18">
                  <c:v>0</c:v>
                </c:pt>
                <c:pt idx="19">
                  <c:v>0</c:v>
                </c:pt>
                <c:pt idx="20">
                  <c:v>0.55930015775132658</c:v>
                </c:pt>
                <c:pt idx="21">
                  <c:v>43.28838212184337</c:v>
                </c:pt>
                <c:pt idx="22">
                  <c:v>0.70653545293969211</c:v>
                </c:pt>
                <c:pt idx="23">
                  <c:v>11.324058760579824</c:v>
                </c:pt>
                <c:pt idx="24">
                  <c:v>81.029411764705884</c:v>
                </c:pt>
                <c:pt idx="25">
                  <c:v>0</c:v>
                </c:pt>
                <c:pt idx="26">
                  <c:v>47.409733124018835</c:v>
                </c:pt>
                <c:pt idx="27">
                  <c:v>0.40466170281644548</c:v>
                </c:pt>
                <c:pt idx="28">
                  <c:v>0</c:v>
                </c:pt>
              </c:numCache>
            </c:numRef>
          </c:val>
        </c:ser>
        <c:ser>
          <c:idx val="2"/>
          <c:order val="3"/>
          <c:tx>
            <c:v>% Post SU</c:v>
          </c:tx>
          <c:spPr>
            <a:solidFill>
              <a:srgbClr val="FFFCCC"/>
            </a:solidFill>
            <a:ln>
              <a:solidFill>
                <a:schemeClr val="tx1"/>
              </a:solidFill>
            </a:ln>
          </c:spPr>
          <c:dPt>
            <c:idx val="0"/>
            <c:spPr>
              <a:solidFill>
                <a:srgbClr val="99CC00"/>
              </a:solidFill>
              <a:ln>
                <a:solidFill>
                  <a:schemeClr val="tx1"/>
                </a:solidFill>
              </a:ln>
            </c:spPr>
          </c:dPt>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(revised)'!$T$3:$T$31</c:f>
              <c:numCache>
                <c:formatCode>0</c:formatCode>
                <c:ptCount val="29"/>
                <c:pt idx="0">
                  <c:v>2.3502726924867803</c:v>
                </c:pt>
                <c:pt idx="1">
                  <c:v>0.42808219178082191</c:v>
                </c:pt>
                <c:pt idx="2">
                  <c:v>0</c:v>
                </c:pt>
                <c:pt idx="3">
                  <c:v>54.413990247183449</c:v>
                </c:pt>
                <c:pt idx="4">
                  <c:v>5.025125628140704</c:v>
                </c:pt>
                <c:pt idx="5">
                  <c:v>0</c:v>
                </c:pt>
                <c:pt idx="6">
                  <c:v>1.9432773109243697</c:v>
                </c:pt>
                <c:pt idx="7">
                  <c:v>9.4803068172024482E-2</c:v>
                </c:pt>
                <c:pt idx="8">
                  <c:v>2.2439585730724971</c:v>
                </c:pt>
                <c:pt idx="9">
                  <c:v>0.29527559055118108</c:v>
                </c:pt>
                <c:pt idx="10">
                  <c:v>0.46406003159557657</c:v>
                </c:pt>
                <c:pt idx="11">
                  <c:v>0</c:v>
                </c:pt>
                <c:pt idx="12">
                  <c:v>1.342790249276959</c:v>
                </c:pt>
                <c:pt idx="13">
                  <c:v>0.20512820512820512</c:v>
                </c:pt>
                <c:pt idx="14">
                  <c:v>0</c:v>
                </c:pt>
                <c:pt idx="15">
                  <c:v>0.63897763578274758</c:v>
                </c:pt>
                <c:pt idx="16">
                  <c:v>0</c:v>
                </c:pt>
                <c:pt idx="17">
                  <c:v>0</c:v>
                </c:pt>
                <c:pt idx="18">
                  <c:v>1.8807598269700961E-2</c:v>
                </c:pt>
                <c:pt idx="19">
                  <c:v>0</c:v>
                </c:pt>
                <c:pt idx="20">
                  <c:v>1.434102968593145E-2</c:v>
                </c:pt>
                <c:pt idx="21">
                  <c:v>0.55549464605489163</c:v>
                </c:pt>
                <c:pt idx="22">
                  <c:v>0.34065102195306585</c:v>
                </c:pt>
                <c:pt idx="23">
                  <c:v>9.7285728183675452E-3</c:v>
                </c:pt>
                <c:pt idx="24">
                  <c:v>0</c:v>
                </c:pt>
                <c:pt idx="25">
                  <c:v>0</c:v>
                </c:pt>
                <c:pt idx="26">
                  <c:v>1.7982017982017984</c:v>
                </c:pt>
                <c:pt idx="27">
                  <c:v>0.32372936225315635</c:v>
                </c:pt>
                <c:pt idx="28">
                  <c:v>0</c:v>
                </c:pt>
              </c:numCache>
            </c:numRef>
          </c:val>
        </c:ser>
        <c:ser>
          <c:idx val="4"/>
          <c:order val="4"/>
          <c:tx>
            <c:v>% No SU</c:v>
          </c:tx>
          <c:spPr>
            <a:solidFill>
              <a:srgbClr val="CCFFFF"/>
            </a:solidFill>
            <a:ln>
              <a:solidFill>
                <a:schemeClr val="tx1"/>
              </a:solidFill>
            </a:ln>
          </c:spPr>
          <c:dPt>
            <c:idx val="0"/>
            <c:spPr>
              <a:solidFill>
                <a:srgbClr val="969696"/>
              </a:solidFill>
              <a:ln>
                <a:solidFill>
                  <a:schemeClr val="tx1"/>
                </a:solidFill>
              </a:ln>
            </c:spPr>
          </c:dPt>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(revised)'!$V$3:$V$31</c:f>
              <c:numCache>
                <c:formatCode>0</c:formatCode>
                <c:ptCount val="29"/>
                <c:pt idx="0">
                  <c:v>4.4419139647136383</c:v>
                </c:pt>
                <c:pt idx="1">
                  <c:v>1.0987442922374429</c:v>
                </c:pt>
                <c:pt idx="2">
                  <c:v>2.2804314329738058</c:v>
                </c:pt>
                <c:pt idx="3">
                  <c:v>1.1098032621489828</c:v>
                </c:pt>
                <c:pt idx="4">
                  <c:v>3.7820682359164239</c:v>
                </c:pt>
                <c:pt idx="5">
                  <c:v>0</c:v>
                </c:pt>
                <c:pt idx="6">
                  <c:v>2.2715336134453779</c:v>
                </c:pt>
                <c:pt idx="7">
                  <c:v>0.96526760320606741</c:v>
                </c:pt>
                <c:pt idx="8">
                  <c:v>12.871938188393884</c:v>
                </c:pt>
                <c:pt idx="9">
                  <c:v>0.88582677165354329</c:v>
                </c:pt>
                <c:pt idx="10">
                  <c:v>3.3076619273301735</c:v>
                </c:pt>
                <c:pt idx="11">
                  <c:v>0</c:v>
                </c:pt>
                <c:pt idx="12">
                  <c:v>2.7234540696873708</c:v>
                </c:pt>
                <c:pt idx="13">
                  <c:v>0.54700854700854706</c:v>
                </c:pt>
                <c:pt idx="14">
                  <c:v>0.57971014492753625</c:v>
                </c:pt>
                <c:pt idx="15">
                  <c:v>0</c:v>
                </c:pt>
                <c:pt idx="16">
                  <c:v>0.41710114702815432</c:v>
                </c:pt>
                <c:pt idx="17">
                  <c:v>4.6036467089098672</c:v>
                </c:pt>
                <c:pt idx="18">
                  <c:v>0.75230393078803837</c:v>
                </c:pt>
                <c:pt idx="19">
                  <c:v>1.5422276621787026</c:v>
                </c:pt>
                <c:pt idx="20">
                  <c:v>0.20077441560304032</c:v>
                </c:pt>
                <c:pt idx="21">
                  <c:v>9.1583525198260425</c:v>
                </c:pt>
                <c:pt idx="22">
                  <c:v>2.498107494322483</c:v>
                </c:pt>
                <c:pt idx="23">
                  <c:v>10.915458702208387</c:v>
                </c:pt>
                <c:pt idx="24">
                  <c:v>2.6470588235294117</c:v>
                </c:pt>
                <c:pt idx="25">
                  <c:v>0.11198208286674133</c:v>
                </c:pt>
                <c:pt idx="26">
                  <c:v>0.19980019980019981</c:v>
                </c:pt>
                <c:pt idx="27">
                  <c:v>0.33991583036581419</c:v>
                </c:pt>
                <c:pt idx="28">
                  <c:v>0</c:v>
                </c:pt>
              </c:numCache>
            </c:numRef>
          </c:val>
        </c:ser>
        <c:overlap val="100"/>
        <c:axId val="159248384"/>
        <c:axId val="159250304"/>
      </c:barChart>
      <c:lineChart>
        <c:grouping val="standard"/>
        <c:ser>
          <c:idx val="5"/>
          <c:order val="5"/>
          <c:tx>
            <c:v>% Stayed in SU</c:v>
          </c:tx>
          <c:spPr>
            <a:ln>
              <a:noFill/>
            </a:ln>
          </c:spPr>
          <c:marker>
            <c:symbol val="square"/>
            <c:size val="8"/>
            <c:spPr>
              <a:noFill/>
              <a:ln>
                <a:solidFill>
                  <a:schemeClr val="tx1"/>
                </a:solidFill>
              </a:ln>
            </c:spPr>
          </c:marker>
          <c:cat>
            <c:strRef>
              <c:f>'Chart 13 (2014) DATA (revised)'!$A$3:$A$31</c:f>
              <c:strCache>
                <c:ptCount val="29"/>
                <c:pt idx="0">
                  <c:v>Scotland</c:v>
                </c:pt>
                <c:pt idx="1">
                  <c:v>Ayr</c:v>
                </c:pt>
                <c:pt idx="2">
                  <c:v>Crosshouse</c:v>
                </c:pt>
                <c:pt idx="3">
                  <c:v>Borders</c:v>
                </c:pt>
                <c:pt idx="4">
                  <c:v>DGRI</c:v>
                </c:pt>
                <c:pt idx="5">
                  <c:v>GCH</c:v>
                </c:pt>
                <c:pt idx="6">
                  <c:v>VHK</c:v>
                </c:pt>
                <c:pt idx="7">
                  <c:v>FVRH3</c:v>
                </c:pt>
                <c:pt idx="8">
                  <c:v>ARI</c:v>
                </c:pt>
                <c:pt idx="9">
                  <c:v>Dr Grays</c:v>
                </c:pt>
                <c:pt idx="10">
                  <c:v>GRI3</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Western Isles</c:v>
                </c:pt>
              </c:strCache>
            </c:strRef>
          </c:cat>
          <c:val>
            <c:numRef>
              <c:f>'Chart 13 (2014) DATA (revised)'!$E$3:$E$31</c:f>
              <c:numCache>
                <c:formatCode>#\ ###\ ##0</c:formatCode>
                <c:ptCount val="29"/>
                <c:pt idx="0">
                  <c:v>88.2508935777701</c:v>
                </c:pt>
                <c:pt idx="1">
                  <c:v>96.610169491525426</c:v>
                </c:pt>
                <c:pt idx="2">
                  <c:v>93.674698795180717</c:v>
                </c:pt>
                <c:pt idx="3">
                  <c:v>89.473684210526315</c:v>
                </c:pt>
                <c:pt idx="4">
                  <c:v>86.56126482213439</c:v>
                </c:pt>
                <c:pt idx="5">
                  <c:v>100</c:v>
                </c:pt>
                <c:pt idx="6">
                  <c:v>77.346278317152112</c:v>
                </c:pt>
                <c:pt idx="7">
                  <c:v>88.8</c:v>
                </c:pt>
                <c:pt idx="8">
                  <c:v>76.602564102564102</c:v>
                </c:pt>
                <c:pt idx="9">
                  <c:v>89.189189189189193</c:v>
                </c:pt>
                <c:pt idx="10">
                  <c:v>93.621399176954739</c:v>
                </c:pt>
                <c:pt idx="11">
                  <c:v>100</c:v>
                </c:pt>
                <c:pt idx="12">
                  <c:v>91.587163920208141</c:v>
                </c:pt>
                <c:pt idx="13">
                  <c:v>99.731182795698928</c:v>
                </c:pt>
                <c:pt idx="14">
                  <c:v>100</c:v>
                </c:pt>
                <c:pt idx="15">
                  <c:v>100</c:v>
                </c:pt>
                <c:pt idx="16">
                  <c:v>97.674418604651152</c:v>
                </c:pt>
                <c:pt idx="17">
                  <c:v>76.307692307692307</c:v>
                </c:pt>
                <c:pt idx="18">
                  <c:v>97.857142857142847</c:v>
                </c:pt>
                <c:pt idx="19">
                  <c:v>96.219931271477662</c:v>
                </c:pt>
                <c:pt idx="20">
                  <c:v>98.554913294797686</c:v>
                </c:pt>
                <c:pt idx="21">
                  <c:v>76.51775486827033</c:v>
                </c:pt>
                <c:pt idx="22">
                  <c:v>84.051724137931032</c:v>
                </c:pt>
                <c:pt idx="23">
                  <c:v>72.012578616352201</c:v>
                </c:pt>
                <c:pt idx="24">
                  <c:v>80.555555555555557</c:v>
                </c:pt>
                <c:pt idx="25">
                  <c:v>100</c:v>
                </c:pt>
                <c:pt idx="26">
                  <c:v>99.738903394255871</c:v>
                </c:pt>
                <c:pt idx="27">
                  <c:v>94.845360824742258</c:v>
                </c:pt>
                <c:pt idx="28">
                  <c:v>100</c:v>
                </c:pt>
              </c:numCache>
            </c:numRef>
          </c:val>
        </c:ser>
        <c:marker val="1"/>
        <c:axId val="159248384"/>
        <c:axId val="159250304"/>
      </c:lineChart>
      <c:catAx>
        <c:axId val="159248384"/>
        <c:scaling>
          <c:orientation val="minMax"/>
        </c:scaling>
        <c:axPos val="b"/>
        <c:tickLblPos val="nextTo"/>
        <c:txPr>
          <a:bodyPr rot="-5400000" vert="horz"/>
          <a:lstStyle/>
          <a:p>
            <a:pPr>
              <a:defRPr sz="800"/>
            </a:pPr>
            <a:endParaRPr lang="en-US"/>
          </a:p>
        </c:txPr>
        <c:crossAx val="159250304"/>
        <c:crosses val="autoZero"/>
        <c:auto val="1"/>
        <c:lblAlgn val="ctr"/>
        <c:lblOffset val="100"/>
      </c:catAx>
      <c:valAx>
        <c:axId val="159250304"/>
        <c:scaling>
          <c:orientation val="minMax"/>
          <c:max val="100"/>
        </c:scaling>
        <c:axPos val="l"/>
        <c:title>
          <c:tx>
            <c:rich>
              <a:bodyPr rot="0" vert="horz"/>
              <a:lstStyle/>
              <a:p>
                <a:pPr>
                  <a:defRPr b="0"/>
                </a:pPr>
                <a:r>
                  <a:rPr lang="en-GB" b="0"/>
                  <a:t>%</a:t>
                </a:r>
              </a:p>
            </c:rich>
          </c:tx>
          <c:layout/>
        </c:title>
        <c:numFmt formatCode="0" sourceLinked="0"/>
        <c:tickLblPos val="nextTo"/>
        <c:txPr>
          <a:bodyPr/>
          <a:lstStyle/>
          <a:p>
            <a:pPr>
              <a:defRPr sz="800"/>
            </a:pPr>
            <a:endParaRPr lang="en-US"/>
          </a:p>
        </c:txPr>
        <c:crossAx val="159248384"/>
        <c:crosses val="autoZero"/>
        <c:crossBetween val="between"/>
      </c:valAx>
      <c:spPr>
        <a:ln>
          <a:solidFill>
            <a:schemeClr val="tx1"/>
          </a:solidFill>
        </a:ln>
      </c:spPr>
    </c:plotArea>
    <c:legend>
      <c:legendPos val="r"/>
      <c:layout>
        <c:manualLayout>
          <c:xMode val="edge"/>
          <c:yMode val="edge"/>
          <c:x val="0.8721598121402756"/>
          <c:y val="0.33652773666449748"/>
          <c:w val="0.11801170839046546"/>
          <c:h val="0.32694452667100832"/>
        </c:manualLayout>
      </c:layout>
      <c:spPr>
        <a:ln>
          <a:solidFill>
            <a:schemeClr val="tx1"/>
          </a:solidFill>
        </a:ln>
      </c:spPr>
      <c:txPr>
        <a:bodyPr/>
        <a:lstStyle/>
        <a:p>
          <a:pPr>
            <a:defRPr sz="800"/>
          </a:pPr>
          <a:endParaRPr lang="en-US"/>
        </a:p>
      </c:txPr>
    </c:legend>
    <c:plotVisOnly val="1"/>
    <c:dispBlanksAs val="gap"/>
  </c:chart>
  <c:txPr>
    <a:bodyPr/>
    <a:lstStyle/>
    <a:p>
      <a:pPr>
        <a:defRPr sz="1000">
          <a:latin typeface="Arial" pitchFamily="34" charset="0"/>
          <a:cs typeface="Arial" pitchFamily="34" charset="0"/>
        </a:defRPr>
      </a:pPr>
      <a:endParaRPr lang="en-US"/>
    </a:p>
  </c:txPr>
  <c:printSettings>
    <c:headerFooter/>
    <c:pageMargins b="0.75000000000000433" l="0.70000000000000062" r="0.70000000000000062" t="0.750000000000004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966187727520134E-2"/>
          <c:y val="6.2753036437249554E-2"/>
          <c:w val="0.7898313800222484"/>
          <c:h val="0.76113360323889534"/>
        </c:manualLayout>
      </c:layout>
      <c:barChart>
        <c:barDir val="col"/>
        <c:grouping val="percentStacked"/>
        <c:ser>
          <c:idx val="0"/>
          <c:order val="0"/>
          <c:tx>
            <c:strRef>
              <c:f>'Chart 14a (2015) DATA'!$C$2</c:f>
              <c:strCache>
                <c:ptCount val="1"/>
                <c:pt idx="0">
                  <c:v>Initial Only</c:v>
                </c:pt>
              </c:strCache>
            </c:strRef>
          </c:tx>
          <c:spPr>
            <a:solidFill>
              <a:srgbClr val="9999FF"/>
            </a:solidFill>
            <a:ln w="12700">
              <a:solidFill>
                <a:srgbClr val="000000"/>
              </a:solidFill>
              <a:prstDash val="solid"/>
            </a:ln>
          </c:spPr>
          <c:dPt>
            <c:idx val="0"/>
            <c:spPr>
              <a:solidFill>
                <a:srgbClr val="008000"/>
              </a:solidFill>
              <a:ln w="12700">
                <a:solidFill>
                  <a:srgbClr val="000000"/>
                </a:solidFill>
                <a:prstDash val="solid"/>
              </a:ln>
            </c:spPr>
          </c:dPt>
          <c:dPt>
            <c:idx val="31"/>
            <c:spPr>
              <a:solidFill>
                <a:srgbClr val="008000"/>
              </a:solidFill>
              <a:ln w="12700">
                <a:solidFill>
                  <a:srgbClr val="000000"/>
                </a:solidFill>
                <a:prstDash val="solid"/>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DATA'!$C$3:$C$32</c:f>
              <c:numCache>
                <c:formatCode>0</c:formatCode>
                <c:ptCount val="30"/>
                <c:pt idx="0">
                  <c:v>13.378119001919387</c:v>
                </c:pt>
                <c:pt idx="1">
                  <c:v>23.391812865497073</c:v>
                </c:pt>
                <c:pt idx="2">
                  <c:v>30.590339892665476</c:v>
                </c:pt>
                <c:pt idx="3">
                  <c:v>9.1286307053941904</c:v>
                </c:pt>
                <c:pt idx="4">
                  <c:v>9.3283582089552244</c:v>
                </c:pt>
                <c:pt idx="5">
                  <c:v>9.0909090909090917</c:v>
                </c:pt>
                <c:pt idx="6">
                  <c:v>9.8150782361308675</c:v>
                </c:pt>
                <c:pt idx="7">
                  <c:v>13.65079365079365</c:v>
                </c:pt>
                <c:pt idx="8">
                  <c:v>11.719745222929937</c:v>
                </c:pt>
                <c:pt idx="9">
                  <c:v>0</c:v>
                </c:pt>
                <c:pt idx="10">
                  <c:v>18.209876543209877</c:v>
                </c:pt>
                <c:pt idx="11">
                  <c:v>15.936254980079681</c:v>
                </c:pt>
                <c:pt idx="12">
                  <c:v>18.005738880918219</c:v>
                </c:pt>
                <c:pt idx="13">
                  <c:v>16.467780429594274</c:v>
                </c:pt>
                <c:pt idx="14">
                  <c:v>15.151515151515152</c:v>
                </c:pt>
                <c:pt idx="15">
                  <c:v>17.241379310344829</c:v>
                </c:pt>
                <c:pt idx="16">
                  <c:v>10</c:v>
                </c:pt>
                <c:pt idx="17">
                  <c:v>12.158808933002481</c:v>
                </c:pt>
                <c:pt idx="18">
                  <c:v>3.215434083601286</c:v>
                </c:pt>
                <c:pt idx="19">
                  <c:v>2.4096385542168677</c:v>
                </c:pt>
                <c:pt idx="20">
                  <c:v>5.444126074498568</c:v>
                </c:pt>
                <c:pt idx="21">
                  <c:v>12.813370473537605</c:v>
                </c:pt>
                <c:pt idx="22">
                  <c:v>1.1904761904761905</c:v>
                </c:pt>
                <c:pt idx="23">
                  <c:v>13.745704467353953</c:v>
                </c:pt>
                <c:pt idx="24">
                  <c:v>38.461538461538467</c:v>
                </c:pt>
                <c:pt idx="25">
                  <c:v>7.8947368421052628</c:v>
                </c:pt>
                <c:pt idx="26">
                  <c:v>8.146639511201629</c:v>
                </c:pt>
                <c:pt idx="27">
                  <c:v>3.6458333333333335</c:v>
                </c:pt>
                <c:pt idx="28">
                  <c:v>0</c:v>
                </c:pt>
                <c:pt idx="29">
                  <c:v>0</c:v>
                </c:pt>
              </c:numCache>
            </c:numRef>
          </c:val>
        </c:ser>
        <c:ser>
          <c:idx val="1"/>
          <c:order val="1"/>
          <c:tx>
            <c:strRef>
              <c:f>'Chart 14a (2015) DATA'!$E$2</c:f>
              <c:strCache>
                <c:ptCount val="1"/>
                <c:pt idx="0">
                  <c:v>Initial AND Final</c:v>
                </c:pt>
              </c:strCache>
            </c:strRef>
          </c:tx>
          <c:spPr>
            <a:solidFill>
              <a:srgbClr val="993366"/>
            </a:solidFill>
            <a:ln>
              <a:solidFill>
                <a:schemeClr val="tx1"/>
              </a:solidFill>
            </a:ln>
          </c:spPr>
          <c:dPt>
            <c:idx val="0"/>
            <c:spPr>
              <a:solidFill>
                <a:srgbClr val="FF0000"/>
              </a:solidFill>
              <a:ln>
                <a:solidFill>
                  <a:schemeClr val="tx1"/>
                </a:solidFill>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DATA'!$E$3:$E$32</c:f>
              <c:numCache>
                <c:formatCode>0</c:formatCode>
                <c:ptCount val="30"/>
                <c:pt idx="0">
                  <c:v>72.341650671785033</c:v>
                </c:pt>
                <c:pt idx="1">
                  <c:v>62.865497076023388</c:v>
                </c:pt>
                <c:pt idx="2">
                  <c:v>54.919499105545619</c:v>
                </c:pt>
                <c:pt idx="3">
                  <c:v>77.593360995850631</c:v>
                </c:pt>
                <c:pt idx="4">
                  <c:v>72.014925373134332</c:v>
                </c:pt>
                <c:pt idx="5">
                  <c:v>77.272727272727266</c:v>
                </c:pt>
                <c:pt idx="6">
                  <c:v>83.214793741109531</c:v>
                </c:pt>
                <c:pt idx="7">
                  <c:v>69.365079365079367</c:v>
                </c:pt>
                <c:pt idx="8">
                  <c:v>69.681528662420376</c:v>
                </c:pt>
                <c:pt idx="9">
                  <c:v>85.384615384615387</c:v>
                </c:pt>
                <c:pt idx="10">
                  <c:v>71.759259259259252</c:v>
                </c:pt>
                <c:pt idx="11">
                  <c:v>71.713147410358573</c:v>
                </c:pt>
                <c:pt idx="12">
                  <c:v>73.744619799139173</c:v>
                </c:pt>
                <c:pt idx="13">
                  <c:v>71.360381861575178</c:v>
                </c:pt>
                <c:pt idx="14">
                  <c:v>81.818181818181827</c:v>
                </c:pt>
                <c:pt idx="15">
                  <c:v>75.862068965517238</c:v>
                </c:pt>
                <c:pt idx="16">
                  <c:v>82</c:v>
                </c:pt>
                <c:pt idx="17">
                  <c:v>83.870967741935488</c:v>
                </c:pt>
                <c:pt idx="18">
                  <c:v>68.488745980707392</c:v>
                </c:pt>
                <c:pt idx="19">
                  <c:v>75</c:v>
                </c:pt>
                <c:pt idx="20">
                  <c:v>78.796561604584525</c:v>
                </c:pt>
                <c:pt idx="21">
                  <c:v>65.645311049210775</c:v>
                </c:pt>
                <c:pt idx="22">
                  <c:v>81.746031746031747</c:v>
                </c:pt>
                <c:pt idx="23">
                  <c:v>71.477663230240552</c:v>
                </c:pt>
                <c:pt idx="24">
                  <c:v>60</c:v>
                </c:pt>
                <c:pt idx="25">
                  <c:v>84.210526315789465</c:v>
                </c:pt>
                <c:pt idx="26">
                  <c:v>76.578411405295313</c:v>
                </c:pt>
                <c:pt idx="27">
                  <c:v>72.395833333333343</c:v>
                </c:pt>
                <c:pt idx="28">
                  <c:v>100</c:v>
                </c:pt>
                <c:pt idx="29">
                  <c:v>97.058823529411768</c:v>
                </c:pt>
              </c:numCache>
            </c:numRef>
          </c:val>
        </c:ser>
        <c:ser>
          <c:idx val="2"/>
          <c:order val="2"/>
          <c:tx>
            <c:strRef>
              <c:f>'Chart 14a (2015) DATA'!$G$2</c:f>
              <c:strCache>
                <c:ptCount val="1"/>
                <c:pt idx="0">
                  <c:v>Final Only</c:v>
                </c:pt>
              </c:strCache>
            </c:strRef>
          </c:tx>
          <c:spPr>
            <a:solidFill>
              <a:srgbClr val="FFE29B"/>
            </a:solidFill>
            <a:ln>
              <a:solidFill>
                <a:schemeClr val="tx1"/>
              </a:solidFill>
            </a:ln>
          </c:spPr>
          <c:dPt>
            <c:idx val="0"/>
            <c:spPr>
              <a:solidFill>
                <a:srgbClr val="99CC00"/>
              </a:solidFill>
              <a:ln>
                <a:solidFill>
                  <a:schemeClr val="tx1"/>
                </a:solidFill>
              </a:ln>
            </c:spPr>
          </c:dPt>
          <c:cat>
            <c:strRef>
              <c:f>'Chart 14a (2015)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(2015) DATA'!$G$3:$G$32</c:f>
              <c:numCache>
                <c:formatCode>0</c:formatCode>
                <c:ptCount val="30"/>
                <c:pt idx="0">
                  <c:v>14.280230326295584</c:v>
                </c:pt>
                <c:pt idx="1">
                  <c:v>13.742690058479532</c:v>
                </c:pt>
                <c:pt idx="2">
                  <c:v>14.490161001788909</c:v>
                </c:pt>
                <c:pt idx="3">
                  <c:v>13.278008298755188</c:v>
                </c:pt>
                <c:pt idx="4">
                  <c:v>18.656716417910449</c:v>
                </c:pt>
                <c:pt idx="5">
                  <c:v>13.636363636363635</c:v>
                </c:pt>
                <c:pt idx="6">
                  <c:v>6.9701280227596012</c:v>
                </c:pt>
                <c:pt idx="7">
                  <c:v>16.984126984126984</c:v>
                </c:pt>
                <c:pt idx="8">
                  <c:v>18.598726114649679</c:v>
                </c:pt>
                <c:pt idx="9">
                  <c:v>14.615384615384617</c:v>
                </c:pt>
                <c:pt idx="10">
                  <c:v>10.030864197530864</c:v>
                </c:pt>
                <c:pt idx="11">
                  <c:v>12.350597609561753</c:v>
                </c:pt>
                <c:pt idx="12">
                  <c:v>8.2496413199426097</c:v>
                </c:pt>
                <c:pt idx="13">
                  <c:v>12.17183770883055</c:v>
                </c:pt>
                <c:pt idx="14">
                  <c:v>3.0303030303030303</c:v>
                </c:pt>
                <c:pt idx="15">
                  <c:v>6.8965517241379306</c:v>
                </c:pt>
                <c:pt idx="16">
                  <c:v>8</c:v>
                </c:pt>
                <c:pt idx="17">
                  <c:v>3.9702233250620349</c:v>
                </c:pt>
                <c:pt idx="18">
                  <c:v>28.29581993569132</c:v>
                </c:pt>
                <c:pt idx="19">
                  <c:v>22.590361445783135</c:v>
                </c:pt>
                <c:pt idx="20">
                  <c:v>15.759312320916905</c:v>
                </c:pt>
                <c:pt idx="21">
                  <c:v>21.541318477251625</c:v>
                </c:pt>
                <c:pt idx="22">
                  <c:v>17.063492063492063</c:v>
                </c:pt>
                <c:pt idx="23">
                  <c:v>14.776632302405499</c:v>
                </c:pt>
                <c:pt idx="24">
                  <c:v>1.5384615384615385</c:v>
                </c:pt>
                <c:pt idx="25">
                  <c:v>7.8947368421052628</c:v>
                </c:pt>
                <c:pt idx="26">
                  <c:v>15.274949083503056</c:v>
                </c:pt>
                <c:pt idx="27">
                  <c:v>23.958333333333336</c:v>
                </c:pt>
                <c:pt idx="28">
                  <c:v>0</c:v>
                </c:pt>
                <c:pt idx="29">
                  <c:v>2.9411764705882351</c:v>
                </c:pt>
              </c:numCache>
            </c:numRef>
          </c:val>
        </c:ser>
        <c:overlap val="100"/>
        <c:axId val="160072832"/>
        <c:axId val="160074368"/>
      </c:barChart>
      <c:catAx>
        <c:axId val="160072832"/>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0074368"/>
        <c:crosses val="autoZero"/>
        <c:auto val="1"/>
        <c:lblAlgn val="ctr"/>
        <c:lblOffset val="100"/>
        <c:tickLblSkip val="1"/>
        <c:tickMarkSkip val="1"/>
      </c:catAx>
      <c:valAx>
        <c:axId val="160074368"/>
        <c:scaling>
          <c:orientation val="minMax"/>
          <c:max val="1"/>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0072832"/>
        <c:crosses val="autoZero"/>
        <c:crossBetween val="between"/>
      </c:valAx>
      <c:spPr>
        <a:solidFill>
          <a:srgbClr val="FF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21" r="0.75000000000001421"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7966187727520134E-2"/>
          <c:y val="6.2753036437249582E-2"/>
          <c:w val="0.78983138002224818"/>
          <c:h val="0.76113360323889589"/>
        </c:manualLayout>
      </c:layout>
      <c:barChart>
        <c:barDir val="col"/>
        <c:grouping val="percentStacked"/>
        <c:ser>
          <c:idx val="0"/>
          <c:order val="0"/>
          <c:tx>
            <c:strRef>
              <c:f>'Chart 14a (2014) DATA'!$C$2</c:f>
              <c:strCache>
                <c:ptCount val="1"/>
                <c:pt idx="0">
                  <c:v>Initial Only</c:v>
                </c:pt>
              </c:strCache>
            </c:strRef>
          </c:tx>
          <c:spPr>
            <a:solidFill>
              <a:srgbClr val="9999FF"/>
            </a:solidFill>
            <a:ln w="12700">
              <a:solidFill>
                <a:srgbClr val="000000"/>
              </a:solidFill>
              <a:prstDash val="solid"/>
            </a:ln>
          </c:spPr>
          <c:dPt>
            <c:idx val="0"/>
            <c:spPr>
              <a:solidFill>
                <a:srgbClr val="008000"/>
              </a:solidFill>
              <a:ln w="12700">
                <a:solidFill>
                  <a:srgbClr val="000000"/>
                </a:solidFill>
                <a:prstDash val="solid"/>
              </a:ln>
            </c:spPr>
          </c:dPt>
          <c:dPt>
            <c:idx val="31"/>
            <c:spPr>
              <a:solidFill>
                <a:srgbClr val="008000"/>
              </a:solidFill>
              <a:ln w="12700">
                <a:solidFill>
                  <a:srgbClr val="000000"/>
                </a:solidFill>
                <a:prstDash val="solid"/>
              </a:ln>
            </c:spPr>
          </c:dPt>
          <c:cat>
            <c:strRef>
              <c:f>'Chart 14a (2014)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(2014) DATA'!$C$3:$C$32</c:f>
              <c:numCache>
                <c:formatCode>0</c:formatCode>
                <c:ptCount val="30"/>
                <c:pt idx="0">
                  <c:v>14.926971762414802</c:v>
                </c:pt>
                <c:pt idx="1">
                  <c:v>32.735426008968609</c:v>
                </c:pt>
                <c:pt idx="2">
                  <c:v>26.21145374449339</c:v>
                </c:pt>
                <c:pt idx="3">
                  <c:v>8.0357142857142865</c:v>
                </c:pt>
                <c:pt idx="4">
                  <c:v>11.578947368421053</c:v>
                </c:pt>
                <c:pt idx="5">
                  <c:v>13.333333333333334</c:v>
                </c:pt>
                <c:pt idx="6">
                  <c:v>8.7082728592162546</c:v>
                </c:pt>
                <c:pt idx="7">
                  <c:v>9.8039215686274517</c:v>
                </c:pt>
                <c:pt idx="8">
                  <c:v>8.1723625557206532</c:v>
                </c:pt>
                <c:pt idx="9">
                  <c:v>1.8181818181818181</c:v>
                </c:pt>
                <c:pt idx="10">
                  <c:v>25.11415525114155</c:v>
                </c:pt>
                <c:pt idx="11">
                  <c:v>18.823529411764707</c:v>
                </c:pt>
                <c:pt idx="12">
                  <c:v>19.78319783197832</c:v>
                </c:pt>
                <c:pt idx="13">
                  <c:v>23.602484472049689</c:v>
                </c:pt>
                <c:pt idx="14">
                  <c:v>3.225806451612903</c:v>
                </c:pt>
                <c:pt idx="15">
                  <c:v>7.8947368421052628</c:v>
                </c:pt>
                <c:pt idx="16">
                  <c:v>16</c:v>
                </c:pt>
                <c:pt idx="17">
                  <c:v>9.4707520891364894</c:v>
                </c:pt>
                <c:pt idx="18">
                  <c:v>1.0452961672473868</c:v>
                </c:pt>
                <c:pt idx="19">
                  <c:v>0.67114093959731547</c:v>
                </c:pt>
                <c:pt idx="20">
                  <c:v>6.7750677506775059</c:v>
                </c:pt>
                <c:pt idx="21">
                  <c:v>19.255813953488371</c:v>
                </c:pt>
                <c:pt idx="22">
                  <c:v>4.0983606557377046</c:v>
                </c:pt>
                <c:pt idx="23">
                  <c:v>11.294765840220386</c:v>
                </c:pt>
                <c:pt idx="24">
                  <c:v>25.925925925925924</c:v>
                </c:pt>
                <c:pt idx="25">
                  <c:v>0</c:v>
                </c:pt>
                <c:pt idx="26">
                  <c:v>10.829493087557603</c:v>
                </c:pt>
                <c:pt idx="27">
                  <c:v>7.2115384615384608</c:v>
                </c:pt>
                <c:pt idx="28">
                  <c:v>100</c:v>
                </c:pt>
                <c:pt idx="29">
                  <c:v>21.428571428571427</c:v>
                </c:pt>
              </c:numCache>
            </c:numRef>
          </c:val>
        </c:ser>
        <c:ser>
          <c:idx val="1"/>
          <c:order val="1"/>
          <c:tx>
            <c:strRef>
              <c:f>'Chart 14a (2014) DATA'!$E$2</c:f>
              <c:strCache>
                <c:ptCount val="1"/>
                <c:pt idx="0">
                  <c:v>Initial AND Final</c:v>
                </c:pt>
              </c:strCache>
            </c:strRef>
          </c:tx>
          <c:spPr>
            <a:solidFill>
              <a:srgbClr val="993366"/>
            </a:solidFill>
            <a:ln>
              <a:solidFill>
                <a:schemeClr val="tx1"/>
              </a:solidFill>
            </a:ln>
          </c:spPr>
          <c:dPt>
            <c:idx val="0"/>
            <c:spPr>
              <a:solidFill>
                <a:srgbClr val="FF0000"/>
              </a:solidFill>
              <a:ln>
                <a:solidFill>
                  <a:schemeClr val="tx1"/>
                </a:solidFill>
              </a:ln>
            </c:spPr>
          </c:dPt>
          <c:cat>
            <c:strRef>
              <c:f>'Chart 14a (2014)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(2014) DATA'!$E$3:$E$32</c:f>
              <c:numCache>
                <c:formatCode>0</c:formatCode>
                <c:ptCount val="30"/>
                <c:pt idx="0">
                  <c:v>70.65238558909445</c:v>
                </c:pt>
                <c:pt idx="1">
                  <c:v>54.035874439461885</c:v>
                </c:pt>
                <c:pt idx="2">
                  <c:v>58.149779735682813</c:v>
                </c:pt>
                <c:pt idx="3">
                  <c:v>82.589285714285708</c:v>
                </c:pt>
                <c:pt idx="4">
                  <c:v>70.526315789473685</c:v>
                </c:pt>
                <c:pt idx="5">
                  <c:v>82.222222222222214</c:v>
                </c:pt>
                <c:pt idx="6">
                  <c:v>76.487663280116109</c:v>
                </c:pt>
                <c:pt idx="7">
                  <c:v>69.696969696969703</c:v>
                </c:pt>
                <c:pt idx="8">
                  <c:v>70.133729569093603</c:v>
                </c:pt>
                <c:pt idx="9">
                  <c:v>95.454545454545453</c:v>
                </c:pt>
                <c:pt idx="10">
                  <c:v>65.753424657534239</c:v>
                </c:pt>
                <c:pt idx="11">
                  <c:v>65.490196078431367</c:v>
                </c:pt>
                <c:pt idx="12">
                  <c:v>72.289972899728994</c:v>
                </c:pt>
                <c:pt idx="13">
                  <c:v>64.389233954451342</c:v>
                </c:pt>
                <c:pt idx="14">
                  <c:v>87.096774193548384</c:v>
                </c:pt>
                <c:pt idx="15">
                  <c:v>75</c:v>
                </c:pt>
                <c:pt idx="16">
                  <c:v>80</c:v>
                </c:pt>
                <c:pt idx="17">
                  <c:v>86.629526462395546</c:v>
                </c:pt>
                <c:pt idx="18">
                  <c:v>65.505226480836228</c:v>
                </c:pt>
                <c:pt idx="19">
                  <c:v>76.510067114093957</c:v>
                </c:pt>
                <c:pt idx="20">
                  <c:v>79.403794037940372</c:v>
                </c:pt>
                <c:pt idx="21">
                  <c:v>62.139534883720927</c:v>
                </c:pt>
                <c:pt idx="22">
                  <c:v>80.737704918032776</c:v>
                </c:pt>
                <c:pt idx="23">
                  <c:v>71.900826446281002</c:v>
                </c:pt>
                <c:pt idx="24">
                  <c:v>70.370370370370367</c:v>
                </c:pt>
                <c:pt idx="25">
                  <c:v>91.428571428571431</c:v>
                </c:pt>
                <c:pt idx="26">
                  <c:v>77.188940092165907</c:v>
                </c:pt>
                <c:pt idx="27">
                  <c:v>76.923076923076934</c:v>
                </c:pt>
                <c:pt idx="28">
                  <c:v>0</c:v>
                </c:pt>
                <c:pt idx="29">
                  <c:v>75</c:v>
                </c:pt>
              </c:numCache>
            </c:numRef>
          </c:val>
        </c:ser>
        <c:ser>
          <c:idx val="2"/>
          <c:order val="2"/>
          <c:tx>
            <c:strRef>
              <c:f>'Chart 14a (2014) DATA'!$G$2</c:f>
              <c:strCache>
                <c:ptCount val="1"/>
                <c:pt idx="0">
                  <c:v>Final Only</c:v>
                </c:pt>
              </c:strCache>
            </c:strRef>
          </c:tx>
          <c:spPr>
            <a:solidFill>
              <a:srgbClr val="FFE29B"/>
            </a:solidFill>
            <a:ln>
              <a:solidFill>
                <a:schemeClr val="tx1"/>
              </a:solidFill>
            </a:ln>
          </c:spPr>
          <c:dPt>
            <c:idx val="0"/>
            <c:spPr>
              <a:solidFill>
                <a:srgbClr val="99CC00"/>
              </a:solidFill>
              <a:ln>
                <a:solidFill>
                  <a:schemeClr val="tx1"/>
                </a:solidFill>
              </a:ln>
            </c:spPr>
          </c:dPt>
          <c:cat>
            <c:strRef>
              <c:f>'Chart 14a (2014) DATA'!$A$3:$A$32</c:f>
              <c:strCache>
                <c:ptCount val="30"/>
                <c:pt idx="0">
                  <c:v>Scotland</c:v>
                </c:pt>
                <c:pt idx="1">
                  <c:v>Ayr</c:v>
                </c:pt>
                <c:pt idx="2">
                  <c:v>Crosshouse</c:v>
                </c:pt>
                <c:pt idx="3">
                  <c:v>Borders</c:v>
                </c:pt>
                <c:pt idx="4">
                  <c:v>DGRI</c:v>
                </c:pt>
                <c:pt idx="5">
                  <c:v>GCH</c:v>
                </c:pt>
                <c:pt idx="6">
                  <c:v>VHK</c:v>
                </c:pt>
                <c:pt idx="7">
                  <c:v>FVRH</c:v>
                </c:pt>
                <c:pt idx="8">
                  <c:v>ARI</c:v>
                </c:pt>
                <c:pt idx="9">
                  <c:v>Dr Grays</c:v>
                </c:pt>
                <c:pt idx="10">
                  <c:v>GRI</c:v>
                </c:pt>
                <c:pt idx="11">
                  <c:v>IRH</c:v>
                </c:pt>
                <c:pt idx="12">
                  <c:v>QEUH</c:v>
                </c:pt>
                <c:pt idx="13">
                  <c:v>RAH</c:v>
                </c:pt>
                <c:pt idx="14">
                  <c:v>Belford</c:v>
                </c:pt>
                <c:pt idx="15">
                  <c:v>Caithness</c:v>
                </c:pt>
                <c:pt idx="16">
                  <c:v>L&amp;I</c:v>
                </c:pt>
                <c:pt idx="17">
                  <c:v>Raigmore</c:v>
                </c:pt>
                <c:pt idx="18">
                  <c:v>Hairmyres</c:v>
                </c:pt>
                <c:pt idx="19">
                  <c:v>Monklands</c:v>
                </c:pt>
                <c:pt idx="20">
                  <c:v>Wishaw</c:v>
                </c:pt>
                <c:pt idx="21">
                  <c:v>RIE</c:v>
                </c:pt>
                <c:pt idx="22">
                  <c:v>SJH</c:v>
                </c:pt>
                <c:pt idx="23">
                  <c:v>WGH</c:v>
                </c:pt>
                <c:pt idx="24">
                  <c:v>Balfour</c:v>
                </c:pt>
                <c:pt idx="25">
                  <c:v>Gilbert Bain</c:v>
                </c:pt>
                <c:pt idx="26">
                  <c:v>Ninewells</c:v>
                </c:pt>
                <c:pt idx="27">
                  <c:v>PRI</c:v>
                </c:pt>
                <c:pt idx="28">
                  <c:v>Uist &amp; Barra</c:v>
                </c:pt>
                <c:pt idx="29">
                  <c:v>Western Isles</c:v>
                </c:pt>
              </c:strCache>
            </c:strRef>
          </c:cat>
          <c:val>
            <c:numRef>
              <c:f>'Chart 14a (2014) DATA'!$G$3:$G$32</c:f>
              <c:numCache>
                <c:formatCode>0</c:formatCode>
                <c:ptCount val="30"/>
                <c:pt idx="0">
                  <c:v>14.42064264849075</c:v>
                </c:pt>
                <c:pt idx="1">
                  <c:v>13.228699551569505</c:v>
                </c:pt>
                <c:pt idx="2">
                  <c:v>15.638766519823788</c:v>
                </c:pt>
                <c:pt idx="3">
                  <c:v>9.375</c:v>
                </c:pt>
                <c:pt idx="4">
                  <c:v>17.894736842105264</c:v>
                </c:pt>
                <c:pt idx="5">
                  <c:v>4.4444444444444446</c:v>
                </c:pt>
                <c:pt idx="6">
                  <c:v>14.804063860667634</c:v>
                </c:pt>
                <c:pt idx="7">
                  <c:v>20.499108734402853</c:v>
                </c:pt>
                <c:pt idx="8">
                  <c:v>21.693907875185737</c:v>
                </c:pt>
                <c:pt idx="9">
                  <c:v>2.7272727272727271</c:v>
                </c:pt>
                <c:pt idx="10">
                  <c:v>9.1324200913241995</c:v>
                </c:pt>
                <c:pt idx="11">
                  <c:v>15.686274509803921</c:v>
                </c:pt>
                <c:pt idx="12">
                  <c:v>7.9268292682926829</c:v>
                </c:pt>
                <c:pt idx="13">
                  <c:v>12.008281573498964</c:v>
                </c:pt>
                <c:pt idx="14">
                  <c:v>9.67741935483871</c:v>
                </c:pt>
                <c:pt idx="15">
                  <c:v>17.105263157894736</c:v>
                </c:pt>
                <c:pt idx="16">
                  <c:v>4</c:v>
                </c:pt>
                <c:pt idx="17">
                  <c:v>3.8997214484679668</c:v>
                </c:pt>
                <c:pt idx="18">
                  <c:v>33.449477351916379</c:v>
                </c:pt>
                <c:pt idx="19">
                  <c:v>22.818791946308725</c:v>
                </c:pt>
                <c:pt idx="20">
                  <c:v>13.821138211382115</c:v>
                </c:pt>
                <c:pt idx="21">
                  <c:v>18.604651162790699</c:v>
                </c:pt>
                <c:pt idx="22">
                  <c:v>15.163934426229508</c:v>
                </c:pt>
                <c:pt idx="23">
                  <c:v>16.804407713498623</c:v>
                </c:pt>
                <c:pt idx="24">
                  <c:v>3.7037037037037033</c:v>
                </c:pt>
                <c:pt idx="25">
                  <c:v>8.5714285714285712</c:v>
                </c:pt>
                <c:pt idx="26">
                  <c:v>11.981566820276496</c:v>
                </c:pt>
                <c:pt idx="27">
                  <c:v>15.865384615384615</c:v>
                </c:pt>
                <c:pt idx="28">
                  <c:v>0</c:v>
                </c:pt>
                <c:pt idx="29">
                  <c:v>3.5714285714285712</c:v>
                </c:pt>
              </c:numCache>
            </c:numRef>
          </c:val>
        </c:ser>
        <c:overlap val="100"/>
        <c:axId val="161221248"/>
        <c:axId val="161231232"/>
      </c:barChart>
      <c:catAx>
        <c:axId val="161221248"/>
        <c:scaling>
          <c:orientation val="minMax"/>
        </c:scaling>
        <c:axPos val="b"/>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1231232"/>
        <c:crosses val="autoZero"/>
        <c:auto val="1"/>
        <c:lblAlgn val="ctr"/>
        <c:lblOffset val="100"/>
        <c:tickLblSkip val="1"/>
        <c:tickMarkSkip val="1"/>
      </c:catAx>
      <c:valAx>
        <c:axId val="161231232"/>
        <c:scaling>
          <c:orientation val="minMax"/>
          <c:max val="1"/>
        </c:scaling>
        <c:axPos val="l"/>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221248"/>
        <c:crosses val="autoZero"/>
        <c:crossBetween val="between"/>
      </c:valAx>
      <c:spPr>
        <a:solidFill>
          <a:srgbClr val="FFFFFF"/>
        </a:solidFill>
        <a:ln w="12700">
          <a:solidFill>
            <a:srgbClr val="808080"/>
          </a:solidFill>
          <a:prstDash val="solid"/>
        </a:ln>
      </c:spPr>
    </c:plotArea>
    <c:legend>
      <c:legendPos val="r"/>
      <c:layout/>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Footer>&amp;L&amp;8Scottish Stroke Care Audit 2011 National Report
Stroke Services in Scottish Hospitals, Data relating to 2010&amp;R&amp;8© NHS National Services Scotland/Crown Copyright</c:oddFooter>
    </c:headerFooter>
    <c:pageMargins b="1" l="0.75000000000001443" r="0.75000000000001443"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037008167275298"/>
          <c:h val="0.64394537639319938"/>
        </c:manualLayout>
      </c:layout>
      <c:barChart>
        <c:barDir val="col"/>
        <c:grouping val="clustered"/>
        <c:ser>
          <c:idx val="1"/>
          <c:order val="0"/>
          <c:tx>
            <c:strRef>
              <c:f>'Chart 14b DATA'!$A$36</c:f>
              <c:strCache>
                <c:ptCount val="1"/>
                <c:pt idx="0">
                  <c:v>Initial &amp; Final Diagnosis</c:v>
                </c:pt>
              </c:strCache>
            </c:strRef>
          </c:tx>
          <c:spPr>
            <a:solidFill>
              <a:srgbClr val="993366"/>
            </a:solidFill>
            <a:ln>
              <a:solidFill>
                <a:schemeClr val="tx1"/>
              </a:solidFill>
            </a:ln>
          </c:spPr>
          <c:dPt>
            <c:idx val="0"/>
            <c:spPr>
              <a:solidFill>
                <a:srgbClr val="FF0000"/>
              </a:solidFill>
              <a:ln>
                <a:solidFill>
                  <a:schemeClr val="tx1"/>
                </a:solidFill>
              </a:ln>
            </c:spPr>
          </c:dPt>
          <c:cat>
            <c:strRef>
              <c:f>'Chart 14b DATA'!$A$37:$A$51</c:f>
              <c:strCache>
                <c:ptCount val="15"/>
                <c:pt idx="0">
                  <c:v>Scotland</c:v>
                </c:pt>
                <c:pt idx="1">
                  <c:v>Borders</c:v>
                </c:pt>
                <c:pt idx="2">
                  <c:v>Dumfries &amp; Galloway*</c:v>
                </c:pt>
                <c:pt idx="3">
                  <c:v>Fife</c:v>
                </c:pt>
                <c:pt idx="4">
                  <c:v>Shetland*</c:v>
                </c:pt>
                <c:pt idx="5">
                  <c:v>Lanarkshire</c:v>
                </c:pt>
                <c:pt idx="6">
                  <c:v>Western Isles*</c:v>
                </c:pt>
                <c:pt idx="7">
                  <c:v>Forth Valley</c:v>
                </c:pt>
                <c:pt idx="8">
                  <c:v>Ayrshire &amp; Arran</c:v>
                </c:pt>
                <c:pt idx="9">
                  <c:v>Grampian</c:v>
                </c:pt>
                <c:pt idx="10">
                  <c:v>Greater Glasgow &amp; Clyde</c:v>
                </c:pt>
                <c:pt idx="11">
                  <c:v>Tayside</c:v>
                </c:pt>
                <c:pt idx="12">
                  <c:v>Lothian</c:v>
                </c:pt>
                <c:pt idx="13">
                  <c:v>Highland*</c:v>
                </c:pt>
                <c:pt idx="14">
                  <c:v>Orkney*</c:v>
                </c:pt>
              </c:strCache>
            </c:strRef>
          </c:cat>
          <c:val>
            <c:numRef>
              <c:f>'Chart 14b DATA'!$C$37:$C$51</c:f>
              <c:numCache>
                <c:formatCode>0</c:formatCode>
                <c:ptCount val="15"/>
                <c:pt idx="0">
                  <c:v>68.413372247280449</c:v>
                </c:pt>
                <c:pt idx="1">
                  <c:v>81.818181818181827</c:v>
                </c:pt>
                <c:pt idx="2">
                  <c:v>80.1762114537445</c:v>
                </c:pt>
                <c:pt idx="3">
                  <c:v>78.290598290598297</c:v>
                </c:pt>
                <c:pt idx="4">
                  <c:v>78.125</c:v>
                </c:pt>
                <c:pt idx="5">
                  <c:v>77.340569877883311</c:v>
                </c:pt>
                <c:pt idx="6">
                  <c:v>73.529411764705884</c:v>
                </c:pt>
                <c:pt idx="7">
                  <c:v>71.853546910755156</c:v>
                </c:pt>
                <c:pt idx="8">
                  <c:v>70.88122605363985</c:v>
                </c:pt>
                <c:pt idx="9">
                  <c:v>70.820668693009111</c:v>
                </c:pt>
                <c:pt idx="10">
                  <c:v>66.430020283975651</c:v>
                </c:pt>
                <c:pt idx="11">
                  <c:v>64.466019417475735</c:v>
                </c:pt>
                <c:pt idx="12">
                  <c:v>60.035682426404989</c:v>
                </c:pt>
                <c:pt idx="13">
                  <c:v>55.508474576271183</c:v>
                </c:pt>
                <c:pt idx="14">
                  <c:v>43.589743589743591</c:v>
                </c:pt>
              </c:numCache>
            </c:numRef>
          </c:val>
        </c:ser>
        <c:ser>
          <c:idx val="0"/>
          <c:order val="1"/>
          <c:tx>
            <c:strRef>
              <c:f>'Chart 14b DATA'!$A$19</c:f>
              <c:strCache>
                <c:ptCount val="1"/>
                <c:pt idx="0">
                  <c:v>Final Diagnosis Only</c:v>
                </c:pt>
              </c:strCache>
            </c:strRef>
          </c:tx>
          <c:spPr>
            <a:solidFill>
              <a:srgbClr val="FFE29B"/>
            </a:solidFill>
            <a:ln>
              <a:solidFill>
                <a:schemeClr val="tx1"/>
              </a:solidFill>
            </a:ln>
          </c:spPr>
          <c:dPt>
            <c:idx val="0"/>
            <c:spPr>
              <a:solidFill>
                <a:srgbClr val="99CC00"/>
              </a:solidFill>
              <a:ln>
                <a:solidFill>
                  <a:schemeClr val="tx1"/>
                </a:solidFill>
              </a:ln>
            </c:spPr>
          </c:dPt>
          <c:val>
            <c:numRef>
              <c:f>'Chart 14b DATA'!$C$20:$C$34</c:f>
              <c:numCache>
                <c:formatCode>0</c:formatCode>
                <c:ptCount val="15"/>
                <c:pt idx="0">
                  <c:v>63.738089962331046</c:v>
                </c:pt>
                <c:pt idx="1">
                  <c:v>78.995433789954333</c:v>
                </c:pt>
                <c:pt idx="2">
                  <c:v>71.378091872791515</c:v>
                </c:pt>
                <c:pt idx="3">
                  <c:v>73.65930599369085</c:v>
                </c:pt>
                <c:pt idx="4">
                  <c:v>77.142857142857153</c:v>
                </c:pt>
                <c:pt idx="5">
                  <c:v>68.795811518324612</c:v>
                </c:pt>
                <c:pt idx="6">
                  <c:v>80</c:v>
                </c:pt>
                <c:pt idx="7">
                  <c:v>67.095588235294116</c:v>
                </c:pt>
                <c:pt idx="8">
                  <c:v>64.769230769230774</c:v>
                </c:pt>
                <c:pt idx="9">
                  <c:v>64.277035236938033</c:v>
                </c:pt>
                <c:pt idx="10">
                  <c:v>64.055505819158469</c:v>
                </c:pt>
                <c:pt idx="11">
                  <c:v>59.905660377358494</c:v>
                </c:pt>
                <c:pt idx="12">
                  <c:v>53.995830437804024</c:v>
                </c:pt>
                <c:pt idx="13">
                  <c:v>55.511022044088179</c:v>
                </c:pt>
                <c:pt idx="14">
                  <c:v>45</c:v>
                </c:pt>
              </c:numCache>
            </c:numRef>
          </c:val>
        </c:ser>
        <c:ser>
          <c:idx val="2"/>
          <c:order val="2"/>
          <c:tx>
            <c:strRef>
              <c:f>'Chart 14b DATA'!$A$2</c:f>
              <c:strCache>
                <c:ptCount val="1"/>
                <c:pt idx="0">
                  <c:v>Initial Diagnosis Only</c:v>
                </c:pt>
              </c:strCache>
            </c:strRef>
          </c:tx>
          <c:spPr>
            <a:solidFill>
              <a:srgbClr val="9999FF"/>
            </a:solidFill>
            <a:ln>
              <a:solidFill>
                <a:schemeClr val="tx1"/>
              </a:solidFill>
            </a:ln>
          </c:spPr>
          <c:dPt>
            <c:idx val="0"/>
            <c:spPr>
              <a:solidFill>
                <a:srgbClr val="008000"/>
              </a:solidFill>
              <a:ln>
                <a:solidFill>
                  <a:schemeClr val="tx1"/>
                </a:solidFill>
              </a:ln>
            </c:spPr>
          </c:dPt>
          <c:val>
            <c:numRef>
              <c:f>'Chart 14b DATA'!$C$3:$C$17</c:f>
              <c:numCache>
                <c:formatCode>0</c:formatCode>
                <c:ptCount val="15"/>
                <c:pt idx="0">
                  <c:v>68.759794045220502</c:v>
                </c:pt>
                <c:pt idx="1">
                  <c:v>84.210526315789465</c:v>
                </c:pt>
                <c:pt idx="2">
                  <c:v>80.859375</c:v>
                </c:pt>
                <c:pt idx="3">
                  <c:v>78.13455657492355</c:v>
                </c:pt>
                <c:pt idx="4">
                  <c:v>80</c:v>
                </c:pt>
                <c:pt idx="5">
                  <c:v>77.906976744186053</c:v>
                </c:pt>
                <c:pt idx="6">
                  <c:v>82.35294117647058</c:v>
                </c:pt>
                <c:pt idx="7">
                  <c:v>73.040152963671119</c:v>
                </c:pt>
                <c:pt idx="8">
                  <c:v>72.186287192755501</c:v>
                </c:pt>
                <c:pt idx="9">
                  <c:v>70</c:v>
                </c:pt>
                <c:pt idx="10">
                  <c:v>67.020408163265316</c:v>
                </c:pt>
                <c:pt idx="11">
                  <c:v>64.768683274021356</c:v>
                </c:pt>
                <c:pt idx="12">
                  <c:v>61.059907834101381</c:v>
                </c:pt>
                <c:pt idx="13">
                  <c:v>54.379562043795616</c:v>
                </c:pt>
                <c:pt idx="14">
                  <c:v>40.625</c:v>
                </c:pt>
              </c:numCache>
            </c:numRef>
          </c:val>
        </c:ser>
        <c:axId val="161306880"/>
        <c:axId val="161325056"/>
      </c:barChart>
      <c:catAx>
        <c:axId val="161306880"/>
        <c:scaling>
          <c:orientation val="minMax"/>
        </c:scaling>
        <c:axPos val="b"/>
        <c:numFmt formatCode="General" sourceLinked="1"/>
        <c:tickLblPos val="nextTo"/>
        <c:txPr>
          <a:bodyPr rot="-5400000" vert="horz"/>
          <a:lstStyle/>
          <a:p>
            <a:pPr>
              <a:defRPr sz="800">
                <a:latin typeface="Arial" pitchFamily="34" charset="0"/>
                <a:cs typeface="Arial" pitchFamily="34" charset="0"/>
              </a:defRPr>
            </a:pPr>
            <a:endParaRPr lang="en-US"/>
          </a:p>
        </c:txPr>
        <c:crossAx val="161325056"/>
        <c:crosses val="autoZero"/>
        <c:auto val="1"/>
        <c:lblAlgn val="ctr"/>
        <c:lblOffset val="100"/>
      </c:catAx>
      <c:valAx>
        <c:axId val="161325056"/>
        <c:scaling>
          <c:orientation val="minMax"/>
          <c:max val="100"/>
        </c:scaling>
        <c:axPos val="l"/>
        <c:title>
          <c:tx>
            <c:rich>
              <a:bodyPr rot="0" vert="horz"/>
              <a:lstStyle/>
              <a:p>
                <a:pPr algn="ctr">
                  <a:defRPr/>
                </a:pPr>
                <a:r>
                  <a:rPr lang="en-GB"/>
                  <a:t>%</a:t>
                </a:r>
              </a:p>
            </c:rich>
          </c:tx>
          <c:layout/>
          <c:spPr>
            <a:noFill/>
            <a:ln w="25400">
              <a:noFill/>
            </a:ln>
          </c:spPr>
        </c:title>
        <c:numFmt formatCode="0" sourceLinked="1"/>
        <c:tickLblPos val="nextTo"/>
        <c:txPr>
          <a:bodyPr rot="0" vert="horz"/>
          <a:lstStyle/>
          <a:p>
            <a:pPr>
              <a:defRPr/>
            </a:pPr>
            <a:endParaRPr lang="en-US"/>
          </a:p>
        </c:txPr>
        <c:crossAx val="161306880"/>
        <c:crosses val="autoZero"/>
        <c:crossBetween val="between"/>
      </c:valAx>
      <c:spPr>
        <a:ln>
          <a:solidFill>
            <a:schemeClr val="bg1">
              <a:lumMod val="75000"/>
            </a:schemeClr>
          </a:solidFill>
        </a:ln>
      </c:spPr>
    </c:plotArea>
    <c:legend>
      <c:legendPos val="r"/>
      <c:layout>
        <c:manualLayout>
          <c:xMode val="edge"/>
          <c:yMode val="edge"/>
          <c:x val="0.89841856918721086"/>
          <c:y val="0.25081190938090014"/>
          <c:w val="8.6683851669379336E-2"/>
          <c:h val="0.25821054976823549"/>
        </c:manualLayout>
      </c:layout>
      <c:spPr>
        <a:ln>
          <a:solidFill>
            <a:prstClr val="black"/>
          </a:solidFill>
        </a:ln>
      </c:spPr>
      <c:txPr>
        <a:bodyPr/>
        <a:lstStyle/>
        <a:p>
          <a:pPr>
            <a:defRPr sz="800">
              <a:latin typeface="Arial" pitchFamily="34" charset="0"/>
              <a:cs typeface="Arial" pitchFamily="34" charset="0"/>
            </a:defRPr>
          </a:pPr>
          <a:endParaRPr lang="en-US"/>
        </a:p>
      </c:txPr>
    </c:legend>
    <c:plotVisOnly val="1"/>
    <c:dispBlanksAs val="gap"/>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0370081672753446"/>
          <c:h val="0.75436635994269341"/>
        </c:manualLayout>
      </c:layout>
      <c:barChart>
        <c:barDir val="col"/>
        <c:grouping val="clustered"/>
        <c:ser>
          <c:idx val="0"/>
          <c:order val="0"/>
          <c:tx>
            <c:strRef>
              <c:f>'Chart 1b DATA'!$B$2</c:f>
              <c:strCache>
                <c:ptCount val="1"/>
                <c:pt idx="0">
                  <c:v>2014 (%)</c:v>
                </c:pt>
              </c:strCache>
            </c:strRef>
          </c:tx>
          <c:spPr>
            <a:solidFill>
              <a:srgbClr val="9999FF"/>
            </a:solidFill>
            <a:ln>
              <a:solidFill>
                <a:prstClr val="black"/>
              </a:solidFill>
            </a:ln>
          </c:spPr>
          <c:dPt>
            <c:idx val="0"/>
            <c:spPr>
              <a:solidFill>
                <a:srgbClr val="99CC00"/>
              </a:solidFill>
              <a:ln>
                <a:solidFill>
                  <a:prstClr val="black"/>
                </a:solidFill>
              </a:ln>
            </c:spPr>
          </c:dPt>
          <c:cat>
            <c:strRef>
              <c:f>'Chart 1b DATA'!$A$3:$A$17</c:f>
              <c:strCache>
                <c:ptCount val="15"/>
                <c:pt idx="0">
                  <c:v>Scotland</c:v>
                </c:pt>
                <c:pt idx="1">
                  <c:v> Borders</c:v>
                </c:pt>
                <c:pt idx="2">
                  <c:v> Western Isles*</c:v>
                </c:pt>
                <c:pt idx="3">
                  <c:v> Dumfries &amp; Galloway*</c:v>
                </c:pt>
                <c:pt idx="4">
                  <c:v> Shetland*</c:v>
                </c:pt>
                <c:pt idx="5">
                  <c:v> Fife</c:v>
                </c:pt>
                <c:pt idx="6">
                  <c:v> Lanarkshire</c:v>
                </c:pt>
                <c:pt idx="7">
                  <c:v> Forth Valley</c:v>
                </c:pt>
                <c:pt idx="8">
                  <c:v> Ayrshire &amp; Arran</c:v>
                </c:pt>
                <c:pt idx="9">
                  <c:v> Grampian</c:v>
                </c:pt>
                <c:pt idx="10">
                  <c:v> Greater Glasgow &amp; Clyde</c:v>
                </c:pt>
                <c:pt idx="11">
                  <c:v> Tayside</c:v>
                </c:pt>
                <c:pt idx="12">
                  <c:v> Lothian</c:v>
                </c:pt>
                <c:pt idx="13">
                  <c:v> Highland*</c:v>
                </c:pt>
                <c:pt idx="14">
                  <c:v> Orkney*</c:v>
                </c:pt>
              </c:strCache>
            </c:strRef>
          </c:cat>
          <c:val>
            <c:numRef>
              <c:f>'Chart 1b DATA'!$B$3:$B$17</c:f>
              <c:numCache>
                <c:formatCode>0</c:formatCode>
                <c:ptCount val="15"/>
                <c:pt idx="0">
                  <c:v>66.340575588670234</c:v>
                </c:pt>
                <c:pt idx="1">
                  <c:v>87.684729064039416</c:v>
                </c:pt>
                <c:pt idx="2">
                  <c:v>85.714285714285708</c:v>
                </c:pt>
                <c:pt idx="3">
                  <c:v>73.646209386281598</c:v>
                </c:pt>
                <c:pt idx="4">
                  <c:v>71.875</c:v>
                </c:pt>
                <c:pt idx="5">
                  <c:v>77.172061328790463</c:v>
                </c:pt>
                <c:pt idx="6">
                  <c:v>83.085250338294998</c:v>
                </c:pt>
                <c:pt idx="7">
                  <c:v>77.354260089686093</c:v>
                </c:pt>
                <c:pt idx="8">
                  <c:v>72.077922077922068</c:v>
                </c:pt>
                <c:pt idx="9">
                  <c:v>69.716088328075713</c:v>
                </c:pt>
                <c:pt idx="10">
                  <c:v>59.090909090909093</c:v>
                </c:pt>
                <c:pt idx="11">
                  <c:v>68.222621184919205</c:v>
                </c:pt>
                <c:pt idx="12">
                  <c:v>55.057803468208085</c:v>
                </c:pt>
                <c:pt idx="13">
                  <c:v>63.374485596707821</c:v>
                </c:pt>
                <c:pt idx="14">
                  <c:v>19.230769230769234</c:v>
                </c:pt>
              </c:numCache>
            </c:numRef>
          </c:val>
        </c:ser>
        <c:ser>
          <c:idx val="1"/>
          <c:order val="1"/>
          <c:tx>
            <c:strRef>
              <c:f>'Chart 1b DATA'!$C$2</c:f>
              <c:strCache>
                <c:ptCount val="1"/>
                <c:pt idx="0">
                  <c:v>2015 (%)</c:v>
                </c:pt>
              </c:strCache>
            </c:strRef>
          </c:tx>
          <c:spPr>
            <a:solidFill>
              <a:srgbClr val="993366"/>
            </a:solidFill>
            <a:ln>
              <a:solidFill>
                <a:prstClr val="black"/>
              </a:solidFill>
            </a:ln>
          </c:spPr>
          <c:dPt>
            <c:idx val="0"/>
            <c:spPr>
              <a:solidFill>
                <a:srgbClr val="008000"/>
              </a:solidFill>
              <a:ln>
                <a:solidFill>
                  <a:prstClr val="black"/>
                </a:solidFill>
              </a:ln>
            </c:spPr>
          </c:dPt>
          <c:cat>
            <c:strRef>
              <c:f>'Chart 1b DATA'!$A$3:$A$17</c:f>
              <c:strCache>
                <c:ptCount val="15"/>
                <c:pt idx="0">
                  <c:v>Scotland</c:v>
                </c:pt>
                <c:pt idx="1">
                  <c:v> Borders</c:v>
                </c:pt>
                <c:pt idx="2">
                  <c:v> Western Isles*</c:v>
                </c:pt>
                <c:pt idx="3">
                  <c:v> Dumfries &amp; Galloway*</c:v>
                </c:pt>
                <c:pt idx="4">
                  <c:v> Shetland*</c:v>
                </c:pt>
                <c:pt idx="5">
                  <c:v> Fife</c:v>
                </c:pt>
                <c:pt idx="6">
                  <c:v> Lanarkshire</c:v>
                </c:pt>
                <c:pt idx="7">
                  <c:v> Forth Valley</c:v>
                </c:pt>
                <c:pt idx="8">
                  <c:v> Ayrshire &amp; Arran</c:v>
                </c:pt>
                <c:pt idx="9">
                  <c:v> Grampian</c:v>
                </c:pt>
                <c:pt idx="10">
                  <c:v> Greater Glasgow &amp; Clyde</c:v>
                </c:pt>
                <c:pt idx="11">
                  <c:v> Tayside</c:v>
                </c:pt>
                <c:pt idx="12">
                  <c:v> Lothian</c:v>
                </c:pt>
                <c:pt idx="13">
                  <c:v> Highland*</c:v>
                </c:pt>
                <c:pt idx="14">
                  <c:v> Orkney*</c:v>
                </c:pt>
              </c:strCache>
            </c:strRef>
          </c:cat>
          <c:val>
            <c:numRef>
              <c:f>'Chart 1b DATA'!$C$3:$C$17</c:f>
              <c:numCache>
                <c:formatCode>0</c:formatCode>
                <c:ptCount val="15"/>
                <c:pt idx="0">
                  <c:v>68.759794045220502</c:v>
                </c:pt>
                <c:pt idx="1">
                  <c:v>84.210526315789465</c:v>
                </c:pt>
                <c:pt idx="2">
                  <c:v>82.35294117647058</c:v>
                </c:pt>
                <c:pt idx="3">
                  <c:v>80.859375</c:v>
                </c:pt>
                <c:pt idx="4">
                  <c:v>80</c:v>
                </c:pt>
                <c:pt idx="5">
                  <c:v>78.13455657492355</c:v>
                </c:pt>
                <c:pt idx="6">
                  <c:v>77.906976744186053</c:v>
                </c:pt>
                <c:pt idx="7">
                  <c:v>73.040152963671119</c:v>
                </c:pt>
                <c:pt idx="8">
                  <c:v>72.186287192755501</c:v>
                </c:pt>
                <c:pt idx="9">
                  <c:v>70</c:v>
                </c:pt>
                <c:pt idx="10">
                  <c:v>67.020408163265316</c:v>
                </c:pt>
                <c:pt idx="11">
                  <c:v>64.768683274021356</c:v>
                </c:pt>
                <c:pt idx="12">
                  <c:v>61.059907834101381</c:v>
                </c:pt>
                <c:pt idx="13">
                  <c:v>54.379562043795616</c:v>
                </c:pt>
                <c:pt idx="14">
                  <c:v>40.625</c:v>
                </c:pt>
              </c:numCache>
            </c:numRef>
          </c:val>
        </c:ser>
        <c:axId val="341785600"/>
        <c:axId val="352470528"/>
      </c:barChart>
      <c:lineChart>
        <c:grouping val="standard"/>
        <c:ser>
          <c:idx val="2"/>
          <c:order val="2"/>
          <c:tx>
            <c:strRef>
              <c:f>'Chart 1b DATA'!$D$2</c:f>
              <c:strCache>
                <c:ptCount val="1"/>
                <c:pt idx="0">
                  <c:v>Trajectory (%)</c:v>
                </c:pt>
              </c:strCache>
            </c:strRef>
          </c:tx>
          <c:spPr>
            <a:ln>
              <a:noFill/>
            </a:ln>
          </c:spPr>
          <c:marker>
            <c:symbol val="dash"/>
            <c:size val="13"/>
            <c:spPr>
              <a:solidFill>
                <a:schemeClr val="accent6">
                  <a:lumMod val="75000"/>
                </a:schemeClr>
              </a:solidFill>
              <a:ln>
                <a:noFill/>
              </a:ln>
            </c:spPr>
          </c:marker>
          <c:dPt>
            <c:idx val="0"/>
            <c:marker>
              <c:symbol val="none"/>
            </c:marker>
          </c:dPt>
          <c:cat>
            <c:strRef>
              <c:f>'Chart 1b DATA'!$A$4:$A$17</c:f>
              <c:strCache>
                <c:ptCount val="14"/>
                <c:pt idx="0">
                  <c:v> Borders</c:v>
                </c:pt>
                <c:pt idx="1">
                  <c:v> Western Isles*</c:v>
                </c:pt>
                <c:pt idx="2">
                  <c:v> Dumfries &amp; Galloway*</c:v>
                </c:pt>
                <c:pt idx="3">
                  <c:v> Shetland*</c:v>
                </c:pt>
                <c:pt idx="4">
                  <c:v> Fife</c:v>
                </c:pt>
                <c:pt idx="5">
                  <c:v> Lanarkshire</c:v>
                </c:pt>
                <c:pt idx="6">
                  <c:v> Forth Valley</c:v>
                </c:pt>
                <c:pt idx="7">
                  <c:v> Ayrshire &amp; Arran</c:v>
                </c:pt>
                <c:pt idx="8">
                  <c:v> Grampian</c:v>
                </c:pt>
                <c:pt idx="9">
                  <c:v> Greater Glasgow &amp; Clyde</c:v>
                </c:pt>
                <c:pt idx="10">
                  <c:v> Tayside</c:v>
                </c:pt>
                <c:pt idx="11">
                  <c:v> Lothian</c:v>
                </c:pt>
                <c:pt idx="12">
                  <c:v> Highland*</c:v>
                </c:pt>
                <c:pt idx="13">
                  <c:v> Orkney*</c:v>
                </c:pt>
              </c:strCache>
            </c:strRef>
          </c:cat>
          <c:val>
            <c:numRef>
              <c:f>'Chart 1b DATA'!$D$3:$D$17</c:f>
              <c:numCache>
                <c:formatCode>General</c:formatCode>
                <c:ptCount val="15"/>
                <c:pt idx="0" formatCode="0">
                  <c:v>0</c:v>
                </c:pt>
                <c:pt idx="1">
                  <c:v>90</c:v>
                </c:pt>
                <c:pt idx="2">
                  <c:v>70</c:v>
                </c:pt>
                <c:pt idx="3">
                  <c:v>78</c:v>
                </c:pt>
                <c:pt idx="4">
                  <c:v>70</c:v>
                </c:pt>
                <c:pt idx="5">
                  <c:v>83</c:v>
                </c:pt>
                <c:pt idx="6">
                  <c:v>85</c:v>
                </c:pt>
                <c:pt idx="7">
                  <c:v>90</c:v>
                </c:pt>
                <c:pt idx="8">
                  <c:v>80</c:v>
                </c:pt>
                <c:pt idx="9">
                  <c:v>75</c:v>
                </c:pt>
                <c:pt idx="10">
                  <c:v>70</c:v>
                </c:pt>
                <c:pt idx="11">
                  <c:v>75</c:v>
                </c:pt>
                <c:pt idx="12">
                  <c:v>70</c:v>
                </c:pt>
                <c:pt idx="13">
                  <c:v>75</c:v>
                </c:pt>
                <c:pt idx="14">
                  <c:v>50</c:v>
                </c:pt>
              </c:numCache>
            </c:numRef>
          </c:val>
        </c:ser>
        <c:marker val="1"/>
        <c:axId val="341785600"/>
        <c:axId val="352470528"/>
      </c:lineChart>
      <c:catAx>
        <c:axId val="341785600"/>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52470528"/>
        <c:crosses val="autoZero"/>
        <c:auto val="1"/>
        <c:lblAlgn val="ctr"/>
        <c:lblOffset val="100"/>
      </c:catAx>
      <c:valAx>
        <c:axId val="35247052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layout/>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41785600"/>
        <c:crosses val="autoZero"/>
        <c:crossBetween val="between"/>
      </c:valAx>
      <c:spPr>
        <a:ln>
          <a:solidFill>
            <a:schemeClr val="bg1">
              <a:lumMod val="75000"/>
            </a:schemeClr>
          </a:solidFill>
        </a:ln>
      </c:spPr>
    </c:plotArea>
    <c:legend>
      <c:legendPos val="r"/>
      <c:layout>
        <c:manualLayout>
          <c:xMode val="edge"/>
          <c:yMode val="edge"/>
          <c:x val="0.89449604832915441"/>
          <c:y val="0.34230677687029465"/>
          <c:w val="9.6565404184815767E-2"/>
          <c:h val="0.23257071126978224"/>
        </c:manualLayout>
      </c:layout>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54" l="0.70000000000000062" r="0.70000000000000062" t="0.75000000000001454" header="0.30000000000000032" footer="0.30000000000000032"/>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188309980183428E-2"/>
          <c:y val="4.9200492004920104E-2"/>
          <c:w val="0.80960606538881974"/>
          <c:h val="0.60131214225528051"/>
        </c:manualLayout>
      </c:layout>
      <c:barChart>
        <c:barDir val="col"/>
        <c:grouping val="clustered"/>
        <c:ser>
          <c:idx val="1"/>
          <c:order val="0"/>
          <c:tx>
            <c:v>Repeat Scans</c:v>
          </c:tx>
          <c:spPr>
            <a:solidFill>
              <a:srgbClr val="993366"/>
            </a:solidFill>
            <a:ln>
              <a:solidFill>
                <a:srgbClr val="000000"/>
              </a:solidFill>
            </a:ln>
          </c:spPr>
          <c:dPt>
            <c:idx val="0"/>
            <c:spPr>
              <a:solidFill>
                <a:srgbClr val="99CC00"/>
              </a:solidFill>
              <a:ln>
                <a:solidFill>
                  <a:srgbClr val="000000"/>
                </a:solidFill>
              </a:ln>
            </c:spPr>
          </c:dPt>
          <c:dPt>
            <c:idx val="29"/>
            <c:spPr>
              <a:solidFill>
                <a:srgbClr val="99CC00"/>
              </a:solidFill>
              <a:ln>
                <a:solidFill>
                  <a:srgbClr val="000000"/>
                </a:solidFill>
              </a:ln>
            </c:spPr>
          </c:dPt>
          <c:cat>
            <c:strRef>
              <c:f>'Chart 15 (2015)'!$B$47:$B$74</c:f>
              <c:strCache>
                <c:ptCount val="28"/>
                <c:pt idx="0">
                  <c:v>Scotland</c:v>
                </c:pt>
                <c:pt idx="1">
                  <c:v>Ayr</c:v>
                </c:pt>
                <c:pt idx="2">
                  <c:v>Crosshouse</c:v>
                </c:pt>
                <c:pt idx="3">
                  <c:v>Borders</c:v>
                </c:pt>
                <c:pt idx="4">
                  <c:v>DGRI</c:v>
                </c:pt>
                <c:pt idx="5">
                  <c:v>GCH</c:v>
                </c:pt>
                <c:pt idx="6">
                  <c:v>VHK</c:v>
                </c:pt>
                <c:pt idx="7">
                  <c:v>FVRH</c:v>
                </c:pt>
                <c:pt idx="8">
                  <c:v>ARI</c:v>
                </c:pt>
                <c:pt idx="9">
                  <c:v>Dr Grays</c:v>
                </c:pt>
                <c:pt idx="10">
                  <c:v>GRI</c:v>
                </c:pt>
                <c:pt idx="11">
                  <c:v>QEUH</c:v>
                </c:pt>
                <c:pt idx="12">
                  <c:v>RAH</c:v>
                </c:pt>
                <c:pt idx="13">
                  <c:v>Belford</c:v>
                </c:pt>
                <c:pt idx="14">
                  <c:v>Caithness</c:v>
                </c:pt>
                <c:pt idx="15">
                  <c:v>L&amp;I</c:v>
                </c:pt>
                <c:pt idx="16">
                  <c:v>Raigmore</c:v>
                </c:pt>
                <c:pt idx="17">
                  <c:v>Hairmyres</c:v>
                </c:pt>
                <c:pt idx="18">
                  <c:v>Monklands</c:v>
                </c:pt>
                <c:pt idx="19">
                  <c:v>Wishaw</c:v>
                </c:pt>
                <c:pt idx="20">
                  <c:v>RIE</c:v>
                </c:pt>
                <c:pt idx="21">
                  <c:v>SJH</c:v>
                </c:pt>
                <c:pt idx="22">
                  <c:v>WGH</c:v>
                </c:pt>
                <c:pt idx="23">
                  <c:v>Balfour</c:v>
                </c:pt>
                <c:pt idx="24">
                  <c:v>Gilbert Bain</c:v>
                </c:pt>
                <c:pt idx="25">
                  <c:v>Ninewells</c:v>
                </c:pt>
                <c:pt idx="26">
                  <c:v>PRI</c:v>
                </c:pt>
                <c:pt idx="27">
                  <c:v>Western Isles</c:v>
                </c:pt>
              </c:strCache>
            </c:strRef>
          </c:cat>
          <c:val>
            <c:numRef>
              <c:f>'Chart 15 (2015)'!$I$47:$I$74</c:f>
              <c:numCache>
                <c:formatCode>0</c:formatCode>
                <c:ptCount val="28"/>
                <c:pt idx="0">
                  <c:v>95.243128964059196</c:v>
                </c:pt>
                <c:pt idx="1">
                  <c:v>100</c:v>
                </c:pt>
                <c:pt idx="2">
                  <c:v>96.774193548387103</c:v>
                </c:pt>
                <c:pt idx="3">
                  <c:v>100</c:v>
                </c:pt>
                <c:pt idx="4">
                  <c:v>100</c:v>
                </c:pt>
                <c:pt idx="5">
                  <c:v>100</c:v>
                </c:pt>
                <c:pt idx="6">
                  <c:v>98.333333333333329</c:v>
                </c:pt>
                <c:pt idx="7">
                  <c:v>100</c:v>
                </c:pt>
                <c:pt idx="8">
                  <c:v>98.076923076923066</c:v>
                </c:pt>
                <c:pt idx="9">
                  <c:v>87.5</c:v>
                </c:pt>
                <c:pt idx="10">
                  <c:v>100</c:v>
                </c:pt>
                <c:pt idx="11">
                  <c:v>99.557522123893804</c:v>
                </c:pt>
                <c:pt idx="12">
                  <c:v>100</c:v>
                </c:pt>
                <c:pt idx="13">
                  <c:v>0</c:v>
                </c:pt>
                <c:pt idx="14">
                  <c:v>54.54545454545454</c:v>
                </c:pt>
                <c:pt idx="15">
                  <c:v>100</c:v>
                </c:pt>
                <c:pt idx="16">
                  <c:v>4.3478260869565215</c:v>
                </c:pt>
                <c:pt idx="17">
                  <c:v>96.15384615384616</c:v>
                </c:pt>
                <c:pt idx="18">
                  <c:v>94.871794871794862</c:v>
                </c:pt>
                <c:pt idx="19">
                  <c:v>97.872340425531917</c:v>
                </c:pt>
                <c:pt idx="20">
                  <c:v>96.470588235294116</c:v>
                </c:pt>
                <c:pt idx="21">
                  <c:v>100</c:v>
                </c:pt>
                <c:pt idx="22">
                  <c:v>100</c:v>
                </c:pt>
                <c:pt idx="23">
                  <c:v>100</c:v>
                </c:pt>
                <c:pt idx="24">
                  <c:v>100</c:v>
                </c:pt>
                <c:pt idx="25">
                  <c:v>100</c:v>
                </c:pt>
                <c:pt idx="26">
                  <c:v>100</c:v>
                </c:pt>
                <c:pt idx="27">
                  <c:v>87.5</c:v>
                </c:pt>
              </c:numCache>
            </c:numRef>
          </c:val>
        </c:ser>
        <c:ser>
          <c:idx val="0"/>
          <c:order val="1"/>
          <c:tx>
            <c:v>Evidence Haemorrhage*</c:v>
          </c:tx>
          <c:spPr>
            <a:solidFill>
              <a:srgbClr val="9999FF"/>
            </a:solidFill>
            <a:ln>
              <a:solidFill>
                <a:schemeClr val="tx1"/>
              </a:solidFill>
            </a:ln>
          </c:spPr>
          <c:dPt>
            <c:idx val="0"/>
            <c:spPr>
              <a:solidFill>
                <a:srgbClr val="008000"/>
              </a:solidFill>
              <a:ln>
                <a:solidFill>
                  <a:schemeClr val="tx1"/>
                </a:solidFill>
              </a:ln>
            </c:spPr>
          </c:dPt>
          <c:dPt>
            <c:idx val="29"/>
            <c:spPr>
              <a:solidFill>
                <a:srgbClr val="008000"/>
              </a:solidFill>
              <a:ln>
                <a:solidFill>
                  <a:schemeClr val="tx1"/>
                </a:solidFill>
              </a:ln>
            </c:spPr>
          </c:dPt>
          <c:cat>
            <c:strRef>
              <c:f>'Chart 15 (2015)'!$B$47:$B$74</c:f>
              <c:strCache>
                <c:ptCount val="28"/>
                <c:pt idx="0">
                  <c:v>Scotland</c:v>
                </c:pt>
                <c:pt idx="1">
                  <c:v>Ayr</c:v>
                </c:pt>
                <c:pt idx="2">
                  <c:v>Crosshouse</c:v>
                </c:pt>
                <c:pt idx="3">
                  <c:v>Borders</c:v>
                </c:pt>
                <c:pt idx="4">
                  <c:v>DGRI</c:v>
                </c:pt>
                <c:pt idx="5">
                  <c:v>GCH</c:v>
                </c:pt>
                <c:pt idx="6">
                  <c:v>VHK</c:v>
                </c:pt>
                <c:pt idx="7">
                  <c:v>FVRH</c:v>
                </c:pt>
                <c:pt idx="8">
                  <c:v>ARI</c:v>
                </c:pt>
                <c:pt idx="9">
                  <c:v>Dr Grays</c:v>
                </c:pt>
                <c:pt idx="10">
                  <c:v>GRI</c:v>
                </c:pt>
                <c:pt idx="11">
                  <c:v>QEUH</c:v>
                </c:pt>
                <c:pt idx="12">
                  <c:v>RAH</c:v>
                </c:pt>
                <c:pt idx="13">
                  <c:v>Belford</c:v>
                </c:pt>
                <c:pt idx="14">
                  <c:v>Caithness</c:v>
                </c:pt>
                <c:pt idx="15">
                  <c:v>L&amp;I</c:v>
                </c:pt>
                <c:pt idx="16">
                  <c:v>Raigmore</c:v>
                </c:pt>
                <c:pt idx="17">
                  <c:v>Hairmyres</c:v>
                </c:pt>
                <c:pt idx="18">
                  <c:v>Monklands</c:v>
                </c:pt>
                <c:pt idx="19">
                  <c:v>Wishaw</c:v>
                </c:pt>
                <c:pt idx="20">
                  <c:v>RIE</c:v>
                </c:pt>
                <c:pt idx="21">
                  <c:v>SJH</c:v>
                </c:pt>
                <c:pt idx="22">
                  <c:v>WGH</c:v>
                </c:pt>
                <c:pt idx="23">
                  <c:v>Balfour</c:v>
                </c:pt>
                <c:pt idx="24">
                  <c:v>Gilbert Bain</c:v>
                </c:pt>
                <c:pt idx="25">
                  <c:v>Ninewells</c:v>
                </c:pt>
                <c:pt idx="26">
                  <c:v>PRI</c:v>
                </c:pt>
                <c:pt idx="27">
                  <c:v>Western Isles</c:v>
                </c:pt>
              </c:strCache>
            </c:strRef>
          </c:cat>
          <c:val>
            <c:numRef>
              <c:f>'Chart 15 (2015)'!$M$47:$M$74</c:f>
              <c:numCache>
                <c:formatCode>0.0</c:formatCode>
                <c:ptCount val="28"/>
                <c:pt idx="0">
                  <c:v>9.7669256381798011</c:v>
                </c:pt>
                <c:pt idx="1">
                  <c:v>0</c:v>
                </c:pt>
                <c:pt idx="2">
                  <c:v>6.666666666666667</c:v>
                </c:pt>
                <c:pt idx="3">
                  <c:v>0</c:v>
                </c:pt>
                <c:pt idx="4">
                  <c:v>12.5</c:v>
                </c:pt>
                <c:pt idx="5">
                  <c:v>0</c:v>
                </c:pt>
                <c:pt idx="6">
                  <c:v>11.864406779661017</c:v>
                </c:pt>
                <c:pt idx="7">
                  <c:v>7.5</c:v>
                </c:pt>
                <c:pt idx="8">
                  <c:v>11.76470588235294</c:v>
                </c:pt>
                <c:pt idx="9">
                  <c:v>14.285714285714285</c:v>
                </c:pt>
                <c:pt idx="10">
                  <c:v>0</c:v>
                </c:pt>
                <c:pt idx="11">
                  <c:v>13.333333333333334</c:v>
                </c:pt>
                <c:pt idx="12">
                  <c:v>0</c:v>
                </c:pt>
                <c:pt idx="13">
                  <c:v>0</c:v>
                </c:pt>
                <c:pt idx="14">
                  <c:v>0</c:v>
                </c:pt>
                <c:pt idx="15">
                  <c:v>0</c:v>
                </c:pt>
                <c:pt idx="16">
                  <c:v>100</c:v>
                </c:pt>
                <c:pt idx="17">
                  <c:v>0</c:v>
                </c:pt>
                <c:pt idx="18">
                  <c:v>2.7027027027027026</c:v>
                </c:pt>
                <c:pt idx="19">
                  <c:v>10.869565217391305</c:v>
                </c:pt>
                <c:pt idx="20">
                  <c:v>7.3170731707317067</c:v>
                </c:pt>
                <c:pt idx="21">
                  <c:v>7.6923076923076925</c:v>
                </c:pt>
                <c:pt idx="22">
                  <c:v>36.363636363636367</c:v>
                </c:pt>
                <c:pt idx="23">
                  <c:v>0</c:v>
                </c:pt>
                <c:pt idx="24">
                  <c:v>0</c:v>
                </c:pt>
                <c:pt idx="25">
                  <c:v>5.7692307692307692</c:v>
                </c:pt>
                <c:pt idx="26">
                  <c:v>4.3478260869565215</c:v>
                </c:pt>
                <c:pt idx="27">
                  <c:v>0</c:v>
                </c:pt>
              </c:numCache>
            </c:numRef>
          </c:val>
        </c:ser>
        <c:gapWidth val="50"/>
        <c:axId val="161567104"/>
        <c:axId val="161568640"/>
      </c:barChart>
      <c:catAx>
        <c:axId val="161567104"/>
        <c:scaling>
          <c:orientation val="minMax"/>
        </c:scaling>
        <c:axPos val="b"/>
        <c:tickLblPos val="nextTo"/>
        <c:txPr>
          <a:bodyPr rot="-5400000" vert="horz"/>
          <a:lstStyle/>
          <a:p>
            <a:pPr>
              <a:defRPr sz="800">
                <a:latin typeface="Arial" pitchFamily="34" charset="0"/>
                <a:cs typeface="Arial" pitchFamily="34" charset="0"/>
              </a:defRPr>
            </a:pPr>
            <a:endParaRPr lang="en-US"/>
          </a:p>
        </c:txPr>
        <c:crossAx val="161568640"/>
        <c:crosses val="autoZero"/>
        <c:auto val="1"/>
        <c:lblAlgn val="ctr"/>
        <c:lblOffset val="100"/>
      </c:catAx>
      <c:valAx>
        <c:axId val="161568640"/>
        <c:scaling>
          <c:orientation val="minMax"/>
          <c:max val="100"/>
        </c:scaling>
        <c:axPos val="l"/>
        <c:title>
          <c:tx>
            <c:rich>
              <a:bodyPr rot="0" vert="wordArtVert"/>
              <a:lstStyle/>
              <a:p>
                <a:pPr>
                  <a:defRPr/>
                </a:pPr>
                <a:r>
                  <a:rPr lang="en-GB"/>
                  <a:t>%</a:t>
                </a:r>
              </a:p>
            </c:rich>
          </c:tx>
          <c:layout/>
        </c:title>
        <c:numFmt formatCode="0" sourceLinked="1"/>
        <c:tickLblPos val="nextTo"/>
        <c:txPr>
          <a:bodyPr/>
          <a:lstStyle/>
          <a:p>
            <a:pPr>
              <a:defRPr sz="800">
                <a:latin typeface="Arial" pitchFamily="34" charset="0"/>
                <a:cs typeface="Arial" pitchFamily="34" charset="0"/>
              </a:defRPr>
            </a:pPr>
            <a:endParaRPr lang="en-US"/>
          </a:p>
        </c:txPr>
        <c:crossAx val="161567104"/>
        <c:crosses val="autoZero"/>
        <c:crossBetween val="between"/>
      </c:valAx>
      <c:spPr>
        <a:ln>
          <a:solidFill>
            <a:srgbClr val="000000"/>
          </a:solidFill>
        </a:ln>
      </c:spPr>
    </c:plotArea>
    <c:legend>
      <c:legendPos val="r"/>
      <c:layout>
        <c:manualLayout>
          <c:xMode val="edge"/>
          <c:yMode val="edge"/>
          <c:x val="0.88998287240820961"/>
          <c:y val="0.27159756321973116"/>
          <c:w val="0.11001712759179035"/>
          <c:h val="0.1222415279270917"/>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366" l="0.70000000000000062" r="0.70000000000000062" t="0.7500000000000136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7.4188309980183428E-2"/>
          <c:y val="4.9200492004920104E-2"/>
          <c:w val="0.80960606538881974"/>
          <c:h val="0.60131214225528051"/>
        </c:manualLayout>
      </c:layout>
      <c:barChart>
        <c:barDir val="col"/>
        <c:grouping val="clustered"/>
        <c:ser>
          <c:idx val="1"/>
          <c:order val="0"/>
          <c:tx>
            <c:v>Repeat Scans</c:v>
          </c:tx>
          <c:spPr>
            <a:solidFill>
              <a:srgbClr val="993366"/>
            </a:solidFill>
            <a:ln>
              <a:solidFill>
                <a:srgbClr val="000000"/>
              </a:solidFill>
            </a:ln>
          </c:spPr>
          <c:dPt>
            <c:idx val="0"/>
            <c:spPr>
              <a:solidFill>
                <a:srgbClr val="99CC00"/>
              </a:solidFill>
              <a:ln>
                <a:solidFill>
                  <a:srgbClr val="000000"/>
                </a:solidFill>
              </a:ln>
            </c:spPr>
          </c:dPt>
          <c:dPt>
            <c:idx val="29"/>
            <c:spPr>
              <a:solidFill>
                <a:srgbClr val="99CC00"/>
              </a:solidFill>
              <a:ln>
                <a:solidFill>
                  <a:srgbClr val="000000"/>
                </a:solidFill>
              </a:ln>
            </c:spPr>
          </c:dPt>
          <c:cat>
            <c:strRef>
              <c:f>'Chart 15 (2014)'!$B$47:$B$74</c:f>
              <c:strCache>
                <c:ptCount val="28"/>
                <c:pt idx="0">
                  <c:v>Scotland</c:v>
                </c:pt>
                <c:pt idx="1">
                  <c:v>Ayr</c:v>
                </c:pt>
                <c:pt idx="2">
                  <c:v>Crosshouse</c:v>
                </c:pt>
                <c:pt idx="3">
                  <c:v>Borders</c:v>
                </c:pt>
                <c:pt idx="4">
                  <c:v>DGRI</c:v>
                </c:pt>
                <c:pt idx="5">
                  <c:v>GCH</c:v>
                </c:pt>
                <c:pt idx="6">
                  <c:v>VHK</c:v>
                </c:pt>
                <c:pt idx="7">
                  <c:v>FVRH</c:v>
                </c:pt>
                <c:pt idx="8">
                  <c:v>ARI</c:v>
                </c:pt>
                <c:pt idx="9">
                  <c:v>Dr Grays</c:v>
                </c:pt>
                <c:pt idx="10">
                  <c:v>GRI</c:v>
                </c:pt>
                <c:pt idx="11">
                  <c:v>QEUH</c:v>
                </c:pt>
                <c:pt idx="12">
                  <c:v>RAH</c:v>
                </c:pt>
                <c:pt idx="13">
                  <c:v>Belford</c:v>
                </c:pt>
                <c:pt idx="14">
                  <c:v>Caithness</c:v>
                </c:pt>
                <c:pt idx="15">
                  <c:v>L&amp;I</c:v>
                </c:pt>
                <c:pt idx="16">
                  <c:v>Raigmore</c:v>
                </c:pt>
                <c:pt idx="17">
                  <c:v>Hairmyres</c:v>
                </c:pt>
                <c:pt idx="18">
                  <c:v>Monklands</c:v>
                </c:pt>
                <c:pt idx="19">
                  <c:v>Wishaw</c:v>
                </c:pt>
                <c:pt idx="20">
                  <c:v>RIE</c:v>
                </c:pt>
                <c:pt idx="21">
                  <c:v>SJH</c:v>
                </c:pt>
                <c:pt idx="22">
                  <c:v>WGH</c:v>
                </c:pt>
                <c:pt idx="23">
                  <c:v>Balfour</c:v>
                </c:pt>
                <c:pt idx="24">
                  <c:v>Gilbert Bain</c:v>
                </c:pt>
                <c:pt idx="25">
                  <c:v>Ninewells</c:v>
                </c:pt>
                <c:pt idx="26">
                  <c:v>PRI</c:v>
                </c:pt>
                <c:pt idx="27">
                  <c:v>Western Isles</c:v>
                </c:pt>
              </c:strCache>
            </c:strRef>
          </c:cat>
          <c:val>
            <c:numRef>
              <c:f>'Chart 15 (2014)'!$H$47:$H$74</c:f>
              <c:numCache>
                <c:formatCode>0</c:formatCode>
                <c:ptCount val="28"/>
                <c:pt idx="0">
                  <c:v>94.24626006904488</c:v>
                </c:pt>
                <c:pt idx="1">
                  <c:v>94.73684210526315</c:v>
                </c:pt>
                <c:pt idx="2">
                  <c:v>100</c:v>
                </c:pt>
                <c:pt idx="3">
                  <c:v>100</c:v>
                </c:pt>
                <c:pt idx="4">
                  <c:v>97.142857142857139</c:v>
                </c:pt>
                <c:pt idx="5">
                  <c:v>100</c:v>
                </c:pt>
                <c:pt idx="6">
                  <c:v>100</c:v>
                </c:pt>
                <c:pt idx="7">
                  <c:v>100</c:v>
                </c:pt>
                <c:pt idx="8">
                  <c:v>91.729323308270665</c:v>
                </c:pt>
                <c:pt idx="9">
                  <c:v>100</c:v>
                </c:pt>
                <c:pt idx="10">
                  <c:v>100</c:v>
                </c:pt>
                <c:pt idx="11">
                  <c:v>99.009900990099013</c:v>
                </c:pt>
                <c:pt idx="12">
                  <c:v>0</c:v>
                </c:pt>
                <c:pt idx="13">
                  <c:v>66.666666666666657</c:v>
                </c:pt>
                <c:pt idx="14">
                  <c:v>33.333333333333329</c:v>
                </c:pt>
                <c:pt idx="15">
                  <c:v>100</c:v>
                </c:pt>
                <c:pt idx="16">
                  <c:v>7.4074074074074066</c:v>
                </c:pt>
                <c:pt idx="17">
                  <c:v>100</c:v>
                </c:pt>
                <c:pt idx="18">
                  <c:v>100</c:v>
                </c:pt>
                <c:pt idx="19">
                  <c:v>96.296296296296291</c:v>
                </c:pt>
                <c:pt idx="20">
                  <c:v>98</c:v>
                </c:pt>
                <c:pt idx="21">
                  <c:v>94.285714285714278</c:v>
                </c:pt>
                <c:pt idx="22">
                  <c:v>93.333333333333329</c:v>
                </c:pt>
                <c:pt idx="23">
                  <c:v>100</c:v>
                </c:pt>
                <c:pt idx="24">
                  <c:v>100</c:v>
                </c:pt>
                <c:pt idx="25">
                  <c:v>100</c:v>
                </c:pt>
                <c:pt idx="26">
                  <c:v>95.454545454545453</c:v>
                </c:pt>
                <c:pt idx="27">
                  <c:v>100</c:v>
                </c:pt>
              </c:numCache>
            </c:numRef>
          </c:val>
        </c:ser>
        <c:ser>
          <c:idx val="0"/>
          <c:order val="1"/>
          <c:tx>
            <c:v>Evidence Haemorrhage*</c:v>
          </c:tx>
          <c:spPr>
            <a:solidFill>
              <a:srgbClr val="9999FF"/>
            </a:solidFill>
            <a:ln>
              <a:solidFill>
                <a:schemeClr val="tx1"/>
              </a:solidFill>
            </a:ln>
          </c:spPr>
          <c:dPt>
            <c:idx val="0"/>
            <c:spPr>
              <a:solidFill>
                <a:srgbClr val="008000"/>
              </a:solidFill>
              <a:ln>
                <a:solidFill>
                  <a:schemeClr val="tx1"/>
                </a:solidFill>
              </a:ln>
            </c:spPr>
          </c:dPt>
          <c:dPt>
            <c:idx val="29"/>
            <c:spPr>
              <a:solidFill>
                <a:srgbClr val="008000"/>
              </a:solidFill>
              <a:ln>
                <a:solidFill>
                  <a:schemeClr val="tx1"/>
                </a:solidFill>
              </a:ln>
            </c:spPr>
          </c:dPt>
          <c:cat>
            <c:strRef>
              <c:f>'Chart 15 (2014)'!$B$47:$B$74</c:f>
              <c:strCache>
                <c:ptCount val="28"/>
                <c:pt idx="0">
                  <c:v>Scotland</c:v>
                </c:pt>
                <c:pt idx="1">
                  <c:v>Ayr</c:v>
                </c:pt>
                <c:pt idx="2">
                  <c:v>Crosshouse</c:v>
                </c:pt>
                <c:pt idx="3">
                  <c:v>Borders</c:v>
                </c:pt>
                <c:pt idx="4">
                  <c:v>DGRI</c:v>
                </c:pt>
                <c:pt idx="5">
                  <c:v>GCH</c:v>
                </c:pt>
                <c:pt idx="6">
                  <c:v>VHK</c:v>
                </c:pt>
                <c:pt idx="7">
                  <c:v>FVRH</c:v>
                </c:pt>
                <c:pt idx="8">
                  <c:v>ARI</c:v>
                </c:pt>
                <c:pt idx="9">
                  <c:v>Dr Grays</c:v>
                </c:pt>
                <c:pt idx="10">
                  <c:v>GRI</c:v>
                </c:pt>
                <c:pt idx="11">
                  <c:v>QEUH</c:v>
                </c:pt>
                <c:pt idx="12">
                  <c:v>RAH</c:v>
                </c:pt>
                <c:pt idx="13">
                  <c:v>Belford</c:v>
                </c:pt>
                <c:pt idx="14">
                  <c:v>Caithness</c:v>
                </c:pt>
                <c:pt idx="15">
                  <c:v>L&amp;I</c:v>
                </c:pt>
                <c:pt idx="16">
                  <c:v>Raigmore</c:v>
                </c:pt>
                <c:pt idx="17">
                  <c:v>Hairmyres</c:v>
                </c:pt>
                <c:pt idx="18">
                  <c:v>Monklands</c:v>
                </c:pt>
                <c:pt idx="19">
                  <c:v>Wishaw</c:v>
                </c:pt>
                <c:pt idx="20">
                  <c:v>RIE</c:v>
                </c:pt>
                <c:pt idx="21">
                  <c:v>SJH</c:v>
                </c:pt>
                <c:pt idx="22">
                  <c:v>WGH</c:v>
                </c:pt>
                <c:pt idx="23">
                  <c:v>Balfour</c:v>
                </c:pt>
                <c:pt idx="24">
                  <c:v>Gilbert Bain</c:v>
                </c:pt>
                <c:pt idx="25">
                  <c:v>Ninewells</c:v>
                </c:pt>
                <c:pt idx="26">
                  <c:v>PRI</c:v>
                </c:pt>
                <c:pt idx="27">
                  <c:v>Western Isles</c:v>
                </c:pt>
              </c:strCache>
            </c:strRef>
          </c:cat>
          <c:val>
            <c:numRef>
              <c:f>'Chart 15 (2014)'!$L$47:$L$74</c:f>
              <c:numCache>
                <c:formatCode>0.0</c:formatCode>
                <c:ptCount val="28"/>
                <c:pt idx="0">
                  <c:v>12.576312576312576</c:v>
                </c:pt>
                <c:pt idx="1">
                  <c:v>5.5555555555555554</c:v>
                </c:pt>
                <c:pt idx="2">
                  <c:v>6.666666666666667</c:v>
                </c:pt>
                <c:pt idx="3">
                  <c:v>0</c:v>
                </c:pt>
                <c:pt idx="4">
                  <c:v>0</c:v>
                </c:pt>
                <c:pt idx="5">
                  <c:v>18.181818181818183</c:v>
                </c:pt>
                <c:pt idx="6">
                  <c:v>20.454545454545457</c:v>
                </c:pt>
                <c:pt idx="7">
                  <c:v>11.428571428571429</c:v>
                </c:pt>
                <c:pt idx="8">
                  <c:v>16.393442622950818</c:v>
                </c:pt>
                <c:pt idx="9">
                  <c:v>16.666666666666664</c:v>
                </c:pt>
                <c:pt idx="10">
                  <c:v>0</c:v>
                </c:pt>
                <c:pt idx="11">
                  <c:v>15</c:v>
                </c:pt>
                <c:pt idx="12">
                  <c:v>0</c:v>
                </c:pt>
                <c:pt idx="13">
                  <c:v>0</c:v>
                </c:pt>
                <c:pt idx="14">
                  <c:v>0</c:v>
                </c:pt>
                <c:pt idx="15">
                  <c:v>25</c:v>
                </c:pt>
                <c:pt idx="16">
                  <c:v>50</c:v>
                </c:pt>
                <c:pt idx="17">
                  <c:v>14.285714285714285</c:v>
                </c:pt>
                <c:pt idx="18">
                  <c:v>7.6923076923076925</c:v>
                </c:pt>
                <c:pt idx="19">
                  <c:v>0</c:v>
                </c:pt>
                <c:pt idx="20">
                  <c:v>14.285714285714285</c:v>
                </c:pt>
                <c:pt idx="21">
                  <c:v>9.0909090909090917</c:v>
                </c:pt>
                <c:pt idx="22">
                  <c:v>7.1428571428571423</c:v>
                </c:pt>
                <c:pt idx="23">
                  <c:v>0</c:v>
                </c:pt>
                <c:pt idx="24">
                  <c:v>0</c:v>
                </c:pt>
                <c:pt idx="25">
                  <c:v>10.204081632653061</c:v>
                </c:pt>
                <c:pt idx="26">
                  <c:v>14.285714285714285</c:v>
                </c:pt>
                <c:pt idx="27">
                  <c:v>0</c:v>
                </c:pt>
              </c:numCache>
            </c:numRef>
          </c:val>
        </c:ser>
        <c:gapWidth val="50"/>
        <c:axId val="161702656"/>
        <c:axId val="161704192"/>
      </c:barChart>
      <c:catAx>
        <c:axId val="161702656"/>
        <c:scaling>
          <c:orientation val="minMax"/>
        </c:scaling>
        <c:axPos val="b"/>
        <c:tickLblPos val="nextTo"/>
        <c:txPr>
          <a:bodyPr rot="-5400000" vert="horz"/>
          <a:lstStyle/>
          <a:p>
            <a:pPr>
              <a:defRPr sz="800">
                <a:latin typeface="Arial" pitchFamily="34" charset="0"/>
                <a:cs typeface="Arial" pitchFamily="34" charset="0"/>
              </a:defRPr>
            </a:pPr>
            <a:endParaRPr lang="en-US"/>
          </a:p>
        </c:txPr>
        <c:crossAx val="161704192"/>
        <c:crosses val="autoZero"/>
        <c:auto val="1"/>
        <c:lblAlgn val="ctr"/>
        <c:lblOffset val="100"/>
      </c:catAx>
      <c:valAx>
        <c:axId val="161704192"/>
        <c:scaling>
          <c:orientation val="minMax"/>
          <c:max val="100"/>
        </c:scaling>
        <c:axPos val="l"/>
        <c:title>
          <c:tx>
            <c:rich>
              <a:bodyPr rot="0" vert="wordArtVert"/>
              <a:lstStyle/>
              <a:p>
                <a:pPr>
                  <a:defRPr/>
                </a:pPr>
                <a:r>
                  <a:rPr lang="en-GB"/>
                  <a:t>%</a:t>
                </a:r>
              </a:p>
            </c:rich>
          </c:tx>
          <c:layout/>
        </c:title>
        <c:numFmt formatCode="0" sourceLinked="1"/>
        <c:tickLblPos val="nextTo"/>
        <c:txPr>
          <a:bodyPr/>
          <a:lstStyle/>
          <a:p>
            <a:pPr>
              <a:defRPr sz="800">
                <a:latin typeface="Arial" pitchFamily="34" charset="0"/>
                <a:cs typeface="Arial" pitchFamily="34" charset="0"/>
              </a:defRPr>
            </a:pPr>
            <a:endParaRPr lang="en-US"/>
          </a:p>
        </c:txPr>
        <c:crossAx val="161702656"/>
        <c:crosses val="autoZero"/>
        <c:crossBetween val="between"/>
      </c:valAx>
      <c:spPr>
        <a:ln>
          <a:solidFill>
            <a:srgbClr val="000000"/>
          </a:solidFill>
        </a:ln>
      </c:spPr>
    </c:plotArea>
    <c:legend>
      <c:legendPos val="r"/>
      <c:layout>
        <c:manualLayout>
          <c:xMode val="edge"/>
          <c:yMode val="edge"/>
          <c:x val="0.88998287240820961"/>
          <c:y val="0.27159756321973128"/>
          <c:w val="0.11001712759179035"/>
          <c:h val="0.12224152792709173"/>
        </c:manualLayout>
      </c:layout>
      <c:txPr>
        <a:bodyPr/>
        <a:lstStyle/>
        <a:p>
          <a:pPr>
            <a:defRPr sz="800">
              <a:latin typeface="Arial" pitchFamily="34" charset="0"/>
              <a:cs typeface="Arial" pitchFamily="34" charset="0"/>
            </a:defRPr>
          </a:pPr>
          <a:endParaRPr lang="en-US"/>
        </a:p>
      </c:txPr>
    </c:legend>
    <c:plotVisOnly val="1"/>
  </c:chart>
  <c:printSettings>
    <c:headerFooter/>
    <c:pageMargins b="0.75000000000001388" l="0.70000000000000062" r="0.70000000000000062" t="0.7500000000000138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17a DATA'!$A$3</c:f>
              <c:strCache>
                <c:ptCount val="1"/>
                <c:pt idx="0">
                  <c:v>Scotland (+s)</c:v>
                </c:pt>
              </c:strCache>
            </c:strRef>
          </c:tx>
          <c:spPr>
            <a:ln w="63500">
              <a:solidFill>
                <a:schemeClr val="tx1"/>
              </a:solidFill>
            </a:ln>
          </c:spPr>
          <c:marker>
            <c:symbol val="none"/>
          </c:marker>
          <c:cat>
            <c:numRef>
              <c:f>'Chart 17a DATA'!$L$2:$P$2</c:f>
              <c:numCache>
                <c:formatCode>General</c:formatCode>
                <c:ptCount val="5"/>
                <c:pt idx="0">
                  <c:v>2011</c:v>
                </c:pt>
                <c:pt idx="1">
                  <c:v>2012</c:v>
                </c:pt>
                <c:pt idx="2">
                  <c:v>2013</c:v>
                </c:pt>
                <c:pt idx="3">
                  <c:v>2014</c:v>
                </c:pt>
                <c:pt idx="4">
                  <c:v>2015</c:v>
                </c:pt>
              </c:numCache>
            </c:numRef>
          </c:cat>
          <c:val>
            <c:numRef>
              <c:f>'Chart 17a DATA'!$L$3:$P$3</c:f>
              <c:numCache>
                <c:formatCode>0</c:formatCode>
                <c:ptCount val="5"/>
                <c:pt idx="0">
                  <c:v>75.768065772392902</c:v>
                </c:pt>
                <c:pt idx="1">
                  <c:v>78.193325661680092</c:v>
                </c:pt>
                <c:pt idx="2">
                  <c:v>81.274208628289031</c:v>
                </c:pt>
                <c:pt idx="3">
                  <c:v>79.584961595472308</c:v>
                </c:pt>
                <c:pt idx="4">
                  <c:v>78.362573099415201</c:v>
                </c:pt>
              </c:numCache>
            </c:numRef>
          </c:val>
        </c:ser>
        <c:ser>
          <c:idx val="0"/>
          <c:order val="1"/>
          <c:tx>
            <c:strRef>
              <c:f>'Chart 17a DATA'!$A$4</c:f>
              <c:strCache>
                <c:ptCount val="1"/>
                <c:pt idx="0">
                  <c:v>Ayrshire &amp; Arran (-)</c:v>
                </c:pt>
              </c:strCache>
            </c:strRef>
          </c:tx>
          <c:spPr>
            <a:ln w="19050"/>
          </c:spPr>
          <c:marker>
            <c:symbol val="none"/>
          </c:marker>
          <c:cat>
            <c:numRef>
              <c:f>'Chart 17a DATA'!$L$2:$P$2</c:f>
              <c:numCache>
                <c:formatCode>General</c:formatCode>
                <c:ptCount val="5"/>
                <c:pt idx="0">
                  <c:v>2011</c:v>
                </c:pt>
                <c:pt idx="1">
                  <c:v>2012</c:v>
                </c:pt>
                <c:pt idx="2">
                  <c:v>2013</c:v>
                </c:pt>
                <c:pt idx="3">
                  <c:v>2014</c:v>
                </c:pt>
                <c:pt idx="4">
                  <c:v>2015</c:v>
                </c:pt>
              </c:numCache>
            </c:numRef>
          </c:cat>
          <c:val>
            <c:numRef>
              <c:f>'Chart 17a DATA'!$L$4:$P$4</c:f>
              <c:numCache>
                <c:formatCode>0</c:formatCode>
                <c:ptCount val="5"/>
                <c:pt idx="0">
                  <c:v>90.757855822550837</c:v>
                </c:pt>
                <c:pt idx="1">
                  <c:v>87.921847246891645</c:v>
                </c:pt>
                <c:pt idx="2">
                  <c:v>91.457286432160799</c:v>
                </c:pt>
                <c:pt idx="3">
                  <c:v>87.758945386064042</c:v>
                </c:pt>
                <c:pt idx="4">
                  <c:v>89.85507246376811</c:v>
                </c:pt>
              </c:numCache>
            </c:numRef>
          </c:val>
        </c:ser>
        <c:ser>
          <c:idx val="2"/>
          <c:order val="2"/>
          <c:tx>
            <c:strRef>
              <c:f>'Chart 17a DATA'!$A$5</c:f>
              <c:strCache>
                <c:ptCount val="1"/>
                <c:pt idx="0">
                  <c:v>Borders (+s)</c:v>
                </c:pt>
              </c:strCache>
            </c:strRef>
          </c:tx>
          <c:spPr>
            <a:ln w="38100">
              <a:prstDash val="sysDot"/>
            </a:ln>
          </c:spPr>
          <c:marker>
            <c:symbol val="none"/>
          </c:marker>
          <c:cat>
            <c:numRef>
              <c:f>'Chart 17a DATA'!$L$2:$P$2</c:f>
              <c:numCache>
                <c:formatCode>General</c:formatCode>
                <c:ptCount val="5"/>
                <c:pt idx="0">
                  <c:v>2011</c:v>
                </c:pt>
                <c:pt idx="1">
                  <c:v>2012</c:v>
                </c:pt>
                <c:pt idx="2">
                  <c:v>2013</c:v>
                </c:pt>
                <c:pt idx="3">
                  <c:v>2014</c:v>
                </c:pt>
                <c:pt idx="4">
                  <c:v>2015</c:v>
                </c:pt>
              </c:numCache>
            </c:numRef>
          </c:cat>
          <c:val>
            <c:numRef>
              <c:f>'Chart 17a DATA'!$L$5:$P$5</c:f>
              <c:numCache>
                <c:formatCode>0</c:formatCode>
                <c:ptCount val="5"/>
                <c:pt idx="0">
                  <c:v>66.310160427807489</c:v>
                </c:pt>
                <c:pt idx="1">
                  <c:v>82.320441988950279</c:v>
                </c:pt>
                <c:pt idx="2">
                  <c:v>97.282608695652172</c:v>
                </c:pt>
                <c:pt idx="3">
                  <c:v>90.751445086705203</c:v>
                </c:pt>
                <c:pt idx="4">
                  <c:v>81.675392670157066</c:v>
                </c:pt>
              </c:numCache>
            </c:numRef>
          </c:val>
        </c:ser>
        <c:ser>
          <c:idx val="3"/>
          <c:order val="3"/>
          <c:tx>
            <c:strRef>
              <c:f>'Chart 17a DATA'!$A$6</c:f>
              <c:strCache>
                <c:ptCount val="1"/>
                <c:pt idx="0">
                  <c:v>Dumfries &amp; Galloway (+)</c:v>
                </c:pt>
              </c:strCache>
            </c:strRef>
          </c:tx>
          <c:marker>
            <c:symbol val="none"/>
          </c:marker>
          <c:val>
            <c:numRef>
              <c:f>'Chart 17a DATA'!$L$6:$P$6</c:f>
              <c:numCache>
                <c:formatCode>0</c:formatCode>
                <c:ptCount val="5"/>
                <c:pt idx="0">
                  <c:v>81.057268722466958</c:v>
                </c:pt>
                <c:pt idx="1">
                  <c:v>81.818181818181827</c:v>
                </c:pt>
                <c:pt idx="2">
                  <c:v>85.546875</c:v>
                </c:pt>
                <c:pt idx="3">
                  <c:v>85.596707818930042</c:v>
                </c:pt>
                <c:pt idx="4">
                  <c:v>81.666666666666671</c:v>
                </c:pt>
              </c:numCache>
            </c:numRef>
          </c:val>
        </c:ser>
        <c:ser>
          <c:idx val="4"/>
          <c:order val="4"/>
          <c:tx>
            <c:strRef>
              <c:f>'Chart 17a DATA'!$A$7</c:f>
              <c:strCache>
                <c:ptCount val="1"/>
                <c:pt idx="0">
                  <c:v>Fife (+s)</c:v>
                </c:pt>
              </c:strCache>
            </c:strRef>
          </c:tx>
          <c:spPr>
            <a:ln>
              <a:prstDash val="dash"/>
            </a:ln>
          </c:spPr>
          <c:marker>
            <c:symbol val="none"/>
          </c:marker>
          <c:val>
            <c:numRef>
              <c:f>'Chart 17a DATA'!$L$7:$P$7</c:f>
              <c:numCache>
                <c:formatCode>0</c:formatCode>
                <c:ptCount val="5"/>
                <c:pt idx="0">
                  <c:v>77.097505668934247</c:v>
                </c:pt>
                <c:pt idx="1">
                  <c:v>78.863636363636374</c:v>
                </c:pt>
                <c:pt idx="2">
                  <c:v>90.496760259179268</c:v>
                </c:pt>
                <c:pt idx="3">
                  <c:v>86.192468619246867</c:v>
                </c:pt>
                <c:pt idx="4">
                  <c:v>84.63073852295409</c:v>
                </c:pt>
              </c:numCache>
            </c:numRef>
          </c:val>
        </c:ser>
        <c:ser>
          <c:idx val="5"/>
          <c:order val="5"/>
          <c:tx>
            <c:strRef>
              <c:f>'Chart 17a DATA'!$A$8</c:f>
              <c:strCache>
                <c:ptCount val="1"/>
                <c:pt idx="0">
                  <c:v>Forth Valley (+s)</c:v>
                </c:pt>
              </c:strCache>
            </c:strRef>
          </c:tx>
          <c:marker>
            <c:symbol val="none"/>
          </c:marker>
          <c:val>
            <c:numRef>
              <c:f>'Chart 17a DATA'!$L$8:$P$8</c:f>
              <c:numCache>
                <c:formatCode>0</c:formatCode>
                <c:ptCount val="5"/>
                <c:pt idx="0">
                  <c:v>63.615560640732262</c:v>
                </c:pt>
                <c:pt idx="1">
                  <c:v>82.816229116945109</c:v>
                </c:pt>
                <c:pt idx="2">
                  <c:v>72.681704260651628</c:v>
                </c:pt>
                <c:pt idx="3">
                  <c:v>81.149425287356323</c:v>
                </c:pt>
                <c:pt idx="4">
                  <c:v>76.374745417515271</c:v>
                </c:pt>
              </c:numCache>
            </c:numRef>
          </c:val>
        </c:ser>
        <c:ser>
          <c:idx val="6"/>
          <c:order val="6"/>
          <c:tx>
            <c:strRef>
              <c:f>'Chart 17a DATA'!$A$9</c:f>
              <c:strCache>
                <c:ptCount val="1"/>
                <c:pt idx="0">
                  <c:v>Grampian (-s)</c:v>
                </c:pt>
              </c:strCache>
            </c:strRef>
          </c:tx>
          <c:marker>
            <c:symbol val="none"/>
          </c:marker>
          <c:val>
            <c:numRef>
              <c:f>'Chart 17a DATA'!$L$9:$P$9</c:f>
              <c:numCache>
                <c:formatCode>0</c:formatCode>
                <c:ptCount val="5"/>
                <c:pt idx="0">
                  <c:v>76.894639556377072</c:v>
                </c:pt>
                <c:pt idx="1">
                  <c:v>74.538745387453872</c:v>
                </c:pt>
                <c:pt idx="2">
                  <c:v>74.567474048442904</c:v>
                </c:pt>
                <c:pt idx="3">
                  <c:v>73.544093178036604</c:v>
                </c:pt>
                <c:pt idx="4">
                  <c:v>71.664167916041976</c:v>
                </c:pt>
              </c:numCache>
            </c:numRef>
          </c:val>
        </c:ser>
        <c:ser>
          <c:idx val="7"/>
          <c:order val="7"/>
          <c:tx>
            <c:strRef>
              <c:f>'Chart 17a DATA'!$A$10</c:f>
              <c:strCache>
                <c:ptCount val="1"/>
                <c:pt idx="0">
                  <c:v>Greater Glasgow &amp; Clyde (+s)</c:v>
                </c:pt>
              </c:strCache>
            </c:strRef>
          </c:tx>
          <c:spPr>
            <a:ln>
              <a:solidFill>
                <a:srgbClr val="C00000"/>
              </a:solidFill>
            </a:ln>
          </c:spPr>
          <c:marker>
            <c:symbol val="none"/>
          </c:marker>
          <c:val>
            <c:numRef>
              <c:f>'Chart 17a DATA'!$L$10:$P$10</c:f>
              <c:numCache>
                <c:formatCode>0</c:formatCode>
                <c:ptCount val="5"/>
                <c:pt idx="0">
                  <c:v>70.380434782608688</c:v>
                </c:pt>
                <c:pt idx="1">
                  <c:v>73.120955699352905</c:v>
                </c:pt>
                <c:pt idx="2">
                  <c:v>81.913827655310627</c:v>
                </c:pt>
                <c:pt idx="3">
                  <c:v>82.016890213611532</c:v>
                </c:pt>
                <c:pt idx="4">
                  <c:v>86.04422604422605</c:v>
                </c:pt>
              </c:numCache>
            </c:numRef>
          </c:val>
        </c:ser>
        <c:ser>
          <c:idx val="8"/>
          <c:order val="8"/>
          <c:tx>
            <c:strRef>
              <c:f>'Chart 17a DATA'!$A$11</c:f>
              <c:strCache>
                <c:ptCount val="1"/>
                <c:pt idx="0">
                  <c:v>Highland (+s)</c:v>
                </c:pt>
              </c:strCache>
            </c:strRef>
          </c:tx>
          <c:marker>
            <c:symbol val="none"/>
          </c:marker>
          <c:val>
            <c:numRef>
              <c:f>'Chart 17a DATA'!$L$11:$P$11</c:f>
              <c:numCache>
                <c:formatCode>0</c:formatCode>
                <c:ptCount val="5"/>
                <c:pt idx="0">
                  <c:v>47.074468085106389</c:v>
                </c:pt>
                <c:pt idx="1">
                  <c:v>68.15789473684211</c:v>
                </c:pt>
                <c:pt idx="2">
                  <c:v>73.68421052631578</c:v>
                </c:pt>
                <c:pt idx="3">
                  <c:v>74.603174603174608</c:v>
                </c:pt>
                <c:pt idx="4">
                  <c:v>60.904255319148938</c:v>
                </c:pt>
              </c:numCache>
            </c:numRef>
          </c:val>
        </c:ser>
        <c:ser>
          <c:idx val="9"/>
          <c:order val="9"/>
          <c:tx>
            <c:strRef>
              <c:f>'Chart 17a DATA'!$A$12</c:f>
              <c:strCache>
                <c:ptCount val="1"/>
                <c:pt idx="0">
                  <c:v>Lanarkshire (-)</c:v>
                </c:pt>
              </c:strCache>
            </c:strRef>
          </c:tx>
          <c:spPr>
            <a:ln>
              <a:solidFill>
                <a:schemeClr val="bg2">
                  <a:lumMod val="50000"/>
                </a:schemeClr>
              </a:solidFill>
            </a:ln>
          </c:spPr>
          <c:marker>
            <c:symbol val="none"/>
          </c:marker>
          <c:val>
            <c:numRef>
              <c:f>'Chart 17a DATA'!$L$12:$P$12</c:f>
              <c:numCache>
                <c:formatCode>0</c:formatCode>
                <c:ptCount val="5"/>
                <c:pt idx="0">
                  <c:v>84.409257003654076</c:v>
                </c:pt>
                <c:pt idx="1">
                  <c:v>91.517857142857139</c:v>
                </c:pt>
                <c:pt idx="2">
                  <c:v>89.5</c:v>
                </c:pt>
                <c:pt idx="3">
                  <c:v>89.382716049382722</c:v>
                </c:pt>
                <c:pt idx="4">
                  <c:v>81.093935790725325</c:v>
                </c:pt>
              </c:numCache>
            </c:numRef>
          </c:val>
        </c:ser>
        <c:ser>
          <c:idx val="10"/>
          <c:order val="10"/>
          <c:tx>
            <c:strRef>
              <c:f>'Chart 17a DATA'!$A$13</c:f>
              <c:strCache>
                <c:ptCount val="1"/>
                <c:pt idx="0">
                  <c:v>Lothian (-s)</c:v>
                </c:pt>
              </c:strCache>
            </c:strRef>
          </c:tx>
          <c:spPr>
            <a:ln>
              <a:prstDash val="lgDash"/>
            </a:ln>
          </c:spPr>
          <c:marker>
            <c:symbol val="none"/>
          </c:marker>
          <c:val>
            <c:numRef>
              <c:f>'Chart 17a DATA'!$L$13:$P$13</c:f>
              <c:numCache>
                <c:formatCode>0</c:formatCode>
                <c:ptCount val="5"/>
                <c:pt idx="0">
                  <c:v>78.74720357941834</c:v>
                </c:pt>
                <c:pt idx="1">
                  <c:v>70.267131242741002</c:v>
                </c:pt>
                <c:pt idx="2">
                  <c:v>68.035714285714292</c:v>
                </c:pt>
                <c:pt idx="3">
                  <c:v>61.764705882352942</c:v>
                </c:pt>
                <c:pt idx="4">
                  <c:v>63.412489006156548</c:v>
                </c:pt>
              </c:numCache>
            </c:numRef>
          </c:val>
        </c:ser>
        <c:ser>
          <c:idx val="11"/>
          <c:order val="11"/>
          <c:tx>
            <c:strRef>
              <c:f>'Chart 17a DATA'!$A$14</c:f>
              <c:strCache>
                <c:ptCount val="1"/>
                <c:pt idx="0">
                  <c:v>Orkney (+)</c:v>
                </c:pt>
              </c:strCache>
            </c:strRef>
          </c:tx>
          <c:spPr>
            <a:ln>
              <a:solidFill>
                <a:schemeClr val="bg1">
                  <a:lumMod val="65000"/>
                </a:schemeClr>
              </a:solidFill>
              <a:prstDash val="lgDash"/>
            </a:ln>
          </c:spPr>
          <c:marker>
            <c:symbol val="none"/>
          </c:marker>
          <c:val>
            <c:numRef>
              <c:f>'Chart 17a DATA'!$L$14:$P$14</c:f>
              <c:numCache>
                <c:formatCode>0</c:formatCode>
                <c:ptCount val="5"/>
                <c:pt idx="0">
                  <c:v>70.370370370370367</c:v>
                </c:pt>
                <c:pt idx="1">
                  <c:v>50</c:v>
                </c:pt>
                <c:pt idx="2">
                  <c:v>64.86486486486487</c:v>
                </c:pt>
                <c:pt idx="3">
                  <c:v>80.645161290322577</c:v>
                </c:pt>
                <c:pt idx="4">
                  <c:v>72</c:v>
                </c:pt>
              </c:numCache>
            </c:numRef>
          </c:val>
        </c:ser>
        <c:ser>
          <c:idx val="12"/>
          <c:order val="12"/>
          <c:tx>
            <c:strRef>
              <c:f>'Chart 17a DATA'!$A$15</c:f>
              <c:strCache>
                <c:ptCount val="1"/>
                <c:pt idx="0">
                  <c:v>Shetland (+s)</c:v>
                </c:pt>
              </c:strCache>
            </c:strRef>
          </c:tx>
          <c:spPr>
            <a:ln w="38100">
              <a:prstDash val="lgDashDotDot"/>
            </a:ln>
          </c:spPr>
          <c:marker>
            <c:symbol val="none"/>
          </c:marker>
          <c:val>
            <c:numRef>
              <c:f>'Chart 17a DATA'!$L$15:$P$15</c:f>
              <c:numCache>
                <c:formatCode>0</c:formatCode>
                <c:ptCount val="5"/>
                <c:pt idx="0">
                  <c:v>100</c:v>
                </c:pt>
                <c:pt idx="1">
                  <c:v>100</c:v>
                </c:pt>
                <c:pt idx="2">
                  <c:v>100</c:v>
                </c:pt>
                <c:pt idx="3">
                  <c:v>100</c:v>
                </c:pt>
                <c:pt idx="4">
                  <c:v>100</c:v>
                </c:pt>
              </c:numCache>
            </c:numRef>
          </c:val>
        </c:ser>
        <c:ser>
          <c:idx val="13"/>
          <c:order val="13"/>
          <c:tx>
            <c:strRef>
              <c:f>'Chart 17a DATA'!$A$16</c:f>
              <c:strCache>
                <c:ptCount val="1"/>
                <c:pt idx="0">
                  <c:v>Tayside (-s)</c:v>
                </c:pt>
              </c:strCache>
            </c:strRef>
          </c:tx>
          <c:marker>
            <c:symbol val="none"/>
          </c:marker>
          <c:val>
            <c:numRef>
              <c:f>'Chart 17a DATA'!$L$16:$P$16</c:f>
              <c:numCache>
                <c:formatCode>0</c:formatCode>
                <c:ptCount val="5"/>
                <c:pt idx="0">
                  <c:v>87.54646840148699</c:v>
                </c:pt>
                <c:pt idx="1">
                  <c:v>86.145648312611016</c:v>
                </c:pt>
                <c:pt idx="2">
                  <c:v>85.714285714285708</c:v>
                </c:pt>
                <c:pt idx="3">
                  <c:v>80.961538461538467</c:v>
                </c:pt>
                <c:pt idx="4">
                  <c:v>77.123050259965339</c:v>
                </c:pt>
              </c:numCache>
            </c:numRef>
          </c:val>
        </c:ser>
        <c:ser>
          <c:idx val="14"/>
          <c:order val="14"/>
          <c:tx>
            <c:strRef>
              <c:f>'Chart 17a DATA'!$A$17</c:f>
              <c:strCache>
                <c:ptCount val="1"/>
                <c:pt idx="0">
                  <c:v>Western Isles (+)</c:v>
                </c:pt>
              </c:strCache>
            </c:strRef>
          </c:tx>
          <c:marker>
            <c:symbol val="none"/>
          </c:marker>
          <c:val>
            <c:numRef>
              <c:f>'Chart 17a DATA'!$L$17:$P$17</c:f>
              <c:numCache>
                <c:formatCode>0</c:formatCode>
                <c:ptCount val="5"/>
                <c:pt idx="0">
                  <c:v>93.103448275862064</c:v>
                </c:pt>
                <c:pt idx="1">
                  <c:v>75</c:v>
                </c:pt>
                <c:pt idx="2">
                  <c:v>91.304347826086953</c:v>
                </c:pt>
                <c:pt idx="3">
                  <c:v>95</c:v>
                </c:pt>
                <c:pt idx="4">
                  <c:v>90.625</c:v>
                </c:pt>
              </c:numCache>
            </c:numRef>
          </c:val>
        </c:ser>
        <c:marker val="1"/>
        <c:axId val="161902976"/>
        <c:axId val="161904512"/>
      </c:lineChart>
      <c:catAx>
        <c:axId val="161902976"/>
        <c:scaling>
          <c:orientation val="minMax"/>
        </c:scaling>
        <c:axPos val="b"/>
        <c:numFmt formatCode="General" sourceLinked="1"/>
        <c:tickLblPos val="nextTo"/>
        <c:crossAx val="161904512"/>
        <c:crosses val="autoZero"/>
        <c:auto val="1"/>
        <c:lblAlgn val="ctr"/>
        <c:lblOffset val="100"/>
      </c:catAx>
      <c:valAx>
        <c:axId val="161904512"/>
        <c:scaling>
          <c:orientation val="minMax"/>
          <c:max val="100"/>
        </c:scaling>
        <c:axPos val="l"/>
        <c:title>
          <c:tx>
            <c:rich>
              <a:bodyPr rot="0" vert="wordArtVert"/>
              <a:lstStyle/>
              <a:p>
                <a:pPr>
                  <a:defRPr/>
                </a:pPr>
                <a:r>
                  <a:rPr lang="en-GB"/>
                  <a:t>%</a:t>
                </a:r>
              </a:p>
            </c:rich>
          </c:tx>
          <c:layout/>
        </c:title>
        <c:numFmt formatCode="0" sourceLinked="1"/>
        <c:tickLblPos val="nextTo"/>
        <c:crossAx val="161902976"/>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512"/>
          <c:h val="0.87035831205139536"/>
        </c:manualLayout>
      </c:layout>
      <c:spPr>
        <a:ln>
          <a:solidFill>
            <a:schemeClr val="tx1"/>
          </a:solidFill>
        </a:ln>
      </c:spPr>
      <c:txPr>
        <a:bodyPr/>
        <a:lstStyle/>
        <a:p>
          <a:pPr>
            <a:defRPr sz="900"/>
          </a:pPr>
          <a:endParaRPr lang="en-US"/>
        </a:p>
      </c:txPr>
    </c:legend>
    <c:plotVisOnly val="1"/>
  </c:chart>
  <c:printSettings>
    <c:headerFooter/>
    <c:pageMargins b="0.75000000000001088" l="0.70000000000000062" r="0.70000000000000062" t="0.7500000000000108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17b DATA'!$A$3</c:f>
              <c:strCache>
                <c:ptCount val="1"/>
                <c:pt idx="0">
                  <c:v>Scotland (+s)</c:v>
                </c:pt>
              </c:strCache>
            </c:strRef>
          </c:tx>
          <c:spPr>
            <a:ln w="63500">
              <a:solidFill>
                <a:schemeClr val="tx1"/>
              </a:solidFill>
            </a:ln>
          </c:spPr>
          <c:marker>
            <c:symbol val="none"/>
          </c:marker>
          <c:cat>
            <c:numRef>
              <c:f>'Chart 17b DATA'!$L$2:$P$2</c:f>
              <c:numCache>
                <c:formatCode>General</c:formatCode>
                <c:ptCount val="5"/>
                <c:pt idx="0">
                  <c:v>2011</c:v>
                </c:pt>
                <c:pt idx="1">
                  <c:v>2012</c:v>
                </c:pt>
                <c:pt idx="2">
                  <c:v>2013</c:v>
                </c:pt>
                <c:pt idx="3">
                  <c:v>2014</c:v>
                </c:pt>
                <c:pt idx="4">
                  <c:v>2015</c:v>
                </c:pt>
              </c:numCache>
            </c:numRef>
          </c:cat>
          <c:val>
            <c:numRef>
              <c:f>'Chart 17b DATA'!$L$3:$P$3</c:f>
              <c:numCache>
                <c:formatCode>0</c:formatCode>
                <c:ptCount val="5"/>
                <c:pt idx="0">
                  <c:v>65.030972913883161</c:v>
                </c:pt>
                <c:pt idx="1">
                  <c:v>67.389669007021055</c:v>
                </c:pt>
                <c:pt idx="2">
                  <c:v>71.981724728726434</c:v>
                </c:pt>
                <c:pt idx="3">
                  <c:v>76.960054938766163</c:v>
                </c:pt>
                <c:pt idx="4">
                  <c:v>79.880345668070021</c:v>
                </c:pt>
              </c:numCache>
            </c:numRef>
          </c:val>
        </c:ser>
        <c:ser>
          <c:idx val="0"/>
          <c:order val="1"/>
          <c:tx>
            <c:strRef>
              <c:f>'Chart 17b DATA'!$A$4</c:f>
              <c:strCache>
                <c:ptCount val="1"/>
                <c:pt idx="0">
                  <c:v>Ayrshire &amp; Arran (-s)</c:v>
                </c:pt>
              </c:strCache>
            </c:strRef>
          </c:tx>
          <c:spPr>
            <a:ln w="19050"/>
          </c:spPr>
          <c:marker>
            <c:symbol val="none"/>
          </c:marker>
          <c:cat>
            <c:numRef>
              <c:f>'Chart 17b DATA'!$L$2:$P$2</c:f>
              <c:numCache>
                <c:formatCode>General</c:formatCode>
                <c:ptCount val="5"/>
                <c:pt idx="0">
                  <c:v>2011</c:v>
                </c:pt>
                <c:pt idx="1">
                  <c:v>2012</c:v>
                </c:pt>
                <c:pt idx="2">
                  <c:v>2013</c:v>
                </c:pt>
                <c:pt idx="3">
                  <c:v>2014</c:v>
                </c:pt>
                <c:pt idx="4">
                  <c:v>2015</c:v>
                </c:pt>
              </c:numCache>
            </c:numRef>
          </c:cat>
          <c:val>
            <c:numRef>
              <c:f>'Chart 17b DATA'!$L$4:$P$4</c:f>
              <c:numCache>
                <c:formatCode>0</c:formatCode>
                <c:ptCount val="5"/>
                <c:pt idx="0">
                  <c:v>76.323987538940813</c:v>
                </c:pt>
                <c:pt idx="1">
                  <c:v>78.12018489984591</c:v>
                </c:pt>
                <c:pt idx="2">
                  <c:v>77.134587554269174</c:v>
                </c:pt>
                <c:pt idx="3">
                  <c:v>74.803149606299215</c:v>
                </c:pt>
                <c:pt idx="4">
                  <c:v>76.153846153846146</c:v>
                </c:pt>
              </c:numCache>
            </c:numRef>
          </c:val>
        </c:ser>
        <c:ser>
          <c:idx val="2"/>
          <c:order val="2"/>
          <c:tx>
            <c:strRef>
              <c:f>'Chart 17b DATA'!$A$5</c:f>
              <c:strCache>
                <c:ptCount val="1"/>
                <c:pt idx="0">
                  <c:v>Borders (+s)</c:v>
                </c:pt>
              </c:strCache>
            </c:strRef>
          </c:tx>
          <c:spPr>
            <a:ln w="38100">
              <a:prstDash val="sysDot"/>
            </a:ln>
          </c:spPr>
          <c:marker>
            <c:symbol val="none"/>
          </c:marker>
          <c:cat>
            <c:numRef>
              <c:f>'Chart 17b DATA'!$L$2:$P$2</c:f>
              <c:numCache>
                <c:formatCode>General</c:formatCode>
                <c:ptCount val="5"/>
                <c:pt idx="0">
                  <c:v>2011</c:v>
                </c:pt>
                <c:pt idx="1">
                  <c:v>2012</c:v>
                </c:pt>
                <c:pt idx="2">
                  <c:v>2013</c:v>
                </c:pt>
                <c:pt idx="3">
                  <c:v>2014</c:v>
                </c:pt>
                <c:pt idx="4">
                  <c:v>2015</c:v>
                </c:pt>
              </c:numCache>
            </c:numRef>
          </c:cat>
          <c:val>
            <c:numRef>
              <c:f>'Chart 17b DATA'!$L$5:$P$5</c:f>
              <c:numCache>
                <c:formatCode>0</c:formatCode>
                <c:ptCount val="5"/>
                <c:pt idx="0">
                  <c:v>76.623376623376629</c:v>
                </c:pt>
                <c:pt idx="1">
                  <c:v>74.299065420560751</c:v>
                </c:pt>
                <c:pt idx="2">
                  <c:v>87.272727272727266</c:v>
                </c:pt>
                <c:pt idx="3">
                  <c:v>94.660194174757279</c:v>
                </c:pt>
                <c:pt idx="4">
                  <c:v>93.607305936073061</c:v>
                </c:pt>
              </c:numCache>
            </c:numRef>
          </c:val>
        </c:ser>
        <c:ser>
          <c:idx val="3"/>
          <c:order val="3"/>
          <c:tx>
            <c:strRef>
              <c:f>'Chart 17b DATA'!$A$6</c:f>
              <c:strCache>
                <c:ptCount val="1"/>
                <c:pt idx="0">
                  <c:v>Dumfries &amp; Galloway (+s)</c:v>
                </c:pt>
              </c:strCache>
            </c:strRef>
          </c:tx>
          <c:marker>
            <c:symbol val="none"/>
          </c:marker>
          <c:val>
            <c:numRef>
              <c:f>'Chart 17b DATA'!$L$6:$P$6</c:f>
              <c:numCache>
                <c:formatCode>0</c:formatCode>
                <c:ptCount val="5"/>
                <c:pt idx="0">
                  <c:v>73.282442748091597</c:v>
                </c:pt>
                <c:pt idx="1">
                  <c:v>77.740863787375417</c:v>
                </c:pt>
                <c:pt idx="2">
                  <c:v>85.61643835616438</c:v>
                </c:pt>
                <c:pt idx="3">
                  <c:v>83.848797250859107</c:v>
                </c:pt>
                <c:pt idx="4">
                  <c:v>86.219081272084807</c:v>
                </c:pt>
              </c:numCache>
            </c:numRef>
          </c:val>
        </c:ser>
        <c:ser>
          <c:idx val="4"/>
          <c:order val="4"/>
          <c:tx>
            <c:strRef>
              <c:f>'Chart 17b DATA'!$A$7</c:f>
              <c:strCache>
                <c:ptCount val="1"/>
                <c:pt idx="0">
                  <c:v>Fife (+s)</c:v>
                </c:pt>
              </c:strCache>
            </c:strRef>
          </c:tx>
          <c:spPr>
            <a:ln>
              <a:prstDash val="dash"/>
            </a:ln>
          </c:spPr>
          <c:marker>
            <c:symbol val="none"/>
          </c:marker>
          <c:val>
            <c:numRef>
              <c:f>'Chart 17b DATA'!$L$7:$P$7</c:f>
              <c:numCache>
                <c:formatCode>0</c:formatCode>
                <c:ptCount val="5"/>
                <c:pt idx="0">
                  <c:v>67.719298245614041</c:v>
                </c:pt>
                <c:pt idx="1">
                  <c:v>62.815884476534301</c:v>
                </c:pt>
                <c:pt idx="2">
                  <c:v>75.693311582381725</c:v>
                </c:pt>
                <c:pt idx="3">
                  <c:v>81.558028616852155</c:v>
                </c:pt>
                <c:pt idx="4">
                  <c:v>83.596214511041012</c:v>
                </c:pt>
              </c:numCache>
            </c:numRef>
          </c:val>
        </c:ser>
        <c:ser>
          <c:idx val="5"/>
          <c:order val="5"/>
          <c:tx>
            <c:strRef>
              <c:f>'Chart 17b DATA'!$A$8</c:f>
              <c:strCache>
                <c:ptCount val="1"/>
                <c:pt idx="0">
                  <c:v>Forth Valley (+s)</c:v>
                </c:pt>
              </c:strCache>
            </c:strRef>
          </c:tx>
          <c:marker>
            <c:symbol val="none"/>
          </c:marker>
          <c:val>
            <c:numRef>
              <c:f>'Chart 17b DATA'!$L$8:$P$8</c:f>
              <c:numCache>
                <c:formatCode>0</c:formatCode>
                <c:ptCount val="5"/>
                <c:pt idx="0">
                  <c:v>57.038391224862885</c:v>
                </c:pt>
                <c:pt idx="1">
                  <c:v>76.890756302521012</c:v>
                </c:pt>
                <c:pt idx="2">
                  <c:v>75.262054507337524</c:v>
                </c:pt>
                <c:pt idx="3">
                  <c:v>81.620553359683782</c:v>
                </c:pt>
                <c:pt idx="4">
                  <c:v>84.375</c:v>
                </c:pt>
              </c:numCache>
            </c:numRef>
          </c:val>
        </c:ser>
        <c:ser>
          <c:idx val="6"/>
          <c:order val="6"/>
          <c:tx>
            <c:strRef>
              <c:f>'Chart 17b DATA'!$A$9</c:f>
              <c:strCache>
                <c:ptCount val="1"/>
                <c:pt idx="0">
                  <c:v>Grampian (+s)</c:v>
                </c:pt>
              </c:strCache>
            </c:strRef>
          </c:tx>
          <c:marker>
            <c:symbol val="none"/>
          </c:marker>
          <c:val>
            <c:numRef>
              <c:f>'Chart 17b DATA'!$L$9:$P$9</c:f>
              <c:numCache>
                <c:formatCode>0</c:formatCode>
                <c:ptCount val="5"/>
                <c:pt idx="0">
                  <c:v>64.797507788161994</c:v>
                </c:pt>
                <c:pt idx="1">
                  <c:v>71.924290220820183</c:v>
                </c:pt>
                <c:pt idx="2">
                  <c:v>70.391872278664735</c:v>
                </c:pt>
                <c:pt idx="3">
                  <c:v>75.757575757575751</c:v>
                </c:pt>
                <c:pt idx="4">
                  <c:v>77.399756986634259</c:v>
                </c:pt>
              </c:numCache>
            </c:numRef>
          </c:val>
        </c:ser>
        <c:ser>
          <c:idx val="7"/>
          <c:order val="7"/>
          <c:tx>
            <c:strRef>
              <c:f>'Chart 17b DATA'!$A$10</c:f>
              <c:strCache>
                <c:ptCount val="1"/>
                <c:pt idx="0">
                  <c:v>Greater Glasgow &amp; Clyde (+s)</c:v>
                </c:pt>
              </c:strCache>
            </c:strRef>
          </c:tx>
          <c:spPr>
            <a:ln>
              <a:solidFill>
                <a:srgbClr val="C00000"/>
              </a:solidFill>
            </a:ln>
          </c:spPr>
          <c:marker>
            <c:symbol val="none"/>
          </c:marker>
          <c:val>
            <c:numRef>
              <c:f>'Chart 17b DATA'!$L$10:$P$10</c:f>
              <c:numCache>
                <c:formatCode>0</c:formatCode>
                <c:ptCount val="5"/>
                <c:pt idx="0">
                  <c:v>53.780718336483936</c:v>
                </c:pt>
                <c:pt idx="1">
                  <c:v>52.23550243470563</c:v>
                </c:pt>
                <c:pt idx="2">
                  <c:v>59.884751773049651</c:v>
                </c:pt>
                <c:pt idx="3">
                  <c:v>70.026642984014202</c:v>
                </c:pt>
                <c:pt idx="4">
                  <c:v>74.798567591763657</c:v>
                </c:pt>
              </c:numCache>
            </c:numRef>
          </c:val>
        </c:ser>
        <c:ser>
          <c:idx val="8"/>
          <c:order val="8"/>
          <c:tx>
            <c:strRef>
              <c:f>'Chart 17b DATA'!$A$11</c:f>
              <c:strCache>
                <c:ptCount val="1"/>
                <c:pt idx="0">
                  <c:v>Highland (+s)</c:v>
                </c:pt>
              </c:strCache>
            </c:strRef>
          </c:tx>
          <c:marker>
            <c:symbol val="none"/>
          </c:marker>
          <c:val>
            <c:numRef>
              <c:f>'Chart 17b DATA'!$L$11:$P$11</c:f>
              <c:numCache>
                <c:formatCode>0</c:formatCode>
                <c:ptCount val="5"/>
                <c:pt idx="0">
                  <c:v>60.273972602739725</c:v>
                </c:pt>
                <c:pt idx="1">
                  <c:v>68.558951965065503</c:v>
                </c:pt>
                <c:pt idx="2">
                  <c:v>82.489451476793249</c:v>
                </c:pt>
                <c:pt idx="3">
                  <c:v>86.295503211991431</c:v>
                </c:pt>
                <c:pt idx="4">
                  <c:v>89.178356713426851</c:v>
                </c:pt>
              </c:numCache>
            </c:numRef>
          </c:val>
        </c:ser>
        <c:ser>
          <c:idx val="9"/>
          <c:order val="9"/>
          <c:tx>
            <c:strRef>
              <c:f>'Chart 17b DATA'!$A$12</c:f>
              <c:strCache>
                <c:ptCount val="1"/>
                <c:pt idx="0">
                  <c:v>Lanarkshire (+s)</c:v>
                </c:pt>
              </c:strCache>
            </c:strRef>
          </c:tx>
          <c:spPr>
            <a:ln>
              <a:solidFill>
                <a:schemeClr val="bg2">
                  <a:lumMod val="50000"/>
                </a:schemeClr>
              </a:solidFill>
            </a:ln>
          </c:spPr>
          <c:marker>
            <c:symbol val="none"/>
          </c:marker>
          <c:val>
            <c:numRef>
              <c:f>'Chart 17b DATA'!$L$12:$P$12</c:f>
              <c:numCache>
                <c:formatCode>0</c:formatCode>
                <c:ptCount val="5"/>
                <c:pt idx="0">
                  <c:v>69.482576557550161</c:v>
                </c:pt>
                <c:pt idx="1">
                  <c:v>85.394736842105274</c:v>
                </c:pt>
                <c:pt idx="2">
                  <c:v>86.555555555555557</c:v>
                </c:pt>
                <c:pt idx="3">
                  <c:v>87.337662337662337</c:v>
                </c:pt>
                <c:pt idx="4">
                  <c:v>84.921465968586389</c:v>
                </c:pt>
              </c:numCache>
            </c:numRef>
          </c:val>
        </c:ser>
        <c:ser>
          <c:idx val="10"/>
          <c:order val="10"/>
          <c:tx>
            <c:strRef>
              <c:f>'Chart 17b DATA'!$A$13</c:f>
              <c:strCache>
                <c:ptCount val="1"/>
                <c:pt idx="0">
                  <c:v>Lothian (+s)</c:v>
                </c:pt>
              </c:strCache>
            </c:strRef>
          </c:tx>
          <c:spPr>
            <a:ln>
              <a:prstDash val="lgDash"/>
            </a:ln>
          </c:spPr>
          <c:marker>
            <c:symbol val="none"/>
          </c:marker>
          <c:val>
            <c:numRef>
              <c:f>'Chart 17b DATA'!$L$13:$P$13</c:f>
              <c:numCache>
                <c:formatCode>0</c:formatCode>
                <c:ptCount val="5"/>
                <c:pt idx="0">
                  <c:v>64.306498545101846</c:v>
                </c:pt>
                <c:pt idx="1">
                  <c:v>60.020986358866736</c:v>
                </c:pt>
                <c:pt idx="2">
                  <c:v>64.061358655953242</c:v>
                </c:pt>
                <c:pt idx="3">
                  <c:v>69.311797752808985</c:v>
                </c:pt>
                <c:pt idx="4">
                  <c:v>76.789437109103545</c:v>
                </c:pt>
              </c:numCache>
            </c:numRef>
          </c:val>
        </c:ser>
        <c:ser>
          <c:idx val="11"/>
          <c:order val="11"/>
          <c:tx>
            <c:strRef>
              <c:f>'Chart 17b DATA'!$A$14</c:f>
              <c:strCache>
                <c:ptCount val="1"/>
                <c:pt idx="0">
                  <c:v>Orkney (-)</c:v>
                </c:pt>
              </c:strCache>
            </c:strRef>
          </c:tx>
          <c:spPr>
            <a:ln>
              <a:solidFill>
                <a:schemeClr val="bg1">
                  <a:lumMod val="65000"/>
                </a:schemeClr>
              </a:solidFill>
              <a:prstDash val="lgDash"/>
            </a:ln>
          </c:spPr>
          <c:marker>
            <c:symbol val="none"/>
          </c:marker>
          <c:val>
            <c:numRef>
              <c:f>'Chart 17b DATA'!$L$14:$P$14</c:f>
              <c:numCache>
                <c:formatCode>0</c:formatCode>
                <c:ptCount val="5"/>
                <c:pt idx="0">
                  <c:v>70.370370370370367</c:v>
                </c:pt>
                <c:pt idx="1">
                  <c:v>77.272727272727266</c:v>
                </c:pt>
                <c:pt idx="2">
                  <c:v>85.714285714285708</c:v>
                </c:pt>
                <c:pt idx="3">
                  <c:v>75</c:v>
                </c:pt>
                <c:pt idx="4">
                  <c:v>72.5</c:v>
                </c:pt>
              </c:numCache>
            </c:numRef>
          </c:val>
        </c:ser>
        <c:ser>
          <c:idx val="12"/>
          <c:order val="12"/>
          <c:tx>
            <c:strRef>
              <c:f>'Chart 17b DATA'!$A$15</c:f>
              <c:strCache>
                <c:ptCount val="1"/>
                <c:pt idx="0">
                  <c:v>Shetland (-)</c:v>
                </c:pt>
              </c:strCache>
            </c:strRef>
          </c:tx>
          <c:spPr>
            <a:ln w="38100">
              <a:prstDash val="lgDashDotDot"/>
            </a:ln>
          </c:spPr>
          <c:marker>
            <c:symbol val="none"/>
          </c:marker>
          <c:val>
            <c:numRef>
              <c:f>'Chart 17b DATA'!$L$15:$P$15</c:f>
              <c:numCache>
                <c:formatCode>0</c:formatCode>
                <c:ptCount val="5"/>
                <c:pt idx="0">
                  <c:v>95</c:v>
                </c:pt>
                <c:pt idx="1">
                  <c:v>96.15384615384616</c:v>
                </c:pt>
                <c:pt idx="2">
                  <c:v>88.571428571428569</c:v>
                </c:pt>
                <c:pt idx="3">
                  <c:v>85.714285714285708</c:v>
                </c:pt>
                <c:pt idx="4">
                  <c:v>94.285714285714278</c:v>
                </c:pt>
              </c:numCache>
            </c:numRef>
          </c:val>
        </c:ser>
        <c:ser>
          <c:idx val="13"/>
          <c:order val="13"/>
          <c:tx>
            <c:strRef>
              <c:f>'Chart 17b DATA'!$A$16</c:f>
              <c:strCache>
                <c:ptCount val="1"/>
                <c:pt idx="0">
                  <c:v>Tayside (-)</c:v>
                </c:pt>
              </c:strCache>
            </c:strRef>
          </c:tx>
          <c:marker>
            <c:symbol val="none"/>
          </c:marker>
          <c:val>
            <c:numRef>
              <c:f>'Chart 17b DATA'!$L$16:$P$16</c:f>
              <c:numCache>
                <c:formatCode>0</c:formatCode>
                <c:ptCount val="5"/>
                <c:pt idx="0">
                  <c:v>84.301412872841439</c:v>
                </c:pt>
                <c:pt idx="1">
                  <c:v>82.629107981220656</c:v>
                </c:pt>
                <c:pt idx="2">
                  <c:v>79.760119940029981</c:v>
                </c:pt>
                <c:pt idx="3">
                  <c:v>82.58620689655173</c:v>
                </c:pt>
                <c:pt idx="4">
                  <c:v>80.817610062893081</c:v>
                </c:pt>
              </c:numCache>
            </c:numRef>
          </c:val>
        </c:ser>
        <c:ser>
          <c:idx val="14"/>
          <c:order val="14"/>
          <c:tx>
            <c:strRef>
              <c:f>'Chart 17b DATA'!$A$17</c:f>
              <c:strCache>
                <c:ptCount val="1"/>
                <c:pt idx="0">
                  <c:v>Western Isles (+s)</c:v>
                </c:pt>
              </c:strCache>
            </c:strRef>
          </c:tx>
          <c:marker>
            <c:symbol val="none"/>
          </c:marker>
          <c:val>
            <c:numRef>
              <c:f>'Chart 17b DATA'!$L$17:$P$17</c:f>
              <c:numCache>
                <c:formatCode>0</c:formatCode>
                <c:ptCount val="5"/>
                <c:pt idx="0">
                  <c:v>66.666666666666657</c:v>
                </c:pt>
                <c:pt idx="1">
                  <c:v>64.516129032258064</c:v>
                </c:pt>
                <c:pt idx="2">
                  <c:v>73.333333333333329</c:v>
                </c:pt>
                <c:pt idx="3">
                  <c:v>95.454545454545453</c:v>
                </c:pt>
                <c:pt idx="4">
                  <c:v>91.428571428571431</c:v>
                </c:pt>
              </c:numCache>
            </c:numRef>
          </c:val>
        </c:ser>
        <c:marker val="1"/>
        <c:axId val="170424576"/>
        <c:axId val="170430464"/>
      </c:lineChart>
      <c:catAx>
        <c:axId val="170424576"/>
        <c:scaling>
          <c:orientation val="minMax"/>
        </c:scaling>
        <c:axPos val="b"/>
        <c:numFmt formatCode="General" sourceLinked="1"/>
        <c:tickLblPos val="nextTo"/>
        <c:crossAx val="170430464"/>
        <c:crosses val="autoZero"/>
        <c:auto val="1"/>
        <c:lblAlgn val="ctr"/>
        <c:lblOffset val="100"/>
      </c:catAx>
      <c:valAx>
        <c:axId val="170430464"/>
        <c:scaling>
          <c:orientation val="minMax"/>
          <c:max val="100"/>
        </c:scaling>
        <c:axPos val="l"/>
        <c:title>
          <c:tx>
            <c:rich>
              <a:bodyPr rot="0" vert="wordArtVert"/>
              <a:lstStyle/>
              <a:p>
                <a:pPr>
                  <a:defRPr/>
                </a:pPr>
                <a:r>
                  <a:rPr lang="en-GB"/>
                  <a:t>%</a:t>
                </a:r>
              </a:p>
            </c:rich>
          </c:tx>
          <c:layout/>
        </c:title>
        <c:numFmt formatCode="0" sourceLinked="1"/>
        <c:tickLblPos val="nextTo"/>
        <c:crossAx val="170424576"/>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523"/>
          <c:h val="0.8703583120513958"/>
        </c:manualLayout>
      </c:layout>
      <c:spPr>
        <a:ln>
          <a:solidFill>
            <a:schemeClr val="tx1"/>
          </a:solidFill>
        </a:ln>
      </c:spPr>
      <c:txPr>
        <a:bodyPr/>
        <a:lstStyle/>
        <a:p>
          <a:pPr>
            <a:defRPr sz="900"/>
          </a:pPr>
          <a:endParaRPr lang="en-US"/>
        </a:p>
      </c:txPr>
    </c:legend>
    <c:plotVisOnly val="1"/>
  </c:chart>
  <c:printSettings>
    <c:headerFooter/>
    <c:pageMargins b="0.7500000000000111" l="0.70000000000000062" r="0.70000000000000062" t="0.75000000000001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17c DATA'!$A$3</c:f>
              <c:strCache>
                <c:ptCount val="1"/>
                <c:pt idx="0">
                  <c:v>Scotland (+s)</c:v>
                </c:pt>
              </c:strCache>
            </c:strRef>
          </c:tx>
          <c:spPr>
            <a:ln w="63500">
              <a:solidFill>
                <a:schemeClr val="tx1"/>
              </a:solidFill>
            </a:ln>
          </c:spPr>
          <c:marker>
            <c:symbol val="none"/>
          </c:marker>
          <c:cat>
            <c:numRef>
              <c:f>'Chart 17c DATA'!$L$2:$P$2</c:f>
              <c:numCache>
                <c:formatCode>General</c:formatCode>
                <c:ptCount val="5"/>
                <c:pt idx="0">
                  <c:v>2011</c:v>
                </c:pt>
                <c:pt idx="1">
                  <c:v>2012</c:v>
                </c:pt>
                <c:pt idx="2">
                  <c:v>2013</c:v>
                </c:pt>
                <c:pt idx="3">
                  <c:v>2014</c:v>
                </c:pt>
                <c:pt idx="4">
                  <c:v>2015</c:v>
                </c:pt>
              </c:numCache>
            </c:numRef>
          </c:cat>
          <c:val>
            <c:numRef>
              <c:f>'Chart 17c DATA'!$L$3:$P$3</c:f>
              <c:numCache>
                <c:formatCode>0</c:formatCode>
                <c:ptCount val="5"/>
                <c:pt idx="0">
                  <c:v>79.339244503826066</c:v>
                </c:pt>
                <c:pt idx="1">
                  <c:v>82.848545636910728</c:v>
                </c:pt>
                <c:pt idx="2">
                  <c:v>87.344374643061101</c:v>
                </c:pt>
                <c:pt idx="3">
                  <c:v>89.710426919995427</c:v>
                </c:pt>
                <c:pt idx="4">
                  <c:v>91.458010192776428</c:v>
                </c:pt>
              </c:numCache>
            </c:numRef>
          </c:val>
        </c:ser>
        <c:ser>
          <c:idx val="0"/>
          <c:order val="1"/>
          <c:tx>
            <c:strRef>
              <c:f>'Chart 17c DATA'!$A$4</c:f>
              <c:strCache>
                <c:ptCount val="1"/>
                <c:pt idx="0">
                  <c:v>Ayrshire &amp; Arran (+s)</c:v>
                </c:pt>
              </c:strCache>
            </c:strRef>
          </c:tx>
          <c:spPr>
            <a:ln w="19050"/>
          </c:spPr>
          <c:marker>
            <c:symbol val="none"/>
          </c:marker>
          <c:cat>
            <c:numRef>
              <c:f>'Chart 17c DATA'!$L$2:$P$2</c:f>
              <c:numCache>
                <c:formatCode>General</c:formatCode>
                <c:ptCount val="5"/>
                <c:pt idx="0">
                  <c:v>2011</c:v>
                </c:pt>
                <c:pt idx="1">
                  <c:v>2012</c:v>
                </c:pt>
                <c:pt idx="2">
                  <c:v>2013</c:v>
                </c:pt>
                <c:pt idx="3">
                  <c:v>2014</c:v>
                </c:pt>
                <c:pt idx="4">
                  <c:v>2015</c:v>
                </c:pt>
              </c:numCache>
            </c:numRef>
          </c:cat>
          <c:val>
            <c:numRef>
              <c:f>'Chart 17c DATA'!$L$4:$P$4</c:f>
              <c:numCache>
                <c:formatCode>0</c:formatCode>
                <c:ptCount val="5"/>
                <c:pt idx="0">
                  <c:v>62.46105919003115</c:v>
                </c:pt>
                <c:pt idx="1">
                  <c:v>68.104776579352858</c:v>
                </c:pt>
                <c:pt idx="2">
                  <c:v>78.002894356005797</c:v>
                </c:pt>
                <c:pt idx="3">
                  <c:v>83.30708661417323</c:v>
                </c:pt>
                <c:pt idx="4">
                  <c:v>84.92307692307692</c:v>
                </c:pt>
              </c:numCache>
            </c:numRef>
          </c:val>
        </c:ser>
        <c:ser>
          <c:idx val="2"/>
          <c:order val="2"/>
          <c:tx>
            <c:strRef>
              <c:f>'Chart 17c DATA'!$A$5</c:f>
              <c:strCache>
                <c:ptCount val="1"/>
                <c:pt idx="0">
                  <c:v>Borders (+s)</c:v>
                </c:pt>
              </c:strCache>
            </c:strRef>
          </c:tx>
          <c:spPr>
            <a:ln w="38100">
              <a:prstDash val="sysDot"/>
            </a:ln>
          </c:spPr>
          <c:marker>
            <c:symbol val="none"/>
          </c:marker>
          <c:cat>
            <c:numRef>
              <c:f>'Chart 17c DATA'!$L$2:$P$2</c:f>
              <c:numCache>
                <c:formatCode>General</c:formatCode>
                <c:ptCount val="5"/>
                <c:pt idx="0">
                  <c:v>2011</c:v>
                </c:pt>
                <c:pt idx="1">
                  <c:v>2012</c:v>
                </c:pt>
                <c:pt idx="2">
                  <c:v>2013</c:v>
                </c:pt>
                <c:pt idx="3">
                  <c:v>2014</c:v>
                </c:pt>
                <c:pt idx="4">
                  <c:v>2015</c:v>
                </c:pt>
              </c:numCache>
            </c:numRef>
          </c:cat>
          <c:val>
            <c:numRef>
              <c:f>'Chart 17c DATA'!$L$5:$P$5</c:f>
              <c:numCache>
                <c:formatCode>0</c:formatCode>
                <c:ptCount val="5"/>
                <c:pt idx="0">
                  <c:v>87.44588744588745</c:v>
                </c:pt>
                <c:pt idx="1">
                  <c:v>95.794392523364493</c:v>
                </c:pt>
                <c:pt idx="2">
                  <c:v>94.090909090909093</c:v>
                </c:pt>
                <c:pt idx="3">
                  <c:v>98.543689320388353</c:v>
                </c:pt>
                <c:pt idx="4">
                  <c:v>99.086757990867582</c:v>
                </c:pt>
              </c:numCache>
            </c:numRef>
          </c:val>
        </c:ser>
        <c:ser>
          <c:idx val="3"/>
          <c:order val="3"/>
          <c:tx>
            <c:strRef>
              <c:f>'Chart 17c DATA'!$A$6</c:f>
              <c:strCache>
                <c:ptCount val="1"/>
                <c:pt idx="0">
                  <c:v>Dumfries &amp; Galloway (+s)</c:v>
                </c:pt>
              </c:strCache>
            </c:strRef>
          </c:tx>
          <c:marker>
            <c:symbol val="none"/>
          </c:marker>
          <c:val>
            <c:numRef>
              <c:f>'Chart 17c DATA'!$L$6:$P$6</c:f>
              <c:numCache>
                <c:formatCode>0</c:formatCode>
                <c:ptCount val="5"/>
                <c:pt idx="0">
                  <c:v>83.206106870229007</c:v>
                </c:pt>
                <c:pt idx="1">
                  <c:v>82.724252491694344</c:v>
                </c:pt>
                <c:pt idx="2">
                  <c:v>86.986301369863014</c:v>
                </c:pt>
                <c:pt idx="3">
                  <c:v>92.096219931271477</c:v>
                </c:pt>
                <c:pt idx="4">
                  <c:v>91.519434628975262</c:v>
                </c:pt>
              </c:numCache>
            </c:numRef>
          </c:val>
        </c:ser>
        <c:ser>
          <c:idx val="4"/>
          <c:order val="4"/>
          <c:tx>
            <c:strRef>
              <c:f>'Chart 17c DATA'!$A$7</c:f>
              <c:strCache>
                <c:ptCount val="1"/>
                <c:pt idx="0">
                  <c:v>Fife (+s)</c:v>
                </c:pt>
              </c:strCache>
            </c:strRef>
          </c:tx>
          <c:spPr>
            <a:ln>
              <a:prstDash val="dash"/>
            </a:ln>
          </c:spPr>
          <c:marker>
            <c:symbol val="none"/>
          </c:marker>
          <c:val>
            <c:numRef>
              <c:f>'Chart 17c DATA'!$L$7:$P$7</c:f>
              <c:numCache>
                <c:formatCode>0</c:formatCode>
                <c:ptCount val="5"/>
                <c:pt idx="0">
                  <c:v>79.473684210526315</c:v>
                </c:pt>
                <c:pt idx="1">
                  <c:v>91.335740072202171</c:v>
                </c:pt>
                <c:pt idx="2">
                  <c:v>94.290375203915161</c:v>
                </c:pt>
                <c:pt idx="3">
                  <c:v>93.322734499205083</c:v>
                </c:pt>
                <c:pt idx="4">
                  <c:v>95.583596214511047</c:v>
                </c:pt>
              </c:numCache>
            </c:numRef>
          </c:val>
        </c:ser>
        <c:ser>
          <c:idx val="5"/>
          <c:order val="5"/>
          <c:tx>
            <c:strRef>
              <c:f>'Chart 17c DATA'!$A$8</c:f>
              <c:strCache>
                <c:ptCount val="1"/>
                <c:pt idx="0">
                  <c:v>Forth Valley (+s)</c:v>
                </c:pt>
              </c:strCache>
            </c:strRef>
          </c:tx>
          <c:marker>
            <c:symbol val="none"/>
          </c:marker>
          <c:val>
            <c:numRef>
              <c:f>'Chart 17c DATA'!$L$8:$P$8</c:f>
              <c:numCache>
                <c:formatCode>0</c:formatCode>
                <c:ptCount val="5"/>
                <c:pt idx="0">
                  <c:v>87.020109689213896</c:v>
                </c:pt>
                <c:pt idx="1">
                  <c:v>89.075630252100851</c:v>
                </c:pt>
                <c:pt idx="2">
                  <c:v>92.033542976939202</c:v>
                </c:pt>
                <c:pt idx="3">
                  <c:v>94.664031620553359</c:v>
                </c:pt>
                <c:pt idx="4">
                  <c:v>96.32352941176471</c:v>
                </c:pt>
              </c:numCache>
            </c:numRef>
          </c:val>
        </c:ser>
        <c:ser>
          <c:idx val="6"/>
          <c:order val="6"/>
          <c:tx>
            <c:strRef>
              <c:f>'Chart 17c DATA'!$A$9</c:f>
              <c:strCache>
                <c:ptCount val="1"/>
                <c:pt idx="0">
                  <c:v>Grampian (+s)</c:v>
                </c:pt>
              </c:strCache>
            </c:strRef>
          </c:tx>
          <c:marker>
            <c:symbol val="none"/>
          </c:marker>
          <c:val>
            <c:numRef>
              <c:f>'Chart 17c DATA'!$L$9:$P$9</c:f>
              <c:numCache>
                <c:formatCode>0</c:formatCode>
                <c:ptCount val="5"/>
                <c:pt idx="0">
                  <c:v>78.971962616822438</c:v>
                </c:pt>
                <c:pt idx="1">
                  <c:v>81.388012618296528</c:v>
                </c:pt>
                <c:pt idx="2">
                  <c:v>88.534107402031921</c:v>
                </c:pt>
                <c:pt idx="3">
                  <c:v>89.944903581267226</c:v>
                </c:pt>
                <c:pt idx="4">
                  <c:v>93.074119076549209</c:v>
                </c:pt>
              </c:numCache>
            </c:numRef>
          </c:val>
        </c:ser>
        <c:ser>
          <c:idx val="7"/>
          <c:order val="7"/>
          <c:tx>
            <c:strRef>
              <c:f>'Chart 17c DATA'!$A$10</c:f>
              <c:strCache>
                <c:ptCount val="1"/>
                <c:pt idx="0">
                  <c:v>Greater Glasgow &amp; Clyde (+s)</c:v>
                </c:pt>
              </c:strCache>
            </c:strRef>
          </c:tx>
          <c:spPr>
            <a:ln>
              <a:solidFill>
                <a:srgbClr val="C00000"/>
              </a:solidFill>
            </a:ln>
          </c:spPr>
          <c:marker>
            <c:symbol val="none"/>
          </c:marker>
          <c:val>
            <c:numRef>
              <c:f>'Chart 17c DATA'!$L$10:$P$10</c:f>
              <c:numCache>
                <c:formatCode>0</c:formatCode>
                <c:ptCount val="5"/>
                <c:pt idx="0">
                  <c:v>81.521739130434781</c:v>
                </c:pt>
                <c:pt idx="1">
                  <c:v>80.079681274900395</c:v>
                </c:pt>
                <c:pt idx="2">
                  <c:v>85.416666666666657</c:v>
                </c:pt>
                <c:pt idx="3">
                  <c:v>88.543516873889871</c:v>
                </c:pt>
                <c:pt idx="4">
                  <c:v>91.718889883616825</c:v>
                </c:pt>
              </c:numCache>
            </c:numRef>
          </c:val>
        </c:ser>
        <c:ser>
          <c:idx val="8"/>
          <c:order val="8"/>
          <c:tx>
            <c:strRef>
              <c:f>'Chart 17c DATA'!$A$11</c:f>
              <c:strCache>
                <c:ptCount val="1"/>
                <c:pt idx="0">
                  <c:v>Highland (+s)</c:v>
                </c:pt>
              </c:strCache>
            </c:strRef>
          </c:tx>
          <c:marker>
            <c:symbol val="none"/>
          </c:marker>
          <c:val>
            <c:numRef>
              <c:f>'Chart 17c DATA'!$L$11:$P$11</c:f>
              <c:numCache>
                <c:formatCode>0</c:formatCode>
                <c:ptCount val="5"/>
                <c:pt idx="0">
                  <c:v>62.426614481409004</c:v>
                </c:pt>
                <c:pt idx="1">
                  <c:v>75.764192139738</c:v>
                </c:pt>
                <c:pt idx="2">
                  <c:v>87.763713080168785</c:v>
                </c:pt>
                <c:pt idx="3">
                  <c:v>90.792291220556748</c:v>
                </c:pt>
                <c:pt idx="4">
                  <c:v>88.176352705410821</c:v>
                </c:pt>
              </c:numCache>
            </c:numRef>
          </c:val>
        </c:ser>
        <c:ser>
          <c:idx val="9"/>
          <c:order val="9"/>
          <c:tx>
            <c:strRef>
              <c:f>'Chart 17c DATA'!$A$12</c:f>
              <c:strCache>
                <c:ptCount val="1"/>
                <c:pt idx="0">
                  <c:v>Lanarkshire (+s)</c:v>
                </c:pt>
              </c:strCache>
            </c:strRef>
          </c:tx>
          <c:spPr>
            <a:ln>
              <a:solidFill>
                <a:schemeClr val="bg2">
                  <a:lumMod val="50000"/>
                </a:schemeClr>
              </a:solidFill>
            </a:ln>
          </c:spPr>
          <c:marker>
            <c:symbol val="none"/>
          </c:marker>
          <c:val>
            <c:numRef>
              <c:f>'Chart 17c DATA'!$L$12:$P$12</c:f>
              <c:numCache>
                <c:formatCode>0</c:formatCode>
                <c:ptCount val="5"/>
                <c:pt idx="0">
                  <c:v>77.402323125659976</c:v>
                </c:pt>
                <c:pt idx="1">
                  <c:v>86.31578947368422</c:v>
                </c:pt>
                <c:pt idx="2">
                  <c:v>89.777777777777771</c:v>
                </c:pt>
                <c:pt idx="3">
                  <c:v>92.316017316017323</c:v>
                </c:pt>
                <c:pt idx="4">
                  <c:v>92.460732984293188</c:v>
                </c:pt>
              </c:numCache>
            </c:numRef>
          </c:val>
        </c:ser>
        <c:ser>
          <c:idx val="10"/>
          <c:order val="10"/>
          <c:tx>
            <c:strRef>
              <c:f>'Chart 17c DATA'!$A$13</c:f>
              <c:strCache>
                <c:ptCount val="1"/>
                <c:pt idx="0">
                  <c:v>Lothian (-)</c:v>
                </c:pt>
              </c:strCache>
            </c:strRef>
          </c:tx>
          <c:spPr>
            <a:ln>
              <a:prstDash val="lgDash"/>
            </a:ln>
          </c:spPr>
          <c:marker>
            <c:symbol val="none"/>
          </c:marker>
          <c:val>
            <c:numRef>
              <c:f>'Chart 17c DATA'!$L$13:$P$13</c:f>
              <c:numCache>
                <c:formatCode>0</c:formatCode>
                <c:ptCount val="5"/>
                <c:pt idx="0">
                  <c:v>92.725509214355</c:v>
                </c:pt>
                <c:pt idx="1">
                  <c:v>92.549842602308502</c:v>
                </c:pt>
                <c:pt idx="2">
                  <c:v>90.796201607012421</c:v>
                </c:pt>
                <c:pt idx="3">
                  <c:v>90.730337078651687</c:v>
                </c:pt>
                <c:pt idx="4">
                  <c:v>91.730368311327311</c:v>
                </c:pt>
              </c:numCache>
            </c:numRef>
          </c:val>
        </c:ser>
        <c:ser>
          <c:idx val="11"/>
          <c:order val="11"/>
          <c:tx>
            <c:strRef>
              <c:f>'Chart 17c DATA'!$A$14</c:f>
              <c:strCache>
                <c:ptCount val="1"/>
                <c:pt idx="0">
                  <c:v>Orkney (+s)</c:v>
                </c:pt>
              </c:strCache>
            </c:strRef>
          </c:tx>
          <c:spPr>
            <a:ln>
              <a:solidFill>
                <a:schemeClr val="bg1">
                  <a:lumMod val="65000"/>
                </a:schemeClr>
              </a:solidFill>
              <a:prstDash val="lgDash"/>
            </a:ln>
          </c:spPr>
          <c:marker>
            <c:symbol val="none"/>
          </c:marker>
          <c:val>
            <c:numRef>
              <c:f>'Chart 17c DATA'!$L$14:$P$14</c:f>
              <c:numCache>
                <c:formatCode>0</c:formatCode>
                <c:ptCount val="5"/>
                <c:pt idx="0">
                  <c:v>37.037037037037038</c:v>
                </c:pt>
                <c:pt idx="1">
                  <c:v>18.181818181818183</c:v>
                </c:pt>
                <c:pt idx="2">
                  <c:v>30.952380952380953</c:v>
                </c:pt>
                <c:pt idx="3">
                  <c:v>27.500000000000004</c:v>
                </c:pt>
                <c:pt idx="4">
                  <c:v>75</c:v>
                </c:pt>
              </c:numCache>
            </c:numRef>
          </c:val>
        </c:ser>
        <c:ser>
          <c:idx val="12"/>
          <c:order val="12"/>
          <c:tx>
            <c:strRef>
              <c:f>'Chart 17c DATA'!$A$15</c:f>
              <c:strCache>
                <c:ptCount val="1"/>
                <c:pt idx="0">
                  <c:v>Shetland (+s)</c:v>
                </c:pt>
              </c:strCache>
            </c:strRef>
          </c:tx>
          <c:spPr>
            <a:ln w="38100">
              <a:prstDash val="lgDashDotDot"/>
            </a:ln>
          </c:spPr>
          <c:marker>
            <c:symbol val="none"/>
          </c:marker>
          <c:val>
            <c:numRef>
              <c:f>'Chart 17c DATA'!$L$15:$P$15</c:f>
              <c:numCache>
                <c:formatCode>0</c:formatCode>
                <c:ptCount val="5"/>
                <c:pt idx="0">
                  <c:v>50</c:v>
                </c:pt>
                <c:pt idx="1">
                  <c:v>73.076923076923066</c:v>
                </c:pt>
                <c:pt idx="2">
                  <c:v>62.857142857142854</c:v>
                </c:pt>
                <c:pt idx="3">
                  <c:v>80</c:v>
                </c:pt>
                <c:pt idx="4">
                  <c:v>85.714285714285708</c:v>
                </c:pt>
              </c:numCache>
            </c:numRef>
          </c:val>
        </c:ser>
        <c:ser>
          <c:idx val="13"/>
          <c:order val="13"/>
          <c:tx>
            <c:strRef>
              <c:f>'Chart 17c DATA'!$A$16</c:f>
              <c:strCache>
                <c:ptCount val="1"/>
                <c:pt idx="0">
                  <c:v>Tayside (+s)</c:v>
                </c:pt>
              </c:strCache>
            </c:strRef>
          </c:tx>
          <c:marker>
            <c:symbol val="none"/>
          </c:marker>
          <c:val>
            <c:numRef>
              <c:f>'Chart 17c DATA'!$L$16:$P$16</c:f>
              <c:numCache>
                <c:formatCode>0</c:formatCode>
                <c:ptCount val="5"/>
                <c:pt idx="0">
                  <c:v>75.824175824175825</c:v>
                </c:pt>
                <c:pt idx="1">
                  <c:v>82.159624413145536</c:v>
                </c:pt>
                <c:pt idx="2">
                  <c:v>84.857571214392806</c:v>
                </c:pt>
                <c:pt idx="3">
                  <c:v>85.517241379310349</c:v>
                </c:pt>
                <c:pt idx="4">
                  <c:v>85.84905660377359</c:v>
                </c:pt>
              </c:numCache>
            </c:numRef>
          </c:val>
        </c:ser>
        <c:ser>
          <c:idx val="14"/>
          <c:order val="14"/>
          <c:tx>
            <c:strRef>
              <c:f>'Chart 17c DATA'!$A$17</c:f>
              <c:strCache>
                <c:ptCount val="1"/>
                <c:pt idx="0">
                  <c:v>Western Isles (+)</c:v>
                </c:pt>
              </c:strCache>
            </c:strRef>
          </c:tx>
          <c:marker>
            <c:symbol val="none"/>
          </c:marker>
          <c:val>
            <c:numRef>
              <c:f>'Chart 17c DATA'!$L$17:$P$17</c:f>
              <c:numCache>
                <c:formatCode>0</c:formatCode>
                <c:ptCount val="5"/>
                <c:pt idx="0">
                  <c:v>96.666666666666671</c:v>
                </c:pt>
                <c:pt idx="1">
                  <c:v>77.41935483870968</c:v>
                </c:pt>
                <c:pt idx="2">
                  <c:v>83.333333333333343</c:v>
                </c:pt>
                <c:pt idx="3">
                  <c:v>95.454545454545453</c:v>
                </c:pt>
                <c:pt idx="4">
                  <c:v>94.285714285714278</c:v>
                </c:pt>
              </c:numCache>
            </c:numRef>
          </c:val>
        </c:ser>
        <c:marker val="1"/>
        <c:axId val="171434368"/>
        <c:axId val="171435904"/>
      </c:lineChart>
      <c:catAx>
        <c:axId val="171434368"/>
        <c:scaling>
          <c:orientation val="minMax"/>
        </c:scaling>
        <c:axPos val="b"/>
        <c:numFmt formatCode="General" sourceLinked="1"/>
        <c:tickLblPos val="nextTo"/>
        <c:crossAx val="171435904"/>
        <c:crosses val="autoZero"/>
        <c:auto val="1"/>
        <c:lblAlgn val="ctr"/>
        <c:lblOffset val="100"/>
      </c:catAx>
      <c:valAx>
        <c:axId val="171435904"/>
        <c:scaling>
          <c:orientation val="minMax"/>
          <c:max val="100"/>
        </c:scaling>
        <c:axPos val="l"/>
        <c:title>
          <c:tx>
            <c:rich>
              <a:bodyPr rot="0" vert="wordArtVert"/>
              <a:lstStyle/>
              <a:p>
                <a:pPr>
                  <a:defRPr/>
                </a:pPr>
                <a:r>
                  <a:rPr lang="en-GB"/>
                  <a:t>%</a:t>
                </a:r>
              </a:p>
            </c:rich>
          </c:tx>
          <c:layout/>
        </c:title>
        <c:numFmt formatCode="0" sourceLinked="1"/>
        <c:tickLblPos val="nextTo"/>
        <c:crossAx val="171434368"/>
        <c:crosses val="autoZero"/>
        <c:crossBetween val="between"/>
      </c:valAx>
      <c:spPr>
        <a:ln>
          <a:solidFill>
            <a:sysClr val="windowText" lastClr="000000"/>
          </a:solidFill>
        </a:ln>
      </c:spPr>
    </c:plotArea>
    <c:legend>
      <c:legendPos val="r"/>
      <c:layout>
        <c:manualLayout>
          <c:xMode val="edge"/>
          <c:yMode val="edge"/>
          <c:x val="0.78317702474689999"/>
          <c:y val="6.4820728604140954E-2"/>
          <c:w val="0.20789440382452529"/>
          <c:h val="0.87035831205139602"/>
        </c:manualLayout>
      </c:layout>
      <c:spPr>
        <a:ln>
          <a:solidFill>
            <a:schemeClr val="tx1"/>
          </a:solidFill>
        </a:ln>
      </c:spPr>
      <c:txPr>
        <a:bodyPr/>
        <a:lstStyle/>
        <a:p>
          <a:pPr>
            <a:defRPr sz="900"/>
          </a:pPr>
          <a:endParaRPr lang="en-US"/>
        </a:p>
      </c:txPr>
    </c:legend>
    <c:plotVisOnly val="1"/>
  </c:chart>
  <c:printSettings>
    <c:headerFooter/>
    <c:pageMargins b="0.75000000000001132" l="0.70000000000000062" r="0.70000000000000062" t="0.75000000000001132"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17d DATA'!$A$3</c:f>
              <c:strCache>
                <c:ptCount val="1"/>
                <c:pt idx="0">
                  <c:v>Scotland (+s)</c:v>
                </c:pt>
              </c:strCache>
            </c:strRef>
          </c:tx>
          <c:spPr>
            <a:ln w="63500">
              <a:solidFill>
                <a:schemeClr val="tx1"/>
              </a:solidFill>
            </a:ln>
          </c:spPr>
          <c:marker>
            <c:symbol val="none"/>
          </c:marker>
          <c:cat>
            <c:numRef>
              <c:f>'Chart 17d DATA'!$L$2:$P$2</c:f>
              <c:numCache>
                <c:formatCode>General</c:formatCode>
                <c:ptCount val="5"/>
                <c:pt idx="0">
                  <c:v>2011</c:v>
                </c:pt>
                <c:pt idx="1">
                  <c:v>2012</c:v>
                </c:pt>
                <c:pt idx="2">
                  <c:v>2013</c:v>
                </c:pt>
                <c:pt idx="3">
                  <c:v>2014</c:v>
                </c:pt>
                <c:pt idx="4">
                  <c:v>2015</c:v>
                </c:pt>
              </c:numCache>
            </c:numRef>
          </c:cat>
          <c:val>
            <c:numRef>
              <c:f>'Chart 17d DATA'!$L$3:$P$3</c:f>
              <c:numCache>
                <c:formatCode>0</c:formatCode>
                <c:ptCount val="5"/>
                <c:pt idx="0">
                  <c:v>73.393148450244695</c:v>
                </c:pt>
                <c:pt idx="1">
                  <c:v>77.471581122976232</c:v>
                </c:pt>
                <c:pt idx="2">
                  <c:v>85.621783164535941</c:v>
                </c:pt>
                <c:pt idx="3">
                  <c:v>87.911903160726297</c:v>
                </c:pt>
                <c:pt idx="4">
                  <c:v>89.956839309428943</c:v>
                </c:pt>
              </c:numCache>
            </c:numRef>
          </c:val>
        </c:ser>
        <c:ser>
          <c:idx val="0"/>
          <c:order val="1"/>
          <c:tx>
            <c:strRef>
              <c:f>'Chart 17d DATA'!$A$4</c:f>
              <c:strCache>
                <c:ptCount val="1"/>
                <c:pt idx="0">
                  <c:v>Ayrshire &amp; Arran (+s)</c:v>
                </c:pt>
              </c:strCache>
            </c:strRef>
          </c:tx>
          <c:spPr>
            <a:ln w="19050"/>
          </c:spPr>
          <c:marker>
            <c:symbol val="none"/>
          </c:marker>
          <c:cat>
            <c:numRef>
              <c:f>'Chart 17d DATA'!$L$2:$P$2</c:f>
              <c:numCache>
                <c:formatCode>General</c:formatCode>
                <c:ptCount val="5"/>
                <c:pt idx="0">
                  <c:v>2011</c:v>
                </c:pt>
                <c:pt idx="1">
                  <c:v>2012</c:v>
                </c:pt>
                <c:pt idx="2">
                  <c:v>2013</c:v>
                </c:pt>
                <c:pt idx="3">
                  <c:v>2014</c:v>
                </c:pt>
                <c:pt idx="4">
                  <c:v>2015</c:v>
                </c:pt>
              </c:numCache>
            </c:numRef>
          </c:cat>
          <c:val>
            <c:numRef>
              <c:f>'Chart 17d DATA'!$L$4:$P$4</c:f>
              <c:numCache>
                <c:formatCode>0</c:formatCode>
                <c:ptCount val="5"/>
                <c:pt idx="0">
                  <c:v>69.959677419354833</c:v>
                </c:pt>
                <c:pt idx="1">
                  <c:v>70.987654320987659</c:v>
                </c:pt>
                <c:pt idx="2">
                  <c:v>75.427350427350433</c:v>
                </c:pt>
                <c:pt idx="3">
                  <c:v>81.359649122807014</c:v>
                </c:pt>
                <c:pt idx="4">
                  <c:v>84.210526315789465</c:v>
                </c:pt>
              </c:numCache>
            </c:numRef>
          </c:val>
        </c:ser>
        <c:ser>
          <c:idx val="2"/>
          <c:order val="2"/>
          <c:tx>
            <c:strRef>
              <c:f>'Chart 17d DATA'!$A$5</c:f>
              <c:strCache>
                <c:ptCount val="1"/>
                <c:pt idx="0">
                  <c:v>Borders (+s)</c:v>
                </c:pt>
              </c:strCache>
            </c:strRef>
          </c:tx>
          <c:spPr>
            <a:ln w="38100">
              <a:prstDash val="sysDot"/>
            </a:ln>
          </c:spPr>
          <c:marker>
            <c:symbol val="none"/>
          </c:marker>
          <c:cat>
            <c:numRef>
              <c:f>'Chart 17d DATA'!$L$2:$P$2</c:f>
              <c:numCache>
                <c:formatCode>General</c:formatCode>
                <c:ptCount val="5"/>
                <c:pt idx="0">
                  <c:v>2011</c:v>
                </c:pt>
                <c:pt idx="1">
                  <c:v>2012</c:v>
                </c:pt>
                <c:pt idx="2">
                  <c:v>2013</c:v>
                </c:pt>
                <c:pt idx="3">
                  <c:v>2014</c:v>
                </c:pt>
                <c:pt idx="4">
                  <c:v>2015</c:v>
                </c:pt>
              </c:numCache>
            </c:numRef>
          </c:cat>
          <c:val>
            <c:numRef>
              <c:f>'Chart 17d DATA'!$L$5:$P$5</c:f>
              <c:numCache>
                <c:formatCode>0</c:formatCode>
                <c:ptCount val="5"/>
                <c:pt idx="0">
                  <c:v>79.569892473118273</c:v>
                </c:pt>
                <c:pt idx="1">
                  <c:v>83.333333333333343</c:v>
                </c:pt>
                <c:pt idx="2">
                  <c:v>91.25</c:v>
                </c:pt>
                <c:pt idx="3">
                  <c:v>95.862068965517238</c:v>
                </c:pt>
                <c:pt idx="4">
                  <c:v>97.887323943661968</c:v>
                </c:pt>
              </c:numCache>
            </c:numRef>
          </c:val>
        </c:ser>
        <c:ser>
          <c:idx val="3"/>
          <c:order val="3"/>
          <c:tx>
            <c:strRef>
              <c:f>'Chart 17d DATA'!$A$6</c:f>
              <c:strCache>
                <c:ptCount val="1"/>
                <c:pt idx="0">
                  <c:v>Dumfries &amp; Galloway (+s)</c:v>
                </c:pt>
              </c:strCache>
            </c:strRef>
          </c:tx>
          <c:marker>
            <c:symbol val="none"/>
          </c:marker>
          <c:val>
            <c:numRef>
              <c:f>'Chart 17d DATA'!$L$6:$P$6</c:f>
              <c:numCache>
                <c:formatCode>0</c:formatCode>
                <c:ptCount val="5"/>
                <c:pt idx="0">
                  <c:v>74.074074074074076</c:v>
                </c:pt>
                <c:pt idx="1">
                  <c:v>73.205741626794264</c:v>
                </c:pt>
                <c:pt idx="2">
                  <c:v>90.502793296089393</c:v>
                </c:pt>
                <c:pt idx="3">
                  <c:v>93.125</c:v>
                </c:pt>
                <c:pt idx="4">
                  <c:v>92.982456140350877</c:v>
                </c:pt>
              </c:numCache>
            </c:numRef>
          </c:val>
        </c:ser>
        <c:ser>
          <c:idx val="4"/>
          <c:order val="4"/>
          <c:tx>
            <c:strRef>
              <c:f>'Chart 17d DATA'!$A$7</c:f>
              <c:strCache>
                <c:ptCount val="1"/>
                <c:pt idx="0">
                  <c:v>Fife (+s)</c:v>
                </c:pt>
              </c:strCache>
            </c:strRef>
          </c:tx>
          <c:spPr>
            <a:ln>
              <a:prstDash val="dash"/>
            </a:ln>
          </c:spPr>
          <c:marker>
            <c:symbol val="none"/>
          </c:marker>
          <c:val>
            <c:numRef>
              <c:f>'Chart 17d DATA'!$L$7:$P$7</c:f>
              <c:numCache>
                <c:formatCode>0</c:formatCode>
                <c:ptCount val="5"/>
                <c:pt idx="0">
                  <c:v>76.169265033407569</c:v>
                </c:pt>
                <c:pt idx="1">
                  <c:v>79.294117647058826</c:v>
                </c:pt>
                <c:pt idx="2">
                  <c:v>88.793103448275872</c:v>
                </c:pt>
                <c:pt idx="3">
                  <c:v>89.618644067796609</c:v>
                </c:pt>
                <c:pt idx="4">
                  <c:v>94.43207126948775</c:v>
                </c:pt>
              </c:numCache>
            </c:numRef>
          </c:val>
        </c:ser>
        <c:ser>
          <c:idx val="5"/>
          <c:order val="5"/>
          <c:tx>
            <c:strRef>
              <c:f>'Chart 17d DATA'!$A$8</c:f>
              <c:strCache>
                <c:ptCount val="1"/>
                <c:pt idx="0">
                  <c:v>Forth Valley (+s)</c:v>
                </c:pt>
              </c:strCache>
            </c:strRef>
          </c:tx>
          <c:marker>
            <c:symbol val="none"/>
          </c:marker>
          <c:val>
            <c:numRef>
              <c:f>'Chart 17d DATA'!$L$8:$P$8</c:f>
              <c:numCache>
                <c:formatCode>0</c:formatCode>
                <c:ptCount val="5"/>
                <c:pt idx="0">
                  <c:v>84.834123222748815</c:v>
                </c:pt>
                <c:pt idx="1">
                  <c:v>87.165775401069524</c:v>
                </c:pt>
                <c:pt idx="2">
                  <c:v>91.573033707865164</c:v>
                </c:pt>
                <c:pt idx="3">
                  <c:v>93.633952254641912</c:v>
                </c:pt>
                <c:pt idx="4">
                  <c:v>93.137254901960787</c:v>
                </c:pt>
              </c:numCache>
            </c:numRef>
          </c:val>
        </c:ser>
        <c:ser>
          <c:idx val="6"/>
          <c:order val="6"/>
          <c:tx>
            <c:strRef>
              <c:f>'Chart 17d DATA'!$A$9</c:f>
              <c:strCache>
                <c:ptCount val="1"/>
                <c:pt idx="0">
                  <c:v>Grampian (+s)</c:v>
                </c:pt>
              </c:strCache>
            </c:strRef>
          </c:tx>
          <c:marker>
            <c:symbol val="none"/>
          </c:marker>
          <c:val>
            <c:numRef>
              <c:f>'Chart 17d DATA'!$L$9:$P$9</c:f>
              <c:numCache>
                <c:formatCode>0</c:formatCode>
                <c:ptCount val="5"/>
                <c:pt idx="0">
                  <c:v>77.804295942720771</c:v>
                </c:pt>
                <c:pt idx="1">
                  <c:v>85.574572127139362</c:v>
                </c:pt>
                <c:pt idx="2">
                  <c:v>90</c:v>
                </c:pt>
                <c:pt idx="3">
                  <c:v>88.914549653579684</c:v>
                </c:pt>
                <c:pt idx="4">
                  <c:v>89.370932754880698</c:v>
                </c:pt>
              </c:numCache>
            </c:numRef>
          </c:val>
        </c:ser>
        <c:ser>
          <c:idx val="7"/>
          <c:order val="7"/>
          <c:tx>
            <c:strRef>
              <c:f>'Chart 17d DATA'!$A$10</c:f>
              <c:strCache>
                <c:ptCount val="1"/>
                <c:pt idx="0">
                  <c:v>Greater Glasgow &amp; Clyde (+s)</c:v>
                </c:pt>
              </c:strCache>
            </c:strRef>
          </c:tx>
          <c:spPr>
            <a:ln>
              <a:solidFill>
                <a:srgbClr val="C00000"/>
              </a:solidFill>
            </a:ln>
          </c:spPr>
          <c:marker>
            <c:symbol val="none"/>
          </c:marker>
          <c:val>
            <c:numRef>
              <c:f>'Chart 17d DATA'!$L$10:$P$10</c:f>
              <c:numCache>
                <c:formatCode>0</c:formatCode>
                <c:ptCount val="5"/>
                <c:pt idx="0">
                  <c:v>60.576293385723645</c:v>
                </c:pt>
                <c:pt idx="1">
                  <c:v>65.77669902912622</c:v>
                </c:pt>
                <c:pt idx="2">
                  <c:v>78.593848085373509</c:v>
                </c:pt>
                <c:pt idx="3">
                  <c:v>83.846637335009433</c:v>
                </c:pt>
                <c:pt idx="4">
                  <c:v>88.955026455026456</c:v>
                </c:pt>
              </c:numCache>
            </c:numRef>
          </c:val>
        </c:ser>
        <c:ser>
          <c:idx val="8"/>
          <c:order val="8"/>
          <c:tx>
            <c:strRef>
              <c:f>'Chart 17d DATA'!$A$11</c:f>
              <c:strCache>
                <c:ptCount val="1"/>
                <c:pt idx="0">
                  <c:v>Highland (+s)</c:v>
                </c:pt>
              </c:strCache>
            </c:strRef>
          </c:tx>
          <c:marker>
            <c:symbol val="none"/>
          </c:marker>
          <c:val>
            <c:numRef>
              <c:f>'Chart 17d DATA'!$L$11:$P$11</c:f>
              <c:numCache>
                <c:formatCode>0</c:formatCode>
                <c:ptCount val="5"/>
                <c:pt idx="0">
                  <c:v>67.705382436260621</c:v>
                </c:pt>
                <c:pt idx="1">
                  <c:v>76.051779935275079</c:v>
                </c:pt>
                <c:pt idx="2">
                  <c:v>94.871794871794862</c:v>
                </c:pt>
                <c:pt idx="3">
                  <c:v>86.896551724137922</c:v>
                </c:pt>
                <c:pt idx="4">
                  <c:v>92.786885245901644</c:v>
                </c:pt>
              </c:numCache>
            </c:numRef>
          </c:val>
        </c:ser>
        <c:ser>
          <c:idx val="9"/>
          <c:order val="9"/>
          <c:tx>
            <c:strRef>
              <c:f>'Chart 17d DATA'!$A$12</c:f>
              <c:strCache>
                <c:ptCount val="1"/>
                <c:pt idx="0">
                  <c:v>Lanarkshire (+s)</c:v>
                </c:pt>
              </c:strCache>
            </c:strRef>
          </c:tx>
          <c:spPr>
            <a:ln>
              <a:solidFill>
                <a:schemeClr val="bg2">
                  <a:lumMod val="50000"/>
                </a:schemeClr>
              </a:solidFill>
            </a:ln>
          </c:spPr>
          <c:marker>
            <c:symbol val="none"/>
          </c:marker>
          <c:val>
            <c:numRef>
              <c:f>'Chart 17d DATA'!$L$12:$P$12</c:f>
              <c:numCache>
                <c:formatCode>0</c:formatCode>
                <c:ptCount val="5"/>
                <c:pt idx="0">
                  <c:v>81.604938271604937</c:v>
                </c:pt>
                <c:pt idx="1">
                  <c:v>87.441130298273151</c:v>
                </c:pt>
                <c:pt idx="2">
                  <c:v>92.376681614349778</c:v>
                </c:pt>
                <c:pt idx="3">
                  <c:v>93.880389429763554</c:v>
                </c:pt>
                <c:pt idx="4">
                  <c:v>90.620490620490628</c:v>
                </c:pt>
              </c:numCache>
            </c:numRef>
          </c:val>
        </c:ser>
        <c:ser>
          <c:idx val="10"/>
          <c:order val="10"/>
          <c:tx>
            <c:strRef>
              <c:f>'Chart 17d DATA'!$A$13</c:f>
              <c:strCache>
                <c:ptCount val="1"/>
                <c:pt idx="0">
                  <c:v>Lothian (+s)</c:v>
                </c:pt>
              </c:strCache>
            </c:strRef>
          </c:tx>
          <c:spPr>
            <a:ln>
              <a:prstDash val="lgDash"/>
            </a:ln>
          </c:spPr>
          <c:marker>
            <c:symbol val="none"/>
          </c:marker>
          <c:val>
            <c:numRef>
              <c:f>'Chart 17d DATA'!$L$13:$P$13</c:f>
              <c:numCache>
                <c:formatCode>0</c:formatCode>
                <c:ptCount val="5"/>
                <c:pt idx="0">
                  <c:v>73.818646232439335</c:v>
                </c:pt>
                <c:pt idx="1">
                  <c:v>80.668604651162795</c:v>
                </c:pt>
                <c:pt idx="2">
                  <c:v>83.578708946772366</c:v>
                </c:pt>
                <c:pt idx="3">
                  <c:v>86.531986531986533</c:v>
                </c:pt>
                <c:pt idx="4">
                  <c:v>87.86610878661088</c:v>
                </c:pt>
              </c:numCache>
            </c:numRef>
          </c:val>
        </c:ser>
        <c:ser>
          <c:idx val="11"/>
          <c:order val="11"/>
          <c:tx>
            <c:strRef>
              <c:f>'Chart 17d DATA'!$A$14</c:f>
              <c:strCache>
                <c:ptCount val="1"/>
                <c:pt idx="0">
                  <c:v>Orkney (-)</c:v>
                </c:pt>
              </c:strCache>
            </c:strRef>
          </c:tx>
          <c:spPr>
            <a:ln>
              <a:solidFill>
                <a:schemeClr val="bg1">
                  <a:lumMod val="65000"/>
                </a:schemeClr>
              </a:solidFill>
              <a:prstDash val="lgDash"/>
            </a:ln>
          </c:spPr>
          <c:marker>
            <c:symbol val="none"/>
          </c:marker>
          <c:val>
            <c:numRef>
              <c:f>'Chart 17d DATA'!$L$14:$P$14</c:f>
              <c:numCache>
                <c:formatCode>0</c:formatCode>
                <c:ptCount val="5"/>
                <c:pt idx="0">
                  <c:v>93.75</c:v>
                </c:pt>
                <c:pt idx="1">
                  <c:v>85.714285714285708</c:v>
                </c:pt>
                <c:pt idx="2">
                  <c:v>83.333333333333343</c:v>
                </c:pt>
                <c:pt idx="3">
                  <c:v>81.818181818181827</c:v>
                </c:pt>
                <c:pt idx="4">
                  <c:v>80.769230769230774</c:v>
                </c:pt>
              </c:numCache>
            </c:numRef>
          </c:val>
        </c:ser>
        <c:ser>
          <c:idx val="12"/>
          <c:order val="12"/>
          <c:tx>
            <c:strRef>
              <c:f>'Chart 17d DATA'!$A$15</c:f>
              <c:strCache>
                <c:ptCount val="1"/>
                <c:pt idx="0">
                  <c:v>Shetland (+)</c:v>
                </c:pt>
              </c:strCache>
            </c:strRef>
          </c:tx>
          <c:spPr>
            <a:ln w="38100">
              <a:prstDash val="lgDashDotDot"/>
            </a:ln>
          </c:spPr>
          <c:marker>
            <c:symbol val="none"/>
          </c:marker>
          <c:val>
            <c:numRef>
              <c:f>'Chart 17d DATA'!$L$15:$P$15</c:f>
              <c:numCache>
                <c:formatCode>0</c:formatCode>
                <c:ptCount val="5"/>
                <c:pt idx="0">
                  <c:v>73.333333333333329</c:v>
                </c:pt>
                <c:pt idx="1">
                  <c:v>94.73684210526315</c:v>
                </c:pt>
                <c:pt idx="2">
                  <c:v>90.909090909090907</c:v>
                </c:pt>
                <c:pt idx="3">
                  <c:v>87.5</c:v>
                </c:pt>
                <c:pt idx="4">
                  <c:v>92.592592592592595</c:v>
                </c:pt>
              </c:numCache>
            </c:numRef>
          </c:val>
        </c:ser>
        <c:ser>
          <c:idx val="13"/>
          <c:order val="13"/>
          <c:tx>
            <c:strRef>
              <c:f>'Chart 17d DATA'!$A$16</c:f>
              <c:strCache>
                <c:ptCount val="1"/>
                <c:pt idx="0">
                  <c:v>Tayside (+)</c:v>
                </c:pt>
              </c:strCache>
            </c:strRef>
          </c:tx>
          <c:marker>
            <c:symbol val="none"/>
          </c:marker>
          <c:val>
            <c:numRef>
              <c:f>'Chart 17d DATA'!$L$16:$P$16</c:f>
              <c:numCache>
                <c:formatCode>0</c:formatCode>
                <c:ptCount val="5"/>
                <c:pt idx="0">
                  <c:v>89.227166276346608</c:v>
                </c:pt>
                <c:pt idx="1">
                  <c:v>92.512077294685994</c:v>
                </c:pt>
                <c:pt idx="2">
                  <c:v>92.957746478873233</c:v>
                </c:pt>
                <c:pt idx="3">
                  <c:v>91.922005571030638</c:v>
                </c:pt>
                <c:pt idx="4">
                  <c:v>90.452261306532662</c:v>
                </c:pt>
              </c:numCache>
            </c:numRef>
          </c:val>
        </c:ser>
        <c:ser>
          <c:idx val="14"/>
          <c:order val="14"/>
          <c:tx>
            <c:strRef>
              <c:f>'Chart 17d DATA'!$A$17</c:f>
              <c:strCache>
                <c:ptCount val="1"/>
                <c:pt idx="0">
                  <c:v>Western Isles (+s)</c:v>
                </c:pt>
              </c:strCache>
            </c:strRef>
          </c:tx>
          <c:marker>
            <c:symbol val="none"/>
          </c:marker>
          <c:val>
            <c:numRef>
              <c:f>'Chart 17d DATA'!$L$17:$P$17</c:f>
              <c:numCache>
                <c:formatCode>0</c:formatCode>
                <c:ptCount val="5"/>
                <c:pt idx="0">
                  <c:v>73.91304347826086</c:v>
                </c:pt>
                <c:pt idx="1">
                  <c:v>66.666666666666657</c:v>
                </c:pt>
                <c:pt idx="2">
                  <c:v>76.470588235294116</c:v>
                </c:pt>
                <c:pt idx="3">
                  <c:v>88.888888888888886</c:v>
                </c:pt>
                <c:pt idx="4">
                  <c:v>95</c:v>
                </c:pt>
              </c:numCache>
            </c:numRef>
          </c:val>
        </c:ser>
        <c:marker val="1"/>
        <c:axId val="229689600"/>
        <c:axId val="251002880"/>
      </c:lineChart>
      <c:catAx>
        <c:axId val="229689600"/>
        <c:scaling>
          <c:orientation val="minMax"/>
        </c:scaling>
        <c:axPos val="b"/>
        <c:numFmt formatCode="General" sourceLinked="1"/>
        <c:tickLblPos val="nextTo"/>
        <c:crossAx val="251002880"/>
        <c:crosses val="autoZero"/>
        <c:auto val="1"/>
        <c:lblAlgn val="ctr"/>
        <c:lblOffset val="100"/>
      </c:catAx>
      <c:valAx>
        <c:axId val="251002880"/>
        <c:scaling>
          <c:orientation val="minMax"/>
          <c:max val="100"/>
        </c:scaling>
        <c:axPos val="l"/>
        <c:title>
          <c:tx>
            <c:rich>
              <a:bodyPr rot="0" vert="wordArtVert"/>
              <a:lstStyle/>
              <a:p>
                <a:pPr>
                  <a:defRPr/>
                </a:pPr>
                <a:r>
                  <a:rPr lang="en-GB"/>
                  <a:t>%</a:t>
                </a:r>
              </a:p>
            </c:rich>
          </c:tx>
          <c:layout/>
        </c:title>
        <c:numFmt formatCode="0" sourceLinked="1"/>
        <c:tickLblPos val="nextTo"/>
        <c:crossAx val="229689600"/>
        <c:crosses val="autoZero"/>
        <c:crossBetween val="between"/>
      </c:valAx>
      <c:spPr>
        <a:ln>
          <a:solidFill>
            <a:sysClr val="windowText" lastClr="000000"/>
          </a:solidFill>
        </a:ln>
      </c:spPr>
    </c:plotArea>
    <c:legend>
      <c:legendPos val="r"/>
      <c:layout>
        <c:manualLayout>
          <c:xMode val="edge"/>
          <c:yMode val="edge"/>
          <c:x val="0.78317702474689999"/>
          <c:y val="6.4820728604140954E-2"/>
          <c:w val="0.21051679675411791"/>
          <c:h val="0.74176326226223366"/>
        </c:manualLayout>
      </c:layout>
      <c:spPr>
        <a:ln>
          <a:solidFill>
            <a:schemeClr val="tx1"/>
          </a:solidFill>
        </a:ln>
      </c:spPr>
      <c:txPr>
        <a:bodyPr/>
        <a:lstStyle/>
        <a:p>
          <a:pPr>
            <a:defRPr sz="900"/>
          </a:pPr>
          <a:endParaRPr lang="en-US"/>
        </a:p>
      </c:txPr>
    </c:legend>
    <c:plotVisOnly val="1"/>
  </c:chart>
  <c:printSettings>
    <c:headerFooter/>
    <c:pageMargins b="0.75000000000001155" l="0.70000000000000062" r="0.70000000000000062" t="0.750000000000011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0389274381082422E-2"/>
          <c:y val="5.4431414281350024E-2"/>
          <c:w val="0.71056078204001227"/>
          <c:h val="0.86546753991114656"/>
        </c:manualLayout>
      </c:layout>
      <c:lineChart>
        <c:grouping val="standard"/>
        <c:ser>
          <c:idx val="1"/>
          <c:order val="0"/>
          <c:tx>
            <c:strRef>
              <c:f>'Chart 17e DATA'!$A$3</c:f>
              <c:strCache>
                <c:ptCount val="1"/>
                <c:pt idx="0">
                  <c:v>1. Appropriate Bundle (final diagnosis)</c:v>
                </c:pt>
              </c:strCache>
            </c:strRef>
          </c:tx>
          <c:spPr>
            <a:ln w="47625">
              <a:solidFill>
                <a:schemeClr val="tx1"/>
              </a:solidFill>
              <a:prstDash val="solid"/>
            </a:ln>
          </c:spPr>
          <c:marker>
            <c:symbol val="none"/>
          </c:marker>
          <c:dLbls>
            <c:dLbl>
              <c:idx val="0"/>
              <c:layout/>
              <c:tx>
                <c:rich>
                  <a:bodyPr/>
                  <a:lstStyle/>
                  <a:p>
                    <a:r>
                      <a:rPr lang="en-US"/>
                      <a:t>1</a:t>
                    </a:r>
                  </a:p>
                </c:rich>
              </c:tx>
              <c:dLblPos val="l"/>
              <c:showVal val="1"/>
            </c:dLbl>
            <c:delete val="1"/>
            <c:dLblPos val="l"/>
          </c:dLbls>
          <c:cat>
            <c:numRef>
              <c:f>'Chart 17e DATA'!$L$2:$P$2</c:f>
              <c:numCache>
                <c:formatCode>General</c:formatCode>
                <c:ptCount val="5"/>
                <c:pt idx="0">
                  <c:v>2011</c:v>
                </c:pt>
                <c:pt idx="1">
                  <c:v>2012</c:v>
                </c:pt>
                <c:pt idx="2">
                  <c:v>2013</c:v>
                </c:pt>
                <c:pt idx="3">
                  <c:v>2014</c:v>
                </c:pt>
                <c:pt idx="4">
                  <c:v>2015</c:v>
                </c:pt>
              </c:numCache>
            </c:numRef>
          </c:cat>
          <c:val>
            <c:numRef>
              <c:f>'Chart 17e DATA'!$L$3:$P$3</c:f>
              <c:numCache>
                <c:formatCode>0</c:formatCode>
                <c:ptCount val="5"/>
                <c:pt idx="0">
                  <c:v>42.876229806874768</c:v>
                </c:pt>
                <c:pt idx="1">
                  <c:v>48.946840521564695</c:v>
                </c:pt>
                <c:pt idx="2">
                  <c:v>57.338663620788125</c:v>
                </c:pt>
                <c:pt idx="3">
                  <c:v>61.920567700583732</c:v>
                </c:pt>
                <c:pt idx="4">
                  <c:v>63.738089962331046</c:v>
                </c:pt>
              </c:numCache>
            </c:numRef>
          </c:val>
        </c:ser>
        <c:ser>
          <c:idx val="10"/>
          <c:order val="1"/>
          <c:tx>
            <c:strRef>
              <c:f>'Chart 17e DATA'!$A$4</c:f>
              <c:strCache>
                <c:ptCount val="1"/>
                <c:pt idx="0">
                  <c:v>2. Stroke Unit Admission (90%)</c:v>
                </c:pt>
              </c:strCache>
            </c:strRef>
          </c:tx>
          <c:spPr>
            <a:ln>
              <a:solidFill>
                <a:schemeClr val="tx1"/>
              </a:solidFill>
              <a:prstDash val="sysDash"/>
            </a:ln>
          </c:spPr>
          <c:marker>
            <c:symbol val="none"/>
          </c:marker>
          <c:dLbls>
            <c:dLbl>
              <c:idx val="0"/>
              <c:layout/>
              <c:tx>
                <c:rich>
                  <a:bodyPr/>
                  <a:lstStyle/>
                  <a:p>
                    <a:r>
                      <a:rPr lang="en-US"/>
                      <a:t>2</a:t>
                    </a:r>
                  </a:p>
                </c:rich>
              </c:tx>
              <c:dLblPos val="l"/>
              <c:showVal val="1"/>
            </c:dLbl>
            <c:delete val="1"/>
            <c:dLblPos val="l"/>
          </c:dLbls>
          <c:cat>
            <c:numRef>
              <c:f>'Chart 17e DATA'!$L$2:$P$2</c:f>
              <c:numCache>
                <c:formatCode>General</c:formatCode>
                <c:ptCount val="5"/>
                <c:pt idx="0">
                  <c:v>2011</c:v>
                </c:pt>
                <c:pt idx="1">
                  <c:v>2012</c:v>
                </c:pt>
                <c:pt idx="2">
                  <c:v>2013</c:v>
                </c:pt>
                <c:pt idx="3">
                  <c:v>2014</c:v>
                </c:pt>
                <c:pt idx="4">
                  <c:v>2015</c:v>
                </c:pt>
              </c:numCache>
            </c:numRef>
          </c:cat>
          <c:val>
            <c:numRef>
              <c:f>'Chart 17e DATA'!$L$4:$P$4</c:f>
              <c:numCache>
                <c:formatCode>0</c:formatCode>
                <c:ptCount val="5"/>
                <c:pt idx="0">
                  <c:v>75.768065772392902</c:v>
                </c:pt>
                <c:pt idx="1">
                  <c:v>78.193325661680092</c:v>
                </c:pt>
                <c:pt idx="2">
                  <c:v>81.274208628289031</c:v>
                </c:pt>
                <c:pt idx="3">
                  <c:v>79.584961595472308</c:v>
                </c:pt>
                <c:pt idx="4">
                  <c:v>78.362573099415201</c:v>
                </c:pt>
              </c:numCache>
            </c:numRef>
          </c:val>
        </c:ser>
        <c:ser>
          <c:idx val="11"/>
          <c:order val="2"/>
          <c:tx>
            <c:strRef>
              <c:f>'Chart 17e DATA'!$A$5</c:f>
              <c:strCache>
                <c:ptCount val="1"/>
                <c:pt idx="0">
                  <c:v>3. Swallow Screen (90%)</c:v>
                </c:pt>
              </c:strCache>
            </c:strRef>
          </c:tx>
          <c:spPr>
            <a:ln w="38100">
              <a:solidFill>
                <a:schemeClr val="tx1"/>
              </a:solidFill>
              <a:prstDash val="dashDot"/>
            </a:ln>
          </c:spPr>
          <c:marker>
            <c:symbol val="none"/>
          </c:marker>
          <c:dLbls>
            <c:dLbl>
              <c:idx val="0"/>
              <c:layout/>
              <c:tx>
                <c:rich>
                  <a:bodyPr/>
                  <a:lstStyle/>
                  <a:p>
                    <a:r>
                      <a:rPr lang="en-US"/>
                      <a:t>3</a:t>
                    </a:r>
                  </a:p>
                </c:rich>
              </c:tx>
              <c:dLblPos val="l"/>
              <c:showVal val="1"/>
            </c:dLbl>
            <c:delete val="1"/>
            <c:dLblPos val="l"/>
          </c:dLbls>
          <c:cat>
            <c:numRef>
              <c:f>'Chart 17e DATA'!$L$2:$P$2</c:f>
              <c:numCache>
                <c:formatCode>General</c:formatCode>
                <c:ptCount val="5"/>
                <c:pt idx="0">
                  <c:v>2011</c:v>
                </c:pt>
                <c:pt idx="1">
                  <c:v>2012</c:v>
                </c:pt>
                <c:pt idx="2">
                  <c:v>2013</c:v>
                </c:pt>
                <c:pt idx="3">
                  <c:v>2014</c:v>
                </c:pt>
                <c:pt idx="4">
                  <c:v>2015</c:v>
                </c:pt>
              </c:numCache>
            </c:numRef>
          </c:cat>
          <c:val>
            <c:numRef>
              <c:f>'Chart 17e DATA'!$L$5:$P$5</c:f>
              <c:numCache>
                <c:formatCode>0</c:formatCode>
                <c:ptCount val="5"/>
                <c:pt idx="0">
                  <c:v>65.030972913883161</c:v>
                </c:pt>
                <c:pt idx="1">
                  <c:v>67.389669007021055</c:v>
                </c:pt>
                <c:pt idx="2">
                  <c:v>71.981724728726434</c:v>
                </c:pt>
                <c:pt idx="3">
                  <c:v>76.960054938766163</c:v>
                </c:pt>
                <c:pt idx="4">
                  <c:v>79.880345668070021</c:v>
                </c:pt>
              </c:numCache>
            </c:numRef>
          </c:val>
        </c:ser>
        <c:ser>
          <c:idx val="12"/>
          <c:order val="3"/>
          <c:tx>
            <c:strRef>
              <c:f>'Chart 17e DATA'!$A$6</c:f>
              <c:strCache>
                <c:ptCount val="1"/>
                <c:pt idx="0">
                  <c:v>4. Brain Imaging (90%)</c:v>
                </c:pt>
              </c:strCache>
            </c:strRef>
          </c:tx>
          <c:spPr>
            <a:ln w="38100" cmpd="sng">
              <a:solidFill>
                <a:schemeClr val="tx1"/>
              </a:solidFill>
              <a:prstDash val="sysDot"/>
            </a:ln>
          </c:spPr>
          <c:marker>
            <c:symbol val="none"/>
          </c:marker>
          <c:dLbls>
            <c:dLbl>
              <c:idx val="0"/>
              <c:layout/>
              <c:tx>
                <c:rich>
                  <a:bodyPr/>
                  <a:lstStyle/>
                  <a:p>
                    <a:r>
                      <a:rPr lang="en-US"/>
                      <a:t>4</a:t>
                    </a:r>
                  </a:p>
                </c:rich>
              </c:tx>
              <c:dLblPos val="l"/>
              <c:showVal val="1"/>
            </c:dLbl>
            <c:delete val="1"/>
            <c:dLblPos val="l"/>
          </c:dLbls>
          <c:cat>
            <c:numRef>
              <c:f>'Chart 17e DATA'!$L$2:$P$2</c:f>
              <c:numCache>
                <c:formatCode>General</c:formatCode>
                <c:ptCount val="5"/>
                <c:pt idx="0">
                  <c:v>2011</c:v>
                </c:pt>
                <c:pt idx="1">
                  <c:v>2012</c:v>
                </c:pt>
                <c:pt idx="2">
                  <c:v>2013</c:v>
                </c:pt>
                <c:pt idx="3">
                  <c:v>2014</c:v>
                </c:pt>
                <c:pt idx="4">
                  <c:v>2015</c:v>
                </c:pt>
              </c:numCache>
            </c:numRef>
          </c:cat>
          <c:val>
            <c:numRef>
              <c:f>'Chart 17e DATA'!$L$6:$P$6</c:f>
              <c:numCache>
                <c:formatCode>0</c:formatCode>
                <c:ptCount val="5"/>
                <c:pt idx="0">
                  <c:v>79.339244503826066</c:v>
                </c:pt>
                <c:pt idx="1">
                  <c:v>82.848545636910728</c:v>
                </c:pt>
                <c:pt idx="2">
                  <c:v>87.344374643061101</c:v>
                </c:pt>
                <c:pt idx="3">
                  <c:v>89.710426919995427</c:v>
                </c:pt>
                <c:pt idx="4">
                  <c:v>91.458010192776428</c:v>
                </c:pt>
              </c:numCache>
            </c:numRef>
          </c:val>
        </c:ser>
        <c:ser>
          <c:idx val="14"/>
          <c:order val="4"/>
          <c:tx>
            <c:strRef>
              <c:f>'Chart 17e DATA'!$A$7</c:f>
              <c:strCache>
                <c:ptCount val="1"/>
                <c:pt idx="0">
                  <c:v>5. Aspirin (100%)</c:v>
                </c:pt>
              </c:strCache>
            </c:strRef>
          </c:tx>
          <c:spPr>
            <a:ln w="15875">
              <a:solidFill>
                <a:schemeClr val="tx1"/>
              </a:solidFill>
              <a:prstDash val="solid"/>
            </a:ln>
          </c:spPr>
          <c:marker>
            <c:symbol val="none"/>
          </c:marker>
          <c:dLbls>
            <c:dLbl>
              <c:idx val="0"/>
              <c:layout/>
              <c:tx>
                <c:rich>
                  <a:bodyPr/>
                  <a:lstStyle/>
                  <a:p>
                    <a:r>
                      <a:rPr lang="en-US"/>
                      <a:t>5</a:t>
                    </a:r>
                  </a:p>
                </c:rich>
              </c:tx>
              <c:dLblPos val="l"/>
              <c:showVal val="1"/>
            </c:dLbl>
            <c:delete val="1"/>
            <c:dLblPos val="l"/>
          </c:dLbls>
          <c:cat>
            <c:numRef>
              <c:f>'Chart 17e DATA'!$L$2:$P$2</c:f>
              <c:numCache>
                <c:formatCode>General</c:formatCode>
                <c:ptCount val="5"/>
                <c:pt idx="0">
                  <c:v>2011</c:v>
                </c:pt>
                <c:pt idx="1">
                  <c:v>2012</c:v>
                </c:pt>
                <c:pt idx="2">
                  <c:v>2013</c:v>
                </c:pt>
                <c:pt idx="3">
                  <c:v>2014</c:v>
                </c:pt>
                <c:pt idx="4">
                  <c:v>2015</c:v>
                </c:pt>
              </c:numCache>
            </c:numRef>
          </c:cat>
          <c:val>
            <c:numRef>
              <c:f>'Chart 17e DATA'!$L$7:$P$7</c:f>
              <c:numCache>
                <c:formatCode>0</c:formatCode>
                <c:ptCount val="5"/>
                <c:pt idx="0">
                  <c:v>73.393148450244695</c:v>
                </c:pt>
                <c:pt idx="1">
                  <c:v>77.471581122976232</c:v>
                </c:pt>
                <c:pt idx="2">
                  <c:v>85.621783164535941</c:v>
                </c:pt>
                <c:pt idx="3">
                  <c:v>87.911903160726297</c:v>
                </c:pt>
                <c:pt idx="4">
                  <c:v>89.956839309428943</c:v>
                </c:pt>
              </c:numCache>
            </c:numRef>
          </c:val>
        </c:ser>
        <c:marker val="1"/>
        <c:axId val="253856000"/>
        <c:axId val="253882368"/>
      </c:lineChart>
      <c:catAx>
        <c:axId val="253856000"/>
        <c:scaling>
          <c:orientation val="minMax"/>
        </c:scaling>
        <c:axPos val="b"/>
        <c:numFmt formatCode="General" sourceLinked="1"/>
        <c:tickLblPos val="nextTo"/>
        <c:crossAx val="253882368"/>
        <c:crosses val="autoZero"/>
        <c:auto val="1"/>
        <c:lblAlgn val="ctr"/>
        <c:lblOffset val="100"/>
      </c:catAx>
      <c:valAx>
        <c:axId val="253882368"/>
        <c:scaling>
          <c:orientation val="minMax"/>
          <c:max val="100"/>
        </c:scaling>
        <c:axPos val="l"/>
        <c:title>
          <c:tx>
            <c:rich>
              <a:bodyPr rot="0" vert="wordArtVert"/>
              <a:lstStyle/>
              <a:p>
                <a:pPr>
                  <a:defRPr/>
                </a:pPr>
                <a:r>
                  <a:rPr lang="en-GB"/>
                  <a:t>%</a:t>
                </a:r>
              </a:p>
            </c:rich>
          </c:tx>
          <c:layout/>
        </c:title>
        <c:numFmt formatCode="0" sourceLinked="1"/>
        <c:tickLblPos val="nextTo"/>
        <c:crossAx val="253856000"/>
        <c:crosses val="autoZero"/>
        <c:crossBetween val="between"/>
      </c:valAx>
      <c:spPr>
        <a:ln>
          <a:solidFill>
            <a:sysClr val="windowText" lastClr="000000"/>
          </a:solidFill>
        </a:ln>
      </c:spPr>
    </c:plotArea>
    <c:legend>
      <c:legendPos val="r"/>
      <c:layout>
        <c:manualLayout>
          <c:xMode val="edge"/>
          <c:yMode val="edge"/>
          <c:x val="0.78317702474689999"/>
          <c:y val="0.21720164582466386"/>
          <c:w val="0.20789440382452548"/>
          <c:h val="0.37218992883045926"/>
        </c:manualLayout>
      </c:layout>
      <c:spPr>
        <a:ln>
          <a:solidFill>
            <a:schemeClr val="tx1"/>
          </a:solidFill>
        </a:ln>
      </c:spPr>
      <c:txPr>
        <a:bodyPr/>
        <a:lstStyle/>
        <a:p>
          <a:pPr>
            <a:defRPr sz="900"/>
          </a:pPr>
          <a:endParaRPr lang="en-US"/>
        </a:p>
      </c:txPr>
    </c:legend>
    <c:plotVisOnly val="1"/>
  </c:chart>
  <c:printSettings>
    <c:headerFooter/>
    <c:pageMargins b="0.75000000000001199" l="0.70000000000000062" r="0.70000000000000062" t="0.7500000000000119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0370081672753479"/>
          <c:h val="0.75436635994269319"/>
        </c:manualLayout>
      </c:layout>
      <c:barChart>
        <c:barDir val="col"/>
        <c:grouping val="clustered"/>
        <c:ser>
          <c:idx val="0"/>
          <c:order val="0"/>
          <c:tx>
            <c:strRef>
              <c:f>'Chart 1b DATA (final diag)'!$B$2</c:f>
              <c:strCache>
                <c:ptCount val="1"/>
                <c:pt idx="0">
                  <c:v>2014 (%)</c:v>
                </c:pt>
              </c:strCache>
            </c:strRef>
          </c:tx>
          <c:spPr>
            <a:solidFill>
              <a:srgbClr val="9999FF"/>
            </a:solidFill>
            <a:ln>
              <a:solidFill>
                <a:prstClr val="black"/>
              </a:solidFill>
            </a:ln>
          </c:spPr>
          <c:dPt>
            <c:idx val="0"/>
            <c:spPr>
              <a:solidFill>
                <a:srgbClr val="99CC00"/>
              </a:solidFill>
              <a:ln>
                <a:solidFill>
                  <a:prstClr val="black"/>
                </a:solidFill>
              </a:ln>
            </c:spPr>
          </c:dPt>
          <c:cat>
            <c:strRef>
              <c:f>'Chart 1b DATA (final diag)'!$A$3:$A$17</c:f>
              <c:strCache>
                <c:ptCount val="15"/>
                <c:pt idx="0">
                  <c:v>Scotland</c:v>
                </c:pt>
                <c:pt idx="1">
                  <c:v>Western Isles*</c:v>
                </c:pt>
                <c:pt idx="2">
                  <c:v>Borders</c:v>
                </c:pt>
                <c:pt idx="3">
                  <c:v>Shetland*</c:v>
                </c:pt>
                <c:pt idx="4">
                  <c:v>Fife</c:v>
                </c:pt>
                <c:pt idx="5">
                  <c:v>Dumfries &amp; Galloway*</c:v>
                </c:pt>
                <c:pt idx="6">
                  <c:v>Lanarkshire</c:v>
                </c:pt>
                <c:pt idx="7">
                  <c:v>Forth Valley</c:v>
                </c:pt>
                <c:pt idx="8">
                  <c:v>Ayrshire &amp; Arran</c:v>
                </c:pt>
                <c:pt idx="9">
                  <c:v>Grampian</c:v>
                </c:pt>
                <c:pt idx="10">
                  <c:v>Greater Glasgow &amp; Clyde</c:v>
                </c:pt>
                <c:pt idx="11">
                  <c:v>Tayside</c:v>
                </c:pt>
                <c:pt idx="12">
                  <c:v>Highland*</c:v>
                </c:pt>
                <c:pt idx="13">
                  <c:v>Lothian</c:v>
                </c:pt>
                <c:pt idx="14">
                  <c:v>Orkney*</c:v>
                </c:pt>
              </c:strCache>
            </c:strRef>
          </c:cat>
          <c:val>
            <c:numRef>
              <c:f>'Chart 1b DATA (final diag)'!$B$3:$B$17</c:f>
              <c:numCache>
                <c:formatCode>0</c:formatCode>
                <c:ptCount val="15"/>
                <c:pt idx="0">
                  <c:v>61.920567700583732</c:v>
                </c:pt>
                <c:pt idx="1">
                  <c:v>81.818181818181827</c:v>
                </c:pt>
                <c:pt idx="2">
                  <c:v>85.436893203883486</c:v>
                </c:pt>
                <c:pt idx="3">
                  <c:v>68.571428571428569</c:v>
                </c:pt>
                <c:pt idx="4">
                  <c:v>70.588235294117652</c:v>
                </c:pt>
                <c:pt idx="5">
                  <c:v>71.134020618556704</c:v>
                </c:pt>
                <c:pt idx="6">
                  <c:v>76.19047619047619</c:v>
                </c:pt>
                <c:pt idx="7">
                  <c:v>67.786561264822126</c:v>
                </c:pt>
                <c:pt idx="8">
                  <c:v>62.677165354330711</c:v>
                </c:pt>
                <c:pt idx="9">
                  <c:v>61.294765840220386</c:v>
                </c:pt>
                <c:pt idx="10">
                  <c:v>57.104795737122558</c:v>
                </c:pt>
                <c:pt idx="11">
                  <c:v>64.137931034482747</c:v>
                </c:pt>
                <c:pt idx="12">
                  <c:v>63.16916488222698</c:v>
                </c:pt>
                <c:pt idx="13">
                  <c:v>48.525280898876403</c:v>
                </c:pt>
                <c:pt idx="14">
                  <c:v>17.5</c:v>
                </c:pt>
              </c:numCache>
            </c:numRef>
          </c:val>
        </c:ser>
        <c:ser>
          <c:idx val="1"/>
          <c:order val="1"/>
          <c:tx>
            <c:strRef>
              <c:f>'Chart 1b DATA (final diag)'!$C$2</c:f>
              <c:strCache>
                <c:ptCount val="1"/>
                <c:pt idx="0">
                  <c:v>2015 (%)</c:v>
                </c:pt>
              </c:strCache>
            </c:strRef>
          </c:tx>
          <c:spPr>
            <a:solidFill>
              <a:srgbClr val="993366"/>
            </a:solidFill>
            <a:ln>
              <a:solidFill>
                <a:prstClr val="black"/>
              </a:solidFill>
            </a:ln>
          </c:spPr>
          <c:dPt>
            <c:idx val="0"/>
            <c:spPr>
              <a:solidFill>
                <a:srgbClr val="008000"/>
              </a:solidFill>
              <a:ln>
                <a:solidFill>
                  <a:prstClr val="black"/>
                </a:solidFill>
              </a:ln>
            </c:spPr>
          </c:dPt>
          <c:cat>
            <c:strRef>
              <c:f>'Chart 1b DATA (final diag)'!$A$3:$A$17</c:f>
              <c:strCache>
                <c:ptCount val="15"/>
                <c:pt idx="0">
                  <c:v>Scotland</c:v>
                </c:pt>
                <c:pt idx="1">
                  <c:v>Western Isles*</c:v>
                </c:pt>
                <c:pt idx="2">
                  <c:v>Borders</c:v>
                </c:pt>
                <c:pt idx="3">
                  <c:v>Shetland*</c:v>
                </c:pt>
                <c:pt idx="4">
                  <c:v>Fife</c:v>
                </c:pt>
                <c:pt idx="5">
                  <c:v>Dumfries &amp; Galloway*</c:v>
                </c:pt>
                <c:pt idx="6">
                  <c:v>Lanarkshire</c:v>
                </c:pt>
                <c:pt idx="7">
                  <c:v>Forth Valley</c:v>
                </c:pt>
                <c:pt idx="8">
                  <c:v>Ayrshire &amp; Arran</c:v>
                </c:pt>
                <c:pt idx="9">
                  <c:v>Grampian</c:v>
                </c:pt>
                <c:pt idx="10">
                  <c:v>Greater Glasgow &amp; Clyde</c:v>
                </c:pt>
                <c:pt idx="11">
                  <c:v>Tayside</c:v>
                </c:pt>
                <c:pt idx="12">
                  <c:v>Highland*</c:v>
                </c:pt>
                <c:pt idx="13">
                  <c:v>Lothian</c:v>
                </c:pt>
                <c:pt idx="14">
                  <c:v>Orkney*</c:v>
                </c:pt>
              </c:strCache>
            </c:strRef>
          </c:cat>
          <c:val>
            <c:numRef>
              <c:f>'Chart 1b DATA (final diag)'!$C$3:$C$17</c:f>
              <c:numCache>
                <c:formatCode>0</c:formatCode>
                <c:ptCount val="15"/>
                <c:pt idx="0">
                  <c:v>63.738089962331046</c:v>
                </c:pt>
                <c:pt idx="1">
                  <c:v>80</c:v>
                </c:pt>
                <c:pt idx="2">
                  <c:v>78.995433789954333</c:v>
                </c:pt>
                <c:pt idx="3">
                  <c:v>77.142857142857153</c:v>
                </c:pt>
                <c:pt idx="4">
                  <c:v>73.65930599369085</c:v>
                </c:pt>
                <c:pt idx="5">
                  <c:v>71.378091872791515</c:v>
                </c:pt>
                <c:pt idx="6">
                  <c:v>68.795811518324612</c:v>
                </c:pt>
                <c:pt idx="7">
                  <c:v>67.095588235294116</c:v>
                </c:pt>
                <c:pt idx="8">
                  <c:v>64.769230769230774</c:v>
                </c:pt>
                <c:pt idx="9">
                  <c:v>64.277035236938033</c:v>
                </c:pt>
                <c:pt idx="10">
                  <c:v>64.055505819158469</c:v>
                </c:pt>
                <c:pt idx="11">
                  <c:v>59.905660377358494</c:v>
                </c:pt>
                <c:pt idx="12">
                  <c:v>55.511022044088179</c:v>
                </c:pt>
                <c:pt idx="13">
                  <c:v>53.995830437804024</c:v>
                </c:pt>
                <c:pt idx="14">
                  <c:v>45</c:v>
                </c:pt>
              </c:numCache>
            </c:numRef>
          </c:val>
        </c:ser>
        <c:axId val="411539712"/>
        <c:axId val="421053952"/>
      </c:barChart>
      <c:catAx>
        <c:axId val="411539712"/>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421053952"/>
        <c:crosses val="autoZero"/>
        <c:auto val="1"/>
        <c:lblAlgn val="ctr"/>
        <c:lblOffset val="100"/>
      </c:catAx>
      <c:valAx>
        <c:axId val="42105395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1539712"/>
        <c:crosses val="autoZero"/>
        <c:crossBetween val="between"/>
      </c:valAx>
      <c:spPr>
        <a:ln>
          <a:solidFill>
            <a:schemeClr val="bg1">
              <a:lumMod val="75000"/>
            </a:schemeClr>
          </a:solidFill>
        </a:ln>
      </c:spPr>
    </c:plotArea>
    <c:legend>
      <c:legendPos val="r"/>
      <c:layout>
        <c:manualLayout>
          <c:xMode val="edge"/>
          <c:yMode val="edge"/>
          <c:x val="0.89449604832915441"/>
          <c:y val="0.34230677687029487"/>
          <c:w val="9.6565404184815767E-2"/>
          <c:h val="0.23257071126978215"/>
        </c:manualLayout>
      </c:layout>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363"/>
        </c:manualLayout>
      </c:layout>
      <c:barChart>
        <c:barDir val="col"/>
        <c:grouping val="clustered"/>
        <c:ser>
          <c:idx val="0"/>
          <c:order val="0"/>
          <c:tx>
            <c:strRef>
              <c:f>'Chart 1c DATA'!$B$2</c:f>
              <c:strCache>
                <c:ptCount val="1"/>
                <c:pt idx="0">
                  <c:v>2014 (%)</c:v>
                </c:pt>
              </c:strCache>
            </c:strRef>
          </c:tx>
          <c:spPr>
            <a:solidFill>
              <a:schemeClr val="bg1">
                <a:lumMod val="65000"/>
              </a:schemeClr>
            </a:solidFill>
          </c:spPr>
          <c:cat>
            <c:strRef>
              <c:f>'Chart 1c DATA'!$A$3:$A$32</c:f>
              <c:strCache>
                <c:ptCount val="30"/>
                <c:pt idx="0">
                  <c:v>Scotland</c:v>
                </c:pt>
                <c:pt idx="1">
                  <c:v>Borders</c:v>
                </c:pt>
                <c:pt idx="2">
                  <c:v>Caithness*</c:v>
                </c:pt>
                <c:pt idx="3">
                  <c:v>Western Isles</c:v>
                </c:pt>
                <c:pt idx="4">
                  <c:v>GCH*</c:v>
                </c:pt>
                <c:pt idx="5">
                  <c:v>Hairmyres</c:v>
                </c:pt>
                <c:pt idx="6">
                  <c:v>DGRI</c:v>
                </c:pt>
                <c:pt idx="7">
                  <c:v>Gilbert Bain*</c:v>
                </c:pt>
                <c:pt idx="8">
                  <c:v>VHK</c:v>
                </c:pt>
                <c:pt idx="9">
                  <c:v>Crosshouse</c:v>
                </c:pt>
                <c:pt idx="10">
                  <c:v>Wishaw</c:v>
                </c:pt>
                <c:pt idx="11">
                  <c:v>Monklands</c:v>
                </c:pt>
                <c:pt idx="12">
                  <c:v>IRH</c:v>
                </c:pt>
                <c:pt idx="13">
                  <c:v>FVRH</c:v>
                </c:pt>
                <c:pt idx="14">
                  <c:v>Dr Grays</c:v>
                </c:pt>
                <c:pt idx="15">
                  <c:v>QEUH</c:v>
                </c:pt>
                <c:pt idx="16">
                  <c:v>Belford*</c:v>
                </c:pt>
                <c:pt idx="17">
                  <c:v>ARI</c:v>
                </c:pt>
                <c:pt idx="18">
                  <c:v>L&amp;I</c:v>
                </c:pt>
                <c:pt idx="19">
                  <c:v>Ninewells</c:v>
                </c:pt>
                <c:pt idx="20">
                  <c:v>Ayr</c:v>
                </c:pt>
                <c:pt idx="21">
                  <c:v>GRI</c:v>
                </c:pt>
                <c:pt idx="22">
                  <c:v>SJH</c:v>
                </c:pt>
                <c:pt idx="23">
                  <c:v>WGH</c:v>
                </c:pt>
                <c:pt idx="24">
                  <c:v>PRI</c:v>
                </c:pt>
                <c:pt idx="25">
                  <c:v>RIE</c:v>
                </c:pt>
                <c:pt idx="26">
                  <c:v>RAH</c:v>
                </c:pt>
                <c:pt idx="27">
                  <c:v>Raigmore</c:v>
                </c:pt>
                <c:pt idx="28">
                  <c:v>Balfour</c:v>
                </c:pt>
                <c:pt idx="29">
                  <c:v>Uist &amp; Barra</c:v>
                </c:pt>
              </c:strCache>
            </c:strRef>
          </c:cat>
          <c:val>
            <c:numRef>
              <c:f>'Chart 1c DATA'!$B$3:$B$32</c:f>
              <c:numCache>
                <c:formatCode>0</c:formatCode>
                <c:ptCount val="30"/>
                <c:pt idx="0">
                  <c:v>66.367049721242466</c:v>
                </c:pt>
                <c:pt idx="1">
                  <c:v>87.684729064039416</c:v>
                </c:pt>
                <c:pt idx="2">
                  <c:v>82.539682539682531</c:v>
                </c:pt>
                <c:pt idx="3">
                  <c:v>88.888888888888886</c:v>
                </c:pt>
                <c:pt idx="4">
                  <c:v>88.372093023255815</c:v>
                </c:pt>
                <c:pt idx="5">
                  <c:v>88.481675392670155</c:v>
                </c:pt>
                <c:pt idx="6">
                  <c:v>70.940170940170944</c:v>
                </c:pt>
                <c:pt idx="7">
                  <c:v>71.875</c:v>
                </c:pt>
                <c:pt idx="8">
                  <c:v>77.172061328790463</c:v>
                </c:pt>
                <c:pt idx="9">
                  <c:v>77.545691906005217</c:v>
                </c:pt>
                <c:pt idx="10">
                  <c:v>82.389937106918239</c:v>
                </c:pt>
                <c:pt idx="11">
                  <c:v>79.565217391304344</c:v>
                </c:pt>
                <c:pt idx="12">
                  <c:v>65.116279069767444</c:v>
                </c:pt>
                <c:pt idx="13">
                  <c:v>77.354260089686093</c:v>
                </c:pt>
                <c:pt idx="14">
                  <c:v>65.420560747663544</c:v>
                </c:pt>
                <c:pt idx="15">
                  <c:v>62.693156732891829</c:v>
                </c:pt>
                <c:pt idx="16">
                  <c:v>82.142857142857139</c:v>
                </c:pt>
                <c:pt idx="17">
                  <c:v>70.588235294117652</c:v>
                </c:pt>
                <c:pt idx="18">
                  <c:v>70.833333333333343</c:v>
                </c:pt>
                <c:pt idx="19">
                  <c:v>65.968586387434556</c:v>
                </c:pt>
                <c:pt idx="20">
                  <c:v>66.666666666666657</c:v>
                </c:pt>
                <c:pt idx="21">
                  <c:v>54.606365159128977</c:v>
                </c:pt>
                <c:pt idx="22">
                  <c:v>54.589371980676326</c:v>
                </c:pt>
                <c:pt idx="23">
                  <c:v>57.947019867549663</c:v>
                </c:pt>
                <c:pt idx="24">
                  <c:v>73.714285714285708</c:v>
                </c:pt>
                <c:pt idx="25">
                  <c:v>54.171428571428571</c:v>
                </c:pt>
                <c:pt idx="26">
                  <c:v>50.823529411764703</c:v>
                </c:pt>
                <c:pt idx="27">
                  <c:v>57.681159420289852</c:v>
                </c:pt>
                <c:pt idx="28">
                  <c:v>19.230769230769234</c:v>
                </c:pt>
                <c:pt idx="29">
                  <c:v>0</c:v>
                </c:pt>
              </c:numCache>
            </c:numRef>
          </c:val>
        </c:ser>
        <c:ser>
          <c:idx val="1"/>
          <c:order val="1"/>
          <c:tx>
            <c:strRef>
              <c:f>'Chart 1c DATA'!$C$2</c:f>
              <c:strCache>
                <c:ptCount val="1"/>
                <c:pt idx="0">
                  <c:v>2015 (%)</c:v>
                </c:pt>
              </c:strCache>
            </c:strRef>
          </c:tx>
          <c:spPr>
            <a:solidFill>
              <a:srgbClr val="FFC000"/>
            </a:solidFill>
          </c:spPr>
          <c:dPt>
            <c:idx val="0"/>
            <c:spPr>
              <a:solidFill>
                <a:srgbClr val="1A9641"/>
              </a:solidFill>
            </c:spPr>
          </c:dPt>
          <c:dPt>
            <c:idx val="15"/>
            <c:spPr>
              <a:solidFill>
                <a:srgbClr val="008000"/>
              </a:solidFill>
            </c:spPr>
          </c:dPt>
          <c:dPt>
            <c:idx val="21"/>
            <c:spPr>
              <a:solidFill>
                <a:srgbClr val="008000"/>
              </a:solidFill>
            </c:spPr>
          </c:dPt>
          <c:dPt>
            <c:idx val="23"/>
            <c:spPr>
              <a:solidFill>
                <a:srgbClr val="FFC000"/>
              </a:solidFill>
              <a:ln w="25400">
                <a:noFill/>
              </a:ln>
            </c:spPr>
          </c:dPt>
          <c:dPt>
            <c:idx val="25"/>
            <c:spPr>
              <a:solidFill>
                <a:srgbClr val="008000"/>
              </a:solidFill>
            </c:spPr>
          </c:dPt>
          <c:dPt>
            <c:idx val="27"/>
            <c:spPr>
              <a:solidFill>
                <a:srgbClr val="FF0000"/>
              </a:solidFill>
            </c:spPr>
          </c:dPt>
          <c:cat>
            <c:strRef>
              <c:f>'Chart 1c DATA'!$A$3:$A$32</c:f>
              <c:strCache>
                <c:ptCount val="30"/>
                <c:pt idx="0">
                  <c:v>Scotland</c:v>
                </c:pt>
                <c:pt idx="1">
                  <c:v>Borders</c:v>
                </c:pt>
                <c:pt idx="2">
                  <c:v>Caithness*</c:v>
                </c:pt>
                <c:pt idx="3">
                  <c:v>Western Isles</c:v>
                </c:pt>
                <c:pt idx="4">
                  <c:v>GCH*</c:v>
                </c:pt>
                <c:pt idx="5">
                  <c:v>Hairmyres</c:v>
                </c:pt>
                <c:pt idx="6">
                  <c:v>DGRI</c:v>
                </c:pt>
                <c:pt idx="7">
                  <c:v>Gilbert Bain*</c:v>
                </c:pt>
                <c:pt idx="8">
                  <c:v>VHK</c:v>
                </c:pt>
                <c:pt idx="9">
                  <c:v>Crosshouse</c:v>
                </c:pt>
                <c:pt idx="10">
                  <c:v>Wishaw</c:v>
                </c:pt>
                <c:pt idx="11">
                  <c:v>Monklands</c:v>
                </c:pt>
                <c:pt idx="12">
                  <c:v>IRH</c:v>
                </c:pt>
                <c:pt idx="13">
                  <c:v>FVRH</c:v>
                </c:pt>
                <c:pt idx="14">
                  <c:v>Dr Grays</c:v>
                </c:pt>
                <c:pt idx="15">
                  <c:v>QEUH</c:v>
                </c:pt>
                <c:pt idx="16">
                  <c:v>Belford*</c:v>
                </c:pt>
                <c:pt idx="17">
                  <c:v>ARI</c:v>
                </c:pt>
                <c:pt idx="18">
                  <c:v>L&amp;I</c:v>
                </c:pt>
                <c:pt idx="19">
                  <c:v>Ninewells</c:v>
                </c:pt>
                <c:pt idx="20">
                  <c:v>Ayr</c:v>
                </c:pt>
                <c:pt idx="21">
                  <c:v>GRI</c:v>
                </c:pt>
                <c:pt idx="22">
                  <c:v>SJH</c:v>
                </c:pt>
                <c:pt idx="23">
                  <c:v>WGH</c:v>
                </c:pt>
                <c:pt idx="24">
                  <c:v>PRI</c:v>
                </c:pt>
                <c:pt idx="25">
                  <c:v>RIE</c:v>
                </c:pt>
                <c:pt idx="26">
                  <c:v>RAH</c:v>
                </c:pt>
                <c:pt idx="27">
                  <c:v>Raigmore</c:v>
                </c:pt>
                <c:pt idx="28">
                  <c:v>Balfour</c:v>
                </c:pt>
                <c:pt idx="29">
                  <c:v>Uist &amp; Barra</c:v>
                </c:pt>
              </c:strCache>
            </c:strRef>
          </c:cat>
          <c:val>
            <c:numRef>
              <c:f>'Chart 1c DATA'!$C$3:$C$32</c:f>
              <c:numCache>
                <c:formatCode>0</c:formatCode>
                <c:ptCount val="30"/>
                <c:pt idx="0">
                  <c:v>69.334975369458135</c:v>
                </c:pt>
                <c:pt idx="1">
                  <c:v>85.645933014354071</c:v>
                </c:pt>
                <c:pt idx="2">
                  <c:v>85.18518518518519</c:v>
                </c:pt>
                <c:pt idx="3">
                  <c:v>84.848484848484844</c:v>
                </c:pt>
                <c:pt idx="4">
                  <c:v>84.210526315789465</c:v>
                </c:pt>
                <c:pt idx="5">
                  <c:v>83.856502242152459</c:v>
                </c:pt>
                <c:pt idx="6">
                  <c:v>80.275229357798167</c:v>
                </c:pt>
                <c:pt idx="7">
                  <c:v>80</c:v>
                </c:pt>
                <c:pt idx="8">
                  <c:v>78.287461773700301</c:v>
                </c:pt>
                <c:pt idx="9">
                  <c:v>76.987447698744774</c:v>
                </c:pt>
                <c:pt idx="10">
                  <c:v>76.530612244897952</c:v>
                </c:pt>
                <c:pt idx="11">
                  <c:v>75.4863813229572</c:v>
                </c:pt>
                <c:pt idx="12">
                  <c:v>75</c:v>
                </c:pt>
                <c:pt idx="13">
                  <c:v>73.040152963671119</c:v>
                </c:pt>
                <c:pt idx="14">
                  <c:v>72.972972972972968</c:v>
                </c:pt>
                <c:pt idx="15">
                  <c:v>71.931196247068016</c:v>
                </c:pt>
                <c:pt idx="16">
                  <c:v>71.875</c:v>
                </c:pt>
                <c:pt idx="17">
                  <c:v>71.048513302034436</c:v>
                </c:pt>
                <c:pt idx="18">
                  <c:v>69.565217391304344</c:v>
                </c:pt>
                <c:pt idx="19">
                  <c:v>67.067307692307693</c:v>
                </c:pt>
                <c:pt idx="20">
                  <c:v>64.745762711864401</c:v>
                </c:pt>
                <c:pt idx="21">
                  <c:v>63.464837049742705</c:v>
                </c:pt>
                <c:pt idx="22">
                  <c:v>63.157894736842103</c:v>
                </c:pt>
                <c:pt idx="23">
                  <c:v>61.693548387096776</c:v>
                </c:pt>
                <c:pt idx="24">
                  <c:v>61.643835616438359</c:v>
                </c:pt>
                <c:pt idx="25">
                  <c:v>61.53846153846154</c:v>
                </c:pt>
                <c:pt idx="26">
                  <c:v>55.163043478260867</c:v>
                </c:pt>
                <c:pt idx="27">
                  <c:v>44.961240310077521</c:v>
                </c:pt>
                <c:pt idx="28">
                  <c:v>42.1875</c:v>
                </c:pt>
                <c:pt idx="29">
                  <c:v>0</c:v>
                </c:pt>
              </c:numCache>
            </c:numRef>
          </c:val>
        </c:ser>
        <c:axId val="69712896"/>
        <c:axId val="69718784"/>
      </c:barChart>
      <c:catAx>
        <c:axId val="6971289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69718784"/>
        <c:crosses val="autoZero"/>
        <c:auto val="1"/>
        <c:lblAlgn val="ctr"/>
        <c:lblOffset val="100"/>
      </c:catAx>
      <c:valAx>
        <c:axId val="69718784"/>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712896"/>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43" l="0.70000000000000062" r="0.70000000000000062" t="0.75000000000001443"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33"/>
        </c:manualLayout>
      </c:layout>
      <c:barChart>
        <c:barDir val="col"/>
        <c:grouping val="clustered"/>
        <c:ser>
          <c:idx val="0"/>
          <c:order val="0"/>
          <c:tx>
            <c:strRef>
              <c:f>'Chart 1c DATA (final diag)'!$B$2</c:f>
              <c:strCache>
                <c:ptCount val="1"/>
                <c:pt idx="0">
                  <c:v>2014 (%)</c:v>
                </c:pt>
              </c:strCache>
            </c:strRef>
          </c:tx>
          <c:spPr>
            <a:solidFill>
              <a:srgbClr val="A6A6A6"/>
            </a:solidFill>
          </c:spPr>
          <c:cat>
            <c:strRef>
              <c:f>'Chart 1c DATA (final diag)'!$O$3:$O$32</c:f>
              <c:strCache>
                <c:ptCount val="30"/>
                <c:pt idx="0">
                  <c:v>Scotland</c:v>
                </c:pt>
                <c:pt idx="1">
                  <c:v>Caithness*</c:v>
                </c:pt>
                <c:pt idx="2">
                  <c:v>Western Isles</c:v>
                </c:pt>
                <c:pt idx="3">
                  <c:v>GCH*</c:v>
                </c:pt>
                <c:pt idx="4">
                  <c:v>Borders</c:v>
                </c:pt>
                <c:pt idx="5">
                  <c:v>Gilbert Bain*</c:v>
                </c:pt>
                <c:pt idx="6">
                  <c:v>L&amp;I</c:v>
                </c:pt>
                <c:pt idx="7">
                  <c:v>Belford*</c:v>
                </c:pt>
                <c:pt idx="8">
                  <c:v>VHK</c:v>
                </c:pt>
                <c:pt idx="9">
                  <c:v>Hairmyres</c:v>
                </c:pt>
                <c:pt idx="10">
                  <c:v>Wishaw</c:v>
                </c:pt>
                <c:pt idx="11">
                  <c:v>IRH</c:v>
                </c:pt>
                <c:pt idx="12">
                  <c:v>Dr Grays</c:v>
                </c:pt>
                <c:pt idx="13">
                  <c:v>DGRI</c:v>
                </c:pt>
                <c:pt idx="14">
                  <c:v>Crosshouse</c:v>
                </c:pt>
                <c:pt idx="15">
                  <c:v>QEUHG</c:v>
                </c:pt>
                <c:pt idx="16">
                  <c:v>FVRH</c:v>
                </c:pt>
                <c:pt idx="17">
                  <c:v>Monklands</c:v>
                </c:pt>
                <c:pt idx="18">
                  <c:v>ARI</c:v>
                </c:pt>
                <c:pt idx="19">
                  <c:v>Ninewells</c:v>
                </c:pt>
                <c:pt idx="20">
                  <c:v>GRI</c:v>
                </c:pt>
                <c:pt idx="21">
                  <c:v>SJH</c:v>
                </c:pt>
                <c:pt idx="22">
                  <c:v>Ayr</c:v>
                </c:pt>
                <c:pt idx="23">
                  <c:v>PRI</c:v>
                </c:pt>
                <c:pt idx="24">
                  <c:v>RIE</c:v>
                </c:pt>
                <c:pt idx="25">
                  <c:v>WGH</c:v>
                </c:pt>
                <c:pt idx="26">
                  <c:v>RAH</c:v>
                </c:pt>
                <c:pt idx="27">
                  <c:v>Balfour</c:v>
                </c:pt>
                <c:pt idx="28">
                  <c:v>Raigmore</c:v>
                </c:pt>
                <c:pt idx="29">
                  <c:v>Uist &amp; Barra</c:v>
                </c:pt>
              </c:strCache>
            </c:strRef>
          </c:cat>
          <c:val>
            <c:numRef>
              <c:f>'Chart 1c DATA (final diag)'!$B$3:$B$32</c:f>
              <c:numCache>
                <c:formatCode>0</c:formatCode>
                <c:ptCount val="30"/>
                <c:pt idx="0">
                  <c:v>61.920567700583732</c:v>
                </c:pt>
                <c:pt idx="1">
                  <c:v>77.142857142857153</c:v>
                </c:pt>
                <c:pt idx="2">
                  <c:v>81.818181818181827</c:v>
                </c:pt>
                <c:pt idx="3">
                  <c:v>94.871794871794862</c:v>
                </c:pt>
                <c:pt idx="4">
                  <c:v>85.436893203883486</c:v>
                </c:pt>
                <c:pt idx="5">
                  <c:v>68.571428571428569</c:v>
                </c:pt>
                <c:pt idx="6">
                  <c:v>73.80952380952381</c:v>
                </c:pt>
                <c:pt idx="7">
                  <c:v>83.333333333333343</c:v>
                </c:pt>
                <c:pt idx="8">
                  <c:v>70.588235294117652</c:v>
                </c:pt>
                <c:pt idx="9">
                  <c:v>73.591549295774655</c:v>
                </c:pt>
                <c:pt idx="10">
                  <c:v>81.395348837209298</c:v>
                </c:pt>
                <c:pt idx="11">
                  <c:v>56.521739130434781</c:v>
                </c:pt>
                <c:pt idx="12">
                  <c:v>64.81481481481481</c:v>
                </c:pt>
                <c:pt idx="13">
                  <c:v>67.460317460317469</c:v>
                </c:pt>
                <c:pt idx="14">
                  <c:v>67.164179104477611</c:v>
                </c:pt>
                <c:pt idx="15">
                  <c:v>61.73986486486487</c:v>
                </c:pt>
                <c:pt idx="16">
                  <c:v>67.786561264822126</c:v>
                </c:pt>
                <c:pt idx="17">
                  <c:v>72.63513513513513</c:v>
                </c:pt>
                <c:pt idx="18">
                  <c:v>60.679611650485434</c:v>
                </c:pt>
                <c:pt idx="19">
                  <c:v>62.015503875968989</c:v>
                </c:pt>
                <c:pt idx="20">
                  <c:v>53.048780487804883</c:v>
                </c:pt>
                <c:pt idx="21">
                  <c:v>52.991452991452995</c:v>
                </c:pt>
                <c:pt idx="22">
                  <c:v>57.666666666666664</c:v>
                </c:pt>
                <c:pt idx="23">
                  <c:v>68.393782383419691</c:v>
                </c:pt>
                <c:pt idx="24">
                  <c:v>47.580645161290327</c:v>
                </c:pt>
                <c:pt idx="25">
                  <c:v>47.826086956521742</c:v>
                </c:pt>
                <c:pt idx="26">
                  <c:v>47.967479674796749</c:v>
                </c:pt>
                <c:pt idx="27">
                  <c:v>17.5</c:v>
                </c:pt>
                <c:pt idx="28">
                  <c:v>56.92307692307692</c:v>
                </c:pt>
                <c:pt idx="29">
                  <c:v>0</c:v>
                </c:pt>
              </c:numCache>
            </c:numRef>
          </c:val>
        </c:ser>
        <c:ser>
          <c:idx val="1"/>
          <c:order val="1"/>
          <c:tx>
            <c:strRef>
              <c:f>'Chart 1c DATA (final diag)'!$C$2</c:f>
              <c:strCache>
                <c:ptCount val="1"/>
                <c:pt idx="0">
                  <c:v>2015 (%)</c:v>
                </c:pt>
              </c:strCache>
            </c:strRef>
          </c:tx>
          <c:spPr>
            <a:solidFill>
              <a:srgbClr val="FFC000"/>
            </a:solidFill>
          </c:spPr>
          <c:dPt>
            <c:idx val="10"/>
            <c:spPr>
              <a:solidFill>
                <a:srgbClr val="FF0000"/>
              </a:solidFill>
            </c:spPr>
          </c:dPt>
          <c:dPt>
            <c:idx val="15"/>
            <c:spPr>
              <a:solidFill>
                <a:srgbClr val="008000"/>
              </a:solidFill>
            </c:spPr>
          </c:dPt>
          <c:dPt>
            <c:idx val="28"/>
            <c:spPr>
              <a:solidFill>
                <a:srgbClr val="FF0000"/>
              </a:solidFill>
            </c:spPr>
          </c:dPt>
          <c:cat>
            <c:strRef>
              <c:f>'Chart 1c DATA (final diag)'!$O$3:$O$32</c:f>
              <c:strCache>
                <c:ptCount val="30"/>
                <c:pt idx="0">
                  <c:v>Scotland</c:v>
                </c:pt>
                <c:pt idx="1">
                  <c:v>Caithness*</c:v>
                </c:pt>
                <c:pt idx="2">
                  <c:v>Western Isles</c:v>
                </c:pt>
                <c:pt idx="3">
                  <c:v>GCH*</c:v>
                </c:pt>
                <c:pt idx="4">
                  <c:v>Borders</c:v>
                </c:pt>
                <c:pt idx="5">
                  <c:v>Gilbert Bain*</c:v>
                </c:pt>
                <c:pt idx="6">
                  <c:v>L&amp;I</c:v>
                </c:pt>
                <c:pt idx="7">
                  <c:v>Belford*</c:v>
                </c:pt>
                <c:pt idx="8">
                  <c:v>VHK</c:v>
                </c:pt>
                <c:pt idx="9">
                  <c:v>Hairmyres</c:v>
                </c:pt>
                <c:pt idx="10">
                  <c:v>Wishaw</c:v>
                </c:pt>
                <c:pt idx="11">
                  <c:v>IRH</c:v>
                </c:pt>
                <c:pt idx="12">
                  <c:v>Dr Grays</c:v>
                </c:pt>
                <c:pt idx="13">
                  <c:v>DGRI</c:v>
                </c:pt>
                <c:pt idx="14">
                  <c:v>Crosshouse</c:v>
                </c:pt>
                <c:pt idx="15">
                  <c:v>QEUHG</c:v>
                </c:pt>
                <c:pt idx="16">
                  <c:v>FVRH</c:v>
                </c:pt>
                <c:pt idx="17">
                  <c:v>Monklands</c:v>
                </c:pt>
                <c:pt idx="18">
                  <c:v>ARI</c:v>
                </c:pt>
                <c:pt idx="19">
                  <c:v>Ninewells</c:v>
                </c:pt>
                <c:pt idx="20">
                  <c:v>GRI</c:v>
                </c:pt>
                <c:pt idx="21">
                  <c:v>SJH</c:v>
                </c:pt>
                <c:pt idx="22">
                  <c:v>Ayr</c:v>
                </c:pt>
                <c:pt idx="23">
                  <c:v>PRI</c:v>
                </c:pt>
                <c:pt idx="24">
                  <c:v>RIE</c:v>
                </c:pt>
                <c:pt idx="25">
                  <c:v>WGH</c:v>
                </c:pt>
                <c:pt idx="26">
                  <c:v>RAH</c:v>
                </c:pt>
                <c:pt idx="27">
                  <c:v>Balfour</c:v>
                </c:pt>
                <c:pt idx="28">
                  <c:v>Raigmore</c:v>
                </c:pt>
                <c:pt idx="29">
                  <c:v>Uist &amp; Barra</c:v>
                </c:pt>
              </c:strCache>
            </c:strRef>
          </c:cat>
          <c:val>
            <c:numRef>
              <c:f>'Chart 1c DATA (final diag)'!$C$3:$C$32</c:f>
              <c:numCache>
                <c:formatCode>0</c:formatCode>
                <c:ptCount val="30"/>
                <c:pt idx="0">
                  <c:v>63.738089962331046</c:v>
                </c:pt>
                <c:pt idx="1">
                  <c:v>91.666666666666657</c:v>
                </c:pt>
                <c:pt idx="2">
                  <c:v>82.35294117647058</c:v>
                </c:pt>
                <c:pt idx="3">
                  <c:v>80</c:v>
                </c:pt>
                <c:pt idx="4">
                  <c:v>78.995433789954333</c:v>
                </c:pt>
                <c:pt idx="5">
                  <c:v>77.142857142857153</c:v>
                </c:pt>
                <c:pt idx="6">
                  <c:v>75.555555555555557</c:v>
                </c:pt>
                <c:pt idx="7">
                  <c:v>75</c:v>
                </c:pt>
                <c:pt idx="8">
                  <c:v>73.65930599369085</c:v>
                </c:pt>
                <c:pt idx="9">
                  <c:v>71.428571428571431</c:v>
                </c:pt>
                <c:pt idx="10">
                  <c:v>70.909090909090907</c:v>
                </c:pt>
                <c:pt idx="11">
                  <c:v>70.142180094786738</c:v>
                </c:pt>
                <c:pt idx="12">
                  <c:v>70</c:v>
                </c:pt>
                <c:pt idx="13">
                  <c:v>69.958847736625515</c:v>
                </c:pt>
                <c:pt idx="14">
                  <c:v>68.814432989690715</c:v>
                </c:pt>
                <c:pt idx="15">
                  <c:v>68.328958880139979</c:v>
                </c:pt>
                <c:pt idx="16">
                  <c:v>67.095588235294116</c:v>
                </c:pt>
                <c:pt idx="17">
                  <c:v>64.197530864197532</c:v>
                </c:pt>
                <c:pt idx="18">
                  <c:v>63.203463203463208</c:v>
                </c:pt>
                <c:pt idx="19">
                  <c:v>62.305986696230597</c:v>
                </c:pt>
                <c:pt idx="20">
                  <c:v>60.943396226415089</c:v>
                </c:pt>
                <c:pt idx="21">
                  <c:v>59.839357429718874</c:v>
                </c:pt>
                <c:pt idx="22">
                  <c:v>58.778625954198475</c:v>
                </c:pt>
                <c:pt idx="23">
                  <c:v>54.054054054054056</c:v>
                </c:pt>
                <c:pt idx="24">
                  <c:v>53.141640042598503</c:v>
                </c:pt>
                <c:pt idx="25">
                  <c:v>51.394422310756973</c:v>
                </c:pt>
                <c:pt idx="26">
                  <c:v>51.142857142857146</c:v>
                </c:pt>
                <c:pt idx="27">
                  <c:v>45</c:v>
                </c:pt>
                <c:pt idx="28">
                  <c:v>44.067796610169488</c:v>
                </c:pt>
                <c:pt idx="29">
                  <c:v>0</c:v>
                </c:pt>
              </c:numCache>
            </c:numRef>
          </c:val>
        </c:ser>
        <c:axId val="69774336"/>
        <c:axId val="69776128"/>
      </c:barChart>
      <c:catAx>
        <c:axId val="6977433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69776128"/>
        <c:crosses val="autoZero"/>
        <c:auto val="1"/>
        <c:lblAlgn val="ctr"/>
        <c:lblOffset val="100"/>
      </c:catAx>
      <c:valAx>
        <c:axId val="6977612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774336"/>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33"/>
        </c:manualLayout>
      </c:layout>
      <c:barChart>
        <c:barDir val="col"/>
        <c:grouping val="clustered"/>
        <c:ser>
          <c:idx val="0"/>
          <c:order val="0"/>
          <c:tx>
            <c:strRef>
              <c:f>'Chart 2a DATA'!$B$2</c:f>
              <c:strCache>
                <c:ptCount val="1"/>
                <c:pt idx="0">
                  <c:v>2014 (%)</c:v>
                </c:pt>
              </c:strCache>
            </c:strRef>
          </c:tx>
          <c:spPr>
            <a:solidFill>
              <a:schemeClr val="bg1">
                <a:lumMod val="65000"/>
              </a:schemeClr>
            </a:solidFill>
          </c:spPr>
          <c:cat>
            <c:strRef>
              <c:f>'Chart 2a DATA'!$A$3:$A$32</c:f>
              <c:strCache>
                <c:ptCount val="30"/>
                <c:pt idx="0">
                  <c:v>Scotland</c:v>
                </c:pt>
                <c:pt idx="1">
                  <c:v>GCH*</c:v>
                </c:pt>
                <c:pt idx="2">
                  <c:v>Caithness*</c:v>
                </c:pt>
                <c:pt idx="3">
                  <c:v>L&amp;I</c:v>
                </c:pt>
                <c:pt idx="4">
                  <c:v>Gilbert Bain*</c:v>
                </c:pt>
                <c:pt idx="5">
                  <c:v>Belford*</c:v>
                </c:pt>
                <c:pt idx="6">
                  <c:v>Western Isles</c:v>
                </c:pt>
                <c:pt idx="7">
                  <c:v>Crosshouse</c:v>
                </c:pt>
                <c:pt idx="8">
                  <c:v>IRH</c:v>
                </c:pt>
                <c:pt idx="9">
                  <c:v>QEUH</c:v>
                </c:pt>
                <c:pt idx="10">
                  <c:v>Monklands</c:v>
                </c:pt>
                <c:pt idx="11">
                  <c:v>Ayr</c:v>
                </c:pt>
                <c:pt idx="12">
                  <c:v>VHK</c:v>
                </c:pt>
                <c:pt idx="13">
                  <c:v>GRI</c:v>
                </c:pt>
                <c:pt idx="14">
                  <c:v>Dr Grays</c:v>
                </c:pt>
                <c:pt idx="15">
                  <c:v>Ninewells</c:v>
                </c:pt>
                <c:pt idx="16">
                  <c:v>RAH</c:v>
                </c:pt>
                <c:pt idx="17">
                  <c:v>Borders</c:v>
                </c:pt>
                <c:pt idx="18">
                  <c:v>Hairmyres</c:v>
                </c:pt>
                <c:pt idx="19">
                  <c:v>DGRI</c:v>
                </c:pt>
                <c:pt idx="20">
                  <c:v>Wishaw</c:v>
                </c:pt>
                <c:pt idx="21">
                  <c:v>FVRH</c:v>
                </c:pt>
                <c:pt idx="22">
                  <c:v>Balfour</c:v>
                </c:pt>
                <c:pt idx="23">
                  <c:v>ARI</c:v>
                </c:pt>
                <c:pt idx="24">
                  <c:v>SJH</c:v>
                </c:pt>
                <c:pt idx="25">
                  <c:v>RIE</c:v>
                </c:pt>
                <c:pt idx="26">
                  <c:v>PRI</c:v>
                </c:pt>
                <c:pt idx="27">
                  <c:v>WGH</c:v>
                </c:pt>
                <c:pt idx="28">
                  <c:v>Raigmore</c:v>
                </c:pt>
                <c:pt idx="29">
                  <c:v>Uist &amp; Barra</c:v>
                </c:pt>
              </c:strCache>
            </c:strRef>
          </c:cat>
          <c:val>
            <c:numRef>
              <c:f>'Chart 2a DATA'!$B$3:$B$32</c:f>
              <c:numCache>
                <c:formatCode>0</c:formatCode>
                <c:ptCount val="30"/>
                <c:pt idx="0">
                  <c:v>79.584961595472308</c:v>
                </c:pt>
                <c:pt idx="1">
                  <c:v>100</c:v>
                </c:pt>
                <c:pt idx="2">
                  <c:v>100</c:v>
                </c:pt>
                <c:pt idx="3">
                  <c:v>94.444444444444443</c:v>
                </c:pt>
                <c:pt idx="4">
                  <c:v>100</c:v>
                </c:pt>
                <c:pt idx="5">
                  <c:v>100</c:v>
                </c:pt>
                <c:pt idx="6">
                  <c:v>95</c:v>
                </c:pt>
                <c:pt idx="7">
                  <c:v>88.172043010752688</c:v>
                </c:pt>
                <c:pt idx="8">
                  <c:v>86.010362694300511</c:v>
                </c:pt>
                <c:pt idx="9">
                  <c:v>81.256038647343004</c:v>
                </c:pt>
                <c:pt idx="10">
                  <c:v>92.481203007518801</c:v>
                </c:pt>
                <c:pt idx="11">
                  <c:v>87.301587301587304</c:v>
                </c:pt>
                <c:pt idx="12">
                  <c:v>86.192468619246867</c:v>
                </c:pt>
                <c:pt idx="13">
                  <c:v>80.449438202247194</c:v>
                </c:pt>
                <c:pt idx="14">
                  <c:v>76.59574468085107</c:v>
                </c:pt>
                <c:pt idx="15">
                  <c:v>84.593023255813947</c:v>
                </c:pt>
                <c:pt idx="16">
                  <c:v>84.117647058823536</c:v>
                </c:pt>
                <c:pt idx="17">
                  <c:v>90.751445086705203</c:v>
                </c:pt>
                <c:pt idx="18">
                  <c:v>85.087719298245617</c:v>
                </c:pt>
                <c:pt idx="19">
                  <c:v>83.333333333333343</c:v>
                </c:pt>
                <c:pt idx="20">
                  <c:v>89.87341772151899</c:v>
                </c:pt>
                <c:pt idx="21">
                  <c:v>81.149425287356323</c:v>
                </c:pt>
                <c:pt idx="22">
                  <c:v>80.645161290322577</c:v>
                </c:pt>
                <c:pt idx="23">
                  <c:v>72.978303747534511</c:v>
                </c:pt>
                <c:pt idx="24">
                  <c:v>59.024390243902438</c:v>
                </c:pt>
                <c:pt idx="25">
                  <c:v>63.052781740370904</c:v>
                </c:pt>
                <c:pt idx="26">
                  <c:v>73.86363636363636</c:v>
                </c:pt>
                <c:pt idx="27">
                  <c:v>60.4</c:v>
                </c:pt>
                <c:pt idx="28">
                  <c:v>63.84615384615384</c:v>
                </c:pt>
                <c:pt idx="29">
                  <c:v>0</c:v>
                </c:pt>
              </c:numCache>
            </c:numRef>
          </c:val>
        </c:ser>
        <c:ser>
          <c:idx val="1"/>
          <c:order val="1"/>
          <c:tx>
            <c:strRef>
              <c:f>'Chart 2a DATA'!$C$2</c:f>
              <c:strCache>
                <c:ptCount val="1"/>
                <c:pt idx="0">
                  <c:v>2015 (%)</c:v>
                </c:pt>
              </c:strCache>
            </c:strRef>
          </c:tx>
          <c:spPr>
            <a:solidFill>
              <a:srgbClr val="FFC000"/>
            </a:solidFill>
          </c:spPr>
          <c:dPt>
            <c:idx val="9"/>
            <c:spPr>
              <a:solidFill>
                <a:srgbClr val="008000"/>
              </a:solidFill>
            </c:spPr>
          </c:dPt>
          <c:dPt>
            <c:idx val="20"/>
            <c:spPr>
              <a:solidFill>
                <a:srgbClr val="FF0000"/>
              </a:solidFill>
            </c:spPr>
          </c:dPt>
          <c:dPt>
            <c:idx val="23"/>
            <c:spPr>
              <a:solidFill>
                <a:srgbClr val="FFC000"/>
              </a:solidFill>
              <a:ln w="25400">
                <a:noFill/>
              </a:ln>
            </c:spPr>
          </c:dPt>
          <c:dPt>
            <c:idx val="28"/>
            <c:spPr>
              <a:solidFill>
                <a:srgbClr val="FF0000"/>
              </a:solidFill>
            </c:spPr>
          </c:dPt>
          <c:cat>
            <c:strRef>
              <c:f>'Chart 2a DATA'!$A$3:$A$32</c:f>
              <c:strCache>
                <c:ptCount val="30"/>
                <c:pt idx="0">
                  <c:v>Scotland</c:v>
                </c:pt>
                <c:pt idx="1">
                  <c:v>GCH*</c:v>
                </c:pt>
                <c:pt idx="2">
                  <c:v>Caithness*</c:v>
                </c:pt>
                <c:pt idx="3">
                  <c:v>L&amp;I</c:v>
                </c:pt>
                <c:pt idx="4">
                  <c:v>Gilbert Bain*</c:v>
                </c:pt>
                <c:pt idx="5">
                  <c:v>Belford*</c:v>
                </c:pt>
                <c:pt idx="6">
                  <c:v>Western Isles</c:v>
                </c:pt>
                <c:pt idx="7">
                  <c:v>Crosshouse</c:v>
                </c:pt>
                <c:pt idx="8">
                  <c:v>IRH</c:v>
                </c:pt>
                <c:pt idx="9">
                  <c:v>QEUH</c:v>
                </c:pt>
                <c:pt idx="10">
                  <c:v>Monklands</c:v>
                </c:pt>
                <c:pt idx="11">
                  <c:v>Ayr</c:v>
                </c:pt>
                <c:pt idx="12">
                  <c:v>VHK</c:v>
                </c:pt>
                <c:pt idx="13">
                  <c:v>GRI</c:v>
                </c:pt>
                <c:pt idx="14">
                  <c:v>Dr Grays</c:v>
                </c:pt>
                <c:pt idx="15">
                  <c:v>Ninewells</c:v>
                </c:pt>
                <c:pt idx="16">
                  <c:v>RAH</c:v>
                </c:pt>
                <c:pt idx="17">
                  <c:v>Borders</c:v>
                </c:pt>
                <c:pt idx="18">
                  <c:v>Hairmyres</c:v>
                </c:pt>
                <c:pt idx="19">
                  <c:v>DGRI</c:v>
                </c:pt>
                <c:pt idx="20">
                  <c:v>Wishaw</c:v>
                </c:pt>
                <c:pt idx="21">
                  <c:v>FVRH</c:v>
                </c:pt>
                <c:pt idx="22">
                  <c:v>Balfour</c:v>
                </c:pt>
                <c:pt idx="23">
                  <c:v>ARI</c:v>
                </c:pt>
                <c:pt idx="24">
                  <c:v>SJH</c:v>
                </c:pt>
                <c:pt idx="25">
                  <c:v>RIE</c:v>
                </c:pt>
                <c:pt idx="26">
                  <c:v>PRI</c:v>
                </c:pt>
                <c:pt idx="27">
                  <c:v>WGH</c:v>
                </c:pt>
                <c:pt idx="28">
                  <c:v>Raigmore</c:v>
                </c:pt>
                <c:pt idx="29">
                  <c:v>Uist &amp; Barra</c:v>
                </c:pt>
              </c:strCache>
            </c:strRef>
          </c:cat>
          <c:val>
            <c:numRef>
              <c:f>'Chart 2a DATA'!$C$3:$C$32</c:f>
              <c:numCache>
                <c:formatCode>0</c:formatCode>
                <c:ptCount val="30"/>
                <c:pt idx="0">
                  <c:v>78.362573099415201</c:v>
                </c:pt>
                <c:pt idx="1">
                  <c:v>100</c:v>
                </c:pt>
                <c:pt idx="2">
                  <c:v>100</c:v>
                </c:pt>
                <c:pt idx="3">
                  <c:v>100</c:v>
                </c:pt>
                <c:pt idx="4">
                  <c:v>100</c:v>
                </c:pt>
                <c:pt idx="5">
                  <c:v>95.833333333333343</c:v>
                </c:pt>
                <c:pt idx="6">
                  <c:v>93.548387096774192</c:v>
                </c:pt>
                <c:pt idx="7">
                  <c:v>92.966360856269119</c:v>
                </c:pt>
                <c:pt idx="8">
                  <c:v>88.082901554404145</c:v>
                </c:pt>
                <c:pt idx="9">
                  <c:v>87.74131274131274</c:v>
                </c:pt>
                <c:pt idx="10">
                  <c:v>86.219081272084807</c:v>
                </c:pt>
                <c:pt idx="11">
                  <c:v>85.333333333333343</c:v>
                </c:pt>
                <c:pt idx="12">
                  <c:v>84.63073852295409</c:v>
                </c:pt>
                <c:pt idx="13">
                  <c:v>84.51882845188284</c:v>
                </c:pt>
                <c:pt idx="14">
                  <c:v>83.486238532110093</c:v>
                </c:pt>
                <c:pt idx="15">
                  <c:v>82.481751824817522</c:v>
                </c:pt>
                <c:pt idx="16">
                  <c:v>81.707317073170728</c:v>
                </c:pt>
                <c:pt idx="17">
                  <c:v>81.675392670157066</c:v>
                </c:pt>
                <c:pt idx="18">
                  <c:v>80.6949806949807</c:v>
                </c:pt>
                <c:pt idx="19">
                  <c:v>78.431372549019613</c:v>
                </c:pt>
                <c:pt idx="20">
                  <c:v>76.588628762541816</c:v>
                </c:pt>
                <c:pt idx="21">
                  <c:v>76.374745417515271</c:v>
                </c:pt>
                <c:pt idx="22">
                  <c:v>72</c:v>
                </c:pt>
                <c:pt idx="23">
                  <c:v>69.354838709677423</c:v>
                </c:pt>
                <c:pt idx="24">
                  <c:v>69.047619047619051</c:v>
                </c:pt>
                <c:pt idx="25">
                  <c:v>64.047936085219703</c:v>
                </c:pt>
                <c:pt idx="26">
                  <c:v>63.855421686746979</c:v>
                </c:pt>
                <c:pt idx="27">
                  <c:v>53.977272727272727</c:v>
                </c:pt>
                <c:pt idx="28">
                  <c:v>44.061302681992338</c:v>
                </c:pt>
                <c:pt idx="29">
                  <c:v>0</c:v>
                </c:pt>
              </c:numCache>
            </c:numRef>
          </c:val>
        </c:ser>
        <c:axId val="69954176"/>
        <c:axId val="69955968"/>
      </c:barChart>
      <c:lineChart>
        <c:grouping val="standard"/>
        <c:ser>
          <c:idx val="2"/>
          <c:order val="2"/>
          <c:tx>
            <c:strRef>
              <c:f>'Chart 2a DATA'!$D$2</c:f>
              <c:strCache>
                <c:ptCount val="1"/>
                <c:pt idx="0">
                  <c:v>Stroke Standard</c:v>
                </c:pt>
              </c:strCache>
            </c:strRef>
          </c:tx>
          <c:spPr>
            <a:ln>
              <a:solidFill>
                <a:srgbClr val="4F81BD"/>
              </a:solidFill>
            </a:ln>
          </c:spPr>
          <c:marker>
            <c:symbol val="none"/>
          </c:marker>
          <c:trendline>
            <c:trendlineType val="linear"/>
          </c:trendline>
          <c:cat>
            <c:strRef>
              <c:f>'Chart 2a DATA'!$A$3:$A$32</c:f>
              <c:strCache>
                <c:ptCount val="30"/>
                <c:pt idx="0">
                  <c:v>Scotland</c:v>
                </c:pt>
                <c:pt idx="1">
                  <c:v>GCH*</c:v>
                </c:pt>
                <c:pt idx="2">
                  <c:v>Caithness*</c:v>
                </c:pt>
                <c:pt idx="3">
                  <c:v>L&amp;I</c:v>
                </c:pt>
                <c:pt idx="4">
                  <c:v>Gilbert Bain*</c:v>
                </c:pt>
                <c:pt idx="5">
                  <c:v>Belford*</c:v>
                </c:pt>
                <c:pt idx="6">
                  <c:v>Western Isles</c:v>
                </c:pt>
                <c:pt idx="7">
                  <c:v>Crosshouse</c:v>
                </c:pt>
                <c:pt idx="8">
                  <c:v>IRH</c:v>
                </c:pt>
                <c:pt idx="9">
                  <c:v>QEUH</c:v>
                </c:pt>
                <c:pt idx="10">
                  <c:v>Monklands</c:v>
                </c:pt>
                <c:pt idx="11">
                  <c:v>Ayr</c:v>
                </c:pt>
                <c:pt idx="12">
                  <c:v>VHK</c:v>
                </c:pt>
                <c:pt idx="13">
                  <c:v>GRI</c:v>
                </c:pt>
                <c:pt idx="14">
                  <c:v>Dr Grays</c:v>
                </c:pt>
                <c:pt idx="15">
                  <c:v>Ninewells</c:v>
                </c:pt>
                <c:pt idx="16">
                  <c:v>RAH</c:v>
                </c:pt>
                <c:pt idx="17">
                  <c:v>Borders</c:v>
                </c:pt>
                <c:pt idx="18">
                  <c:v>Hairmyres</c:v>
                </c:pt>
                <c:pt idx="19">
                  <c:v>DGRI</c:v>
                </c:pt>
                <c:pt idx="20">
                  <c:v>Wishaw</c:v>
                </c:pt>
                <c:pt idx="21">
                  <c:v>FVRH</c:v>
                </c:pt>
                <c:pt idx="22">
                  <c:v>Balfour</c:v>
                </c:pt>
                <c:pt idx="23">
                  <c:v>ARI</c:v>
                </c:pt>
                <c:pt idx="24">
                  <c:v>SJH</c:v>
                </c:pt>
                <c:pt idx="25">
                  <c:v>RIE</c:v>
                </c:pt>
                <c:pt idx="26">
                  <c:v>PRI</c:v>
                </c:pt>
                <c:pt idx="27">
                  <c:v>WGH</c:v>
                </c:pt>
                <c:pt idx="28">
                  <c:v>Raigmore</c:v>
                </c:pt>
                <c:pt idx="29">
                  <c:v>Uist &amp; Barra</c:v>
                </c:pt>
              </c:strCache>
            </c:strRef>
          </c:cat>
          <c:val>
            <c:numRef>
              <c:f>'Chart 2a DATA'!$D$3:$D$32</c:f>
              <c:numCache>
                <c:formatCode>General</c:formatCode>
                <c:ptCount val="30"/>
                <c:pt idx="0" formatCode="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69959680"/>
        <c:axId val="69957888"/>
      </c:lineChart>
      <c:catAx>
        <c:axId val="6995417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69955968"/>
        <c:crosses val="autoZero"/>
        <c:auto val="1"/>
        <c:lblAlgn val="ctr"/>
        <c:lblOffset val="100"/>
      </c:catAx>
      <c:valAx>
        <c:axId val="69955968"/>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954176"/>
        <c:crosses val="autoZero"/>
        <c:crossBetween val="between"/>
      </c:valAx>
      <c:valAx>
        <c:axId val="69957888"/>
        <c:scaling>
          <c:orientation val="minMax"/>
        </c:scaling>
        <c:delete val="1"/>
        <c:axPos val="r"/>
        <c:numFmt formatCode="0" sourceLinked="1"/>
        <c:tickLblPos val="none"/>
        <c:crossAx val="69959680"/>
        <c:crosses val="max"/>
        <c:crossBetween val="between"/>
      </c:valAx>
      <c:catAx>
        <c:axId val="69959680"/>
        <c:scaling>
          <c:orientation val="minMax"/>
        </c:scaling>
        <c:delete val="1"/>
        <c:axPos val="t"/>
        <c:tickLblPos val="none"/>
        <c:crossAx val="69957888"/>
        <c:crosses val="max"/>
        <c:auto val="1"/>
        <c:lblAlgn val="ctr"/>
        <c:lblOffset val="100"/>
      </c:cat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308"/>
        </c:manualLayout>
      </c:layout>
      <c:barChart>
        <c:barDir val="col"/>
        <c:grouping val="clustered"/>
        <c:ser>
          <c:idx val="0"/>
          <c:order val="0"/>
          <c:tx>
            <c:strRef>
              <c:f>'Chart 2b DATA'!$B$2</c:f>
              <c:strCache>
                <c:ptCount val="1"/>
                <c:pt idx="0">
                  <c:v>2014 (%)</c:v>
                </c:pt>
              </c:strCache>
            </c:strRef>
          </c:tx>
          <c:spPr>
            <a:solidFill>
              <a:schemeClr val="bg1">
                <a:lumMod val="65000"/>
              </a:schemeClr>
            </a:solidFill>
          </c:spPr>
          <c:cat>
            <c:strRef>
              <c:f>'Chart 2b DATA'!$A$3:$A$32</c:f>
              <c:strCache>
                <c:ptCount val="30"/>
                <c:pt idx="0">
                  <c:v>Scotland</c:v>
                </c:pt>
                <c:pt idx="1">
                  <c:v>Belford</c:v>
                </c:pt>
                <c:pt idx="2">
                  <c:v>Uist &amp; Barra</c:v>
                </c:pt>
                <c:pt idx="3">
                  <c:v>Caithness</c:v>
                </c:pt>
                <c:pt idx="4">
                  <c:v>Gilbert Bain</c:v>
                </c:pt>
                <c:pt idx="5">
                  <c:v>Borders</c:v>
                </c:pt>
                <c:pt idx="6">
                  <c:v>Western Isles</c:v>
                </c:pt>
                <c:pt idx="7">
                  <c:v>L&amp;I</c:v>
                </c:pt>
                <c:pt idx="8">
                  <c:v>Wishaw</c:v>
                </c:pt>
                <c:pt idx="9">
                  <c:v>GCH</c:v>
                </c:pt>
                <c:pt idx="10">
                  <c:v>Raigmore</c:v>
                </c:pt>
                <c:pt idx="11">
                  <c:v>DGRI</c:v>
                </c:pt>
                <c:pt idx="12">
                  <c:v>Dr Grays</c:v>
                </c:pt>
                <c:pt idx="13">
                  <c:v>FVRH</c:v>
                </c:pt>
                <c:pt idx="14">
                  <c:v>VHK</c:v>
                </c:pt>
                <c:pt idx="15">
                  <c:v>Hairmyres</c:v>
                </c:pt>
                <c:pt idx="16">
                  <c:v>Ninewells</c:v>
                </c:pt>
                <c:pt idx="17">
                  <c:v>SJH</c:v>
                </c:pt>
                <c:pt idx="18">
                  <c:v>Monklands</c:v>
                </c:pt>
                <c:pt idx="19">
                  <c:v>Crosshouse</c:v>
                </c:pt>
                <c:pt idx="20">
                  <c:v>IRH</c:v>
                </c:pt>
                <c:pt idx="21">
                  <c:v>PRI</c:v>
                </c:pt>
                <c:pt idx="22">
                  <c:v>QEUH</c:v>
                </c:pt>
                <c:pt idx="23">
                  <c:v>WGH</c:v>
                </c:pt>
                <c:pt idx="24">
                  <c:v>ARI</c:v>
                </c:pt>
                <c:pt idx="25">
                  <c:v>RIE</c:v>
                </c:pt>
                <c:pt idx="26">
                  <c:v>GRI</c:v>
                </c:pt>
                <c:pt idx="27">
                  <c:v>Balfour</c:v>
                </c:pt>
                <c:pt idx="28">
                  <c:v>Ayr</c:v>
                </c:pt>
                <c:pt idx="29">
                  <c:v>RAH</c:v>
                </c:pt>
              </c:strCache>
            </c:strRef>
          </c:cat>
          <c:val>
            <c:numRef>
              <c:f>'Chart 2b DATA'!$B$3:$B$32</c:f>
              <c:numCache>
                <c:formatCode>0</c:formatCode>
                <c:ptCount val="30"/>
                <c:pt idx="0">
                  <c:v>76.960054938766163</c:v>
                </c:pt>
                <c:pt idx="1">
                  <c:v>90</c:v>
                </c:pt>
                <c:pt idx="2">
                  <c:v>0</c:v>
                </c:pt>
                <c:pt idx="3">
                  <c:v>88.571428571428569</c:v>
                </c:pt>
                <c:pt idx="4">
                  <c:v>85.714285714285708</c:v>
                </c:pt>
                <c:pt idx="5">
                  <c:v>94.660194174757279</c:v>
                </c:pt>
                <c:pt idx="6">
                  <c:v>95.454545454545453</c:v>
                </c:pt>
                <c:pt idx="7">
                  <c:v>83.333333333333343</c:v>
                </c:pt>
                <c:pt idx="8">
                  <c:v>89.244186046511629</c:v>
                </c:pt>
                <c:pt idx="9">
                  <c:v>97.435897435897431</c:v>
                </c:pt>
                <c:pt idx="10">
                  <c:v>85.846153846153854</c:v>
                </c:pt>
                <c:pt idx="11">
                  <c:v>81.746031746031747</c:v>
                </c:pt>
                <c:pt idx="12">
                  <c:v>83.333333333333343</c:v>
                </c:pt>
                <c:pt idx="13">
                  <c:v>81.620553359683782</c:v>
                </c:pt>
                <c:pt idx="14">
                  <c:v>81.558028616852155</c:v>
                </c:pt>
                <c:pt idx="15">
                  <c:v>84.154929577464785</c:v>
                </c:pt>
                <c:pt idx="16">
                  <c:v>81.395348837209298</c:v>
                </c:pt>
                <c:pt idx="17">
                  <c:v>80.341880341880341</c:v>
                </c:pt>
                <c:pt idx="18">
                  <c:v>88.175675675675677</c:v>
                </c:pt>
                <c:pt idx="19">
                  <c:v>77.014925373134318</c:v>
                </c:pt>
                <c:pt idx="20">
                  <c:v>66.183574879227052</c:v>
                </c:pt>
                <c:pt idx="21">
                  <c:v>84.974093264248708</c:v>
                </c:pt>
                <c:pt idx="22">
                  <c:v>71.790540540540533</c:v>
                </c:pt>
                <c:pt idx="23">
                  <c:v>72.049689440993788</c:v>
                </c:pt>
                <c:pt idx="24">
                  <c:v>74.433656957928804</c:v>
                </c:pt>
                <c:pt idx="25">
                  <c:v>65.322580645161281</c:v>
                </c:pt>
                <c:pt idx="26">
                  <c:v>66.260162601626021</c:v>
                </c:pt>
                <c:pt idx="27">
                  <c:v>75</c:v>
                </c:pt>
                <c:pt idx="28">
                  <c:v>72.333333333333343</c:v>
                </c:pt>
                <c:pt idx="29">
                  <c:v>71.544715447154474</c:v>
                </c:pt>
              </c:numCache>
            </c:numRef>
          </c:val>
        </c:ser>
        <c:ser>
          <c:idx val="1"/>
          <c:order val="1"/>
          <c:tx>
            <c:strRef>
              <c:f>'Chart 2b DATA'!$C$2</c:f>
              <c:strCache>
                <c:ptCount val="1"/>
                <c:pt idx="0">
                  <c:v>2015 (%)</c:v>
                </c:pt>
              </c:strCache>
            </c:strRef>
          </c:tx>
          <c:spPr>
            <a:solidFill>
              <a:srgbClr val="FFC000"/>
            </a:solidFill>
          </c:spPr>
          <c:dPt>
            <c:idx val="0"/>
            <c:spPr>
              <a:solidFill>
                <a:srgbClr val="008000"/>
              </a:solidFill>
            </c:spPr>
          </c:dPt>
          <c:dPt>
            <c:idx val="20"/>
            <c:spPr>
              <a:solidFill>
                <a:srgbClr val="008000"/>
              </a:solidFill>
            </c:spPr>
          </c:dPt>
          <c:dPt>
            <c:idx val="22"/>
            <c:spPr>
              <a:solidFill>
                <a:srgbClr val="008000"/>
              </a:solidFill>
            </c:spPr>
          </c:dPt>
          <c:dPt>
            <c:idx val="23"/>
            <c:spPr>
              <a:solidFill>
                <a:srgbClr val="FFC000"/>
              </a:solidFill>
              <a:ln w="25400">
                <a:noFill/>
              </a:ln>
            </c:spPr>
          </c:dPt>
          <c:dPt>
            <c:idx val="25"/>
            <c:spPr>
              <a:solidFill>
                <a:srgbClr val="008000"/>
              </a:solidFill>
            </c:spPr>
          </c:dPt>
          <c:cat>
            <c:strRef>
              <c:f>'Chart 2b DATA'!$A$3:$A$32</c:f>
              <c:strCache>
                <c:ptCount val="30"/>
                <c:pt idx="0">
                  <c:v>Scotland</c:v>
                </c:pt>
                <c:pt idx="1">
                  <c:v>Belford</c:v>
                </c:pt>
                <c:pt idx="2">
                  <c:v>Uist &amp; Barra</c:v>
                </c:pt>
                <c:pt idx="3">
                  <c:v>Caithness</c:v>
                </c:pt>
                <c:pt idx="4">
                  <c:v>Gilbert Bain</c:v>
                </c:pt>
                <c:pt idx="5">
                  <c:v>Borders</c:v>
                </c:pt>
                <c:pt idx="6">
                  <c:v>Western Isles</c:v>
                </c:pt>
                <c:pt idx="7">
                  <c:v>L&amp;I</c:v>
                </c:pt>
                <c:pt idx="8">
                  <c:v>Wishaw</c:v>
                </c:pt>
                <c:pt idx="9">
                  <c:v>GCH</c:v>
                </c:pt>
                <c:pt idx="10">
                  <c:v>Raigmore</c:v>
                </c:pt>
                <c:pt idx="11">
                  <c:v>DGRI</c:v>
                </c:pt>
                <c:pt idx="12">
                  <c:v>Dr Grays</c:v>
                </c:pt>
                <c:pt idx="13">
                  <c:v>FVRH</c:v>
                </c:pt>
                <c:pt idx="14">
                  <c:v>VHK</c:v>
                </c:pt>
                <c:pt idx="15">
                  <c:v>Hairmyres</c:v>
                </c:pt>
                <c:pt idx="16">
                  <c:v>Ninewells</c:v>
                </c:pt>
                <c:pt idx="17">
                  <c:v>SJH</c:v>
                </c:pt>
                <c:pt idx="18">
                  <c:v>Monklands</c:v>
                </c:pt>
                <c:pt idx="19">
                  <c:v>Crosshouse</c:v>
                </c:pt>
                <c:pt idx="20">
                  <c:v>IRH</c:v>
                </c:pt>
                <c:pt idx="21">
                  <c:v>PRI</c:v>
                </c:pt>
                <c:pt idx="22">
                  <c:v>QEUH</c:v>
                </c:pt>
                <c:pt idx="23">
                  <c:v>WGH</c:v>
                </c:pt>
                <c:pt idx="24">
                  <c:v>ARI</c:v>
                </c:pt>
                <c:pt idx="25">
                  <c:v>RIE</c:v>
                </c:pt>
                <c:pt idx="26">
                  <c:v>GRI</c:v>
                </c:pt>
                <c:pt idx="27">
                  <c:v>Balfour</c:v>
                </c:pt>
                <c:pt idx="28">
                  <c:v>Ayr</c:v>
                </c:pt>
                <c:pt idx="29">
                  <c:v>RAH</c:v>
                </c:pt>
              </c:strCache>
            </c:strRef>
          </c:cat>
          <c:val>
            <c:numRef>
              <c:f>'Chart 2b DATA'!$C$3:$C$32</c:f>
              <c:numCache>
                <c:formatCode>0</c:formatCode>
                <c:ptCount val="30"/>
                <c:pt idx="0">
                  <c:v>79.880345668070021</c:v>
                </c:pt>
                <c:pt idx="1">
                  <c:v>100</c:v>
                </c:pt>
                <c:pt idx="2">
                  <c:v>100</c:v>
                </c:pt>
                <c:pt idx="3">
                  <c:v>95.833333333333343</c:v>
                </c:pt>
                <c:pt idx="4">
                  <c:v>94.285714285714278</c:v>
                </c:pt>
                <c:pt idx="5">
                  <c:v>93.607305936073061</c:v>
                </c:pt>
                <c:pt idx="6">
                  <c:v>91.17647058823529</c:v>
                </c:pt>
                <c:pt idx="7">
                  <c:v>91.111111111111114</c:v>
                </c:pt>
                <c:pt idx="8">
                  <c:v>90.606060606060595</c:v>
                </c:pt>
                <c:pt idx="9">
                  <c:v>87.5</c:v>
                </c:pt>
                <c:pt idx="10">
                  <c:v>86.723163841807903</c:v>
                </c:pt>
                <c:pt idx="11">
                  <c:v>86.008230452674894</c:v>
                </c:pt>
                <c:pt idx="12">
                  <c:v>85.384615384615387</c:v>
                </c:pt>
                <c:pt idx="13">
                  <c:v>84.375</c:v>
                </c:pt>
                <c:pt idx="14">
                  <c:v>83.596214511041012</c:v>
                </c:pt>
                <c:pt idx="15">
                  <c:v>83.056478405315616</c:v>
                </c:pt>
                <c:pt idx="16">
                  <c:v>81.596452328159643</c:v>
                </c:pt>
                <c:pt idx="17">
                  <c:v>81.124497991967871</c:v>
                </c:pt>
                <c:pt idx="18">
                  <c:v>80.864197530864203</c:v>
                </c:pt>
                <c:pt idx="19">
                  <c:v>79.896907216494853</c:v>
                </c:pt>
                <c:pt idx="20">
                  <c:v>79.620853080568722</c:v>
                </c:pt>
                <c:pt idx="21">
                  <c:v>78.918918918918919</c:v>
                </c:pt>
                <c:pt idx="22">
                  <c:v>77.865266841644797</c:v>
                </c:pt>
                <c:pt idx="23">
                  <c:v>76.892430278884461</c:v>
                </c:pt>
                <c:pt idx="24">
                  <c:v>75.901875901875897</c:v>
                </c:pt>
                <c:pt idx="25">
                  <c:v>75.612353567625135</c:v>
                </c:pt>
                <c:pt idx="26">
                  <c:v>73.396226415094333</c:v>
                </c:pt>
                <c:pt idx="27">
                  <c:v>72.5</c:v>
                </c:pt>
                <c:pt idx="28">
                  <c:v>70.610687022900763</c:v>
                </c:pt>
                <c:pt idx="29">
                  <c:v>64</c:v>
                </c:pt>
              </c:numCache>
            </c:numRef>
          </c:val>
        </c:ser>
        <c:axId val="70094848"/>
        <c:axId val="70096384"/>
      </c:barChart>
      <c:lineChart>
        <c:grouping val="standard"/>
        <c:ser>
          <c:idx val="2"/>
          <c:order val="2"/>
          <c:tx>
            <c:strRef>
              <c:f>'Chart 2b DATA'!$D$2</c:f>
              <c:strCache>
                <c:ptCount val="1"/>
                <c:pt idx="0">
                  <c:v>Stroke Standard</c:v>
                </c:pt>
              </c:strCache>
            </c:strRef>
          </c:tx>
          <c:spPr>
            <a:ln>
              <a:solidFill>
                <a:srgbClr val="4F81BD"/>
              </a:solidFill>
            </a:ln>
          </c:spPr>
          <c:marker>
            <c:symbol val="none"/>
          </c:marker>
          <c:cat>
            <c:strRef>
              <c:f>'Chart 2b DATA'!$A$3:$A$32</c:f>
              <c:strCache>
                <c:ptCount val="30"/>
                <c:pt idx="0">
                  <c:v>Scotland</c:v>
                </c:pt>
                <c:pt idx="1">
                  <c:v>Belford</c:v>
                </c:pt>
                <c:pt idx="2">
                  <c:v>Uist &amp; Barra</c:v>
                </c:pt>
                <c:pt idx="3">
                  <c:v>Caithness</c:v>
                </c:pt>
                <c:pt idx="4">
                  <c:v>Gilbert Bain</c:v>
                </c:pt>
                <c:pt idx="5">
                  <c:v>Borders</c:v>
                </c:pt>
                <c:pt idx="6">
                  <c:v>Western Isles</c:v>
                </c:pt>
                <c:pt idx="7">
                  <c:v>L&amp;I</c:v>
                </c:pt>
                <c:pt idx="8">
                  <c:v>Wishaw</c:v>
                </c:pt>
                <c:pt idx="9">
                  <c:v>GCH</c:v>
                </c:pt>
                <c:pt idx="10">
                  <c:v>Raigmore</c:v>
                </c:pt>
                <c:pt idx="11">
                  <c:v>DGRI</c:v>
                </c:pt>
                <c:pt idx="12">
                  <c:v>Dr Grays</c:v>
                </c:pt>
                <c:pt idx="13">
                  <c:v>FVRH</c:v>
                </c:pt>
                <c:pt idx="14">
                  <c:v>VHK</c:v>
                </c:pt>
                <c:pt idx="15">
                  <c:v>Hairmyres</c:v>
                </c:pt>
                <c:pt idx="16">
                  <c:v>Ninewells</c:v>
                </c:pt>
                <c:pt idx="17">
                  <c:v>SJH</c:v>
                </c:pt>
                <c:pt idx="18">
                  <c:v>Monklands</c:v>
                </c:pt>
                <c:pt idx="19">
                  <c:v>Crosshouse</c:v>
                </c:pt>
                <c:pt idx="20">
                  <c:v>IRH</c:v>
                </c:pt>
                <c:pt idx="21">
                  <c:v>PRI</c:v>
                </c:pt>
                <c:pt idx="22">
                  <c:v>QEUH</c:v>
                </c:pt>
                <c:pt idx="23">
                  <c:v>WGH</c:v>
                </c:pt>
                <c:pt idx="24">
                  <c:v>ARI</c:v>
                </c:pt>
                <c:pt idx="25">
                  <c:v>RIE</c:v>
                </c:pt>
                <c:pt idx="26">
                  <c:v>GRI</c:v>
                </c:pt>
                <c:pt idx="27">
                  <c:v>Balfour</c:v>
                </c:pt>
                <c:pt idx="28">
                  <c:v>Ayr</c:v>
                </c:pt>
                <c:pt idx="29">
                  <c:v>RAH</c:v>
                </c:pt>
              </c:strCache>
            </c:strRef>
          </c:cat>
          <c:val>
            <c:numRef>
              <c:f>'Chart 2b DATA'!$D$3:$D$32</c:f>
              <c:numCache>
                <c:formatCode>General</c:formatCode>
                <c:ptCount val="30"/>
                <c:pt idx="0" formatCode="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70094848"/>
        <c:axId val="70096384"/>
      </c:lineChart>
      <c:catAx>
        <c:axId val="70094848"/>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0096384"/>
        <c:crosses val="autoZero"/>
        <c:auto val="1"/>
        <c:lblAlgn val="ctr"/>
        <c:lblOffset val="100"/>
      </c:catAx>
      <c:valAx>
        <c:axId val="70096384"/>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094848"/>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418000263933488E-2"/>
          <c:y val="3.4668289414642839E-2"/>
          <c:w val="0.89706919041407662"/>
          <c:h val="0.75436635994269285"/>
        </c:manualLayout>
      </c:layout>
      <c:barChart>
        <c:barDir val="col"/>
        <c:grouping val="clustered"/>
        <c:ser>
          <c:idx val="0"/>
          <c:order val="0"/>
          <c:tx>
            <c:strRef>
              <c:f>'Chart 2c DATA'!$B$2</c:f>
              <c:strCache>
                <c:ptCount val="1"/>
                <c:pt idx="0">
                  <c:v>2014 (%)</c:v>
                </c:pt>
              </c:strCache>
            </c:strRef>
          </c:tx>
          <c:spPr>
            <a:solidFill>
              <a:schemeClr val="bg1">
                <a:lumMod val="65000"/>
              </a:schemeClr>
            </a:solidFill>
          </c:spPr>
          <c:cat>
            <c:strRef>
              <c:f>'Chart 2c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RIE</c:v>
                </c:pt>
                <c:pt idx="15">
                  <c:v>IRH</c:v>
                </c:pt>
                <c:pt idx="16">
                  <c:v>GCH</c:v>
                </c:pt>
                <c:pt idx="17">
                  <c:v>WGH</c:v>
                </c:pt>
                <c:pt idx="18">
                  <c:v>RAH</c:v>
                </c:pt>
                <c:pt idx="19">
                  <c:v>GRI</c:v>
                </c:pt>
                <c:pt idx="20">
                  <c:v>Crosshouse</c:v>
                </c:pt>
                <c:pt idx="21">
                  <c:v>Raigmore</c:v>
                </c:pt>
                <c:pt idx="22">
                  <c:v>L&amp;I</c:v>
                </c:pt>
                <c:pt idx="23">
                  <c:v>Monklands</c:v>
                </c:pt>
                <c:pt idx="24">
                  <c:v>Gilbert Bain</c:v>
                </c:pt>
                <c:pt idx="25">
                  <c:v>Ninewells</c:v>
                </c:pt>
                <c:pt idx="26">
                  <c:v>Belford</c:v>
                </c:pt>
                <c:pt idx="27">
                  <c:v>Ayr</c:v>
                </c:pt>
                <c:pt idx="28">
                  <c:v>Balfour</c:v>
                </c:pt>
                <c:pt idx="29">
                  <c:v>Uist &amp; Barra</c:v>
                </c:pt>
              </c:strCache>
            </c:strRef>
          </c:cat>
          <c:val>
            <c:numRef>
              <c:f>'Chart 2c DATA'!$B$3:$B$32</c:f>
              <c:numCache>
                <c:formatCode>0</c:formatCode>
                <c:ptCount val="30"/>
                <c:pt idx="0">
                  <c:v>89.710426919995427</c:v>
                </c:pt>
                <c:pt idx="1">
                  <c:v>98.543689320388353</c:v>
                </c:pt>
                <c:pt idx="2">
                  <c:v>91.428571428571431</c:v>
                </c:pt>
                <c:pt idx="3">
                  <c:v>95.454545454545453</c:v>
                </c:pt>
                <c:pt idx="4">
                  <c:v>96.15384615384616</c:v>
                </c:pt>
                <c:pt idx="5">
                  <c:v>95.930232558139537</c:v>
                </c:pt>
                <c:pt idx="6">
                  <c:v>94.664031620553359</c:v>
                </c:pt>
                <c:pt idx="7">
                  <c:v>93.322734499205083</c:v>
                </c:pt>
                <c:pt idx="8">
                  <c:v>92.605633802816897</c:v>
                </c:pt>
                <c:pt idx="9">
                  <c:v>95.854922279792746</c:v>
                </c:pt>
                <c:pt idx="10">
                  <c:v>94.087837837837839</c:v>
                </c:pt>
                <c:pt idx="11">
                  <c:v>89.805825242718456</c:v>
                </c:pt>
                <c:pt idx="12">
                  <c:v>90.740740740740748</c:v>
                </c:pt>
                <c:pt idx="13">
                  <c:v>90.873015873015873</c:v>
                </c:pt>
                <c:pt idx="14">
                  <c:v>89.285714285714292</c:v>
                </c:pt>
                <c:pt idx="15">
                  <c:v>86.956521739130437</c:v>
                </c:pt>
                <c:pt idx="16">
                  <c:v>100</c:v>
                </c:pt>
                <c:pt idx="17">
                  <c:v>90.683229813664596</c:v>
                </c:pt>
                <c:pt idx="18">
                  <c:v>75.06775067750678</c:v>
                </c:pt>
                <c:pt idx="19">
                  <c:v>85.975609756097555</c:v>
                </c:pt>
                <c:pt idx="20">
                  <c:v>89.253731343283576</c:v>
                </c:pt>
                <c:pt idx="21">
                  <c:v>90.153846153846146</c:v>
                </c:pt>
                <c:pt idx="22">
                  <c:v>92.857142857142861</c:v>
                </c:pt>
                <c:pt idx="23">
                  <c:v>87.837837837837839</c:v>
                </c:pt>
                <c:pt idx="24">
                  <c:v>80</c:v>
                </c:pt>
                <c:pt idx="25">
                  <c:v>80.361757105943155</c:v>
                </c:pt>
                <c:pt idx="26">
                  <c:v>93.333333333333329</c:v>
                </c:pt>
                <c:pt idx="27">
                  <c:v>76.666666666666671</c:v>
                </c:pt>
                <c:pt idx="28">
                  <c:v>27.500000000000004</c:v>
                </c:pt>
                <c:pt idx="29">
                  <c:v>0</c:v>
                </c:pt>
              </c:numCache>
            </c:numRef>
          </c:val>
        </c:ser>
        <c:ser>
          <c:idx val="1"/>
          <c:order val="1"/>
          <c:tx>
            <c:strRef>
              <c:f>'Chart 2c DATA'!$C$2</c:f>
              <c:strCache>
                <c:ptCount val="1"/>
                <c:pt idx="0">
                  <c:v>2015 (%)</c:v>
                </c:pt>
              </c:strCache>
            </c:strRef>
          </c:tx>
          <c:spPr>
            <a:solidFill>
              <a:srgbClr val="FFC000"/>
            </a:solidFill>
          </c:spPr>
          <c:dPt>
            <c:idx val="0"/>
            <c:spPr>
              <a:solidFill>
                <a:srgbClr val="008000"/>
              </a:solidFill>
            </c:spPr>
          </c:dPt>
          <c:dPt>
            <c:idx val="18"/>
            <c:spPr>
              <a:solidFill>
                <a:srgbClr val="008000"/>
              </a:solidFill>
            </c:spPr>
          </c:dPt>
          <c:dPt>
            <c:idx val="23"/>
            <c:spPr>
              <a:solidFill>
                <a:srgbClr val="FFC000"/>
              </a:solidFill>
              <a:ln w="25400">
                <a:noFill/>
              </a:ln>
            </c:spPr>
          </c:dPt>
          <c:dPt>
            <c:idx val="28"/>
            <c:spPr>
              <a:solidFill>
                <a:srgbClr val="008000"/>
              </a:solidFill>
            </c:spPr>
          </c:dPt>
          <c:cat>
            <c:strRef>
              <c:f>'Chart 2c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RIE</c:v>
                </c:pt>
                <c:pt idx="15">
                  <c:v>IRH</c:v>
                </c:pt>
                <c:pt idx="16">
                  <c:v>GCH</c:v>
                </c:pt>
                <c:pt idx="17">
                  <c:v>WGH</c:v>
                </c:pt>
                <c:pt idx="18">
                  <c:v>RAH</c:v>
                </c:pt>
                <c:pt idx="19">
                  <c:v>GRI</c:v>
                </c:pt>
                <c:pt idx="20">
                  <c:v>Crosshouse</c:v>
                </c:pt>
                <c:pt idx="21">
                  <c:v>Raigmore</c:v>
                </c:pt>
                <c:pt idx="22">
                  <c:v>L&amp;I</c:v>
                </c:pt>
                <c:pt idx="23">
                  <c:v>Monklands</c:v>
                </c:pt>
                <c:pt idx="24">
                  <c:v>Gilbert Bain</c:v>
                </c:pt>
                <c:pt idx="25">
                  <c:v>Ninewells</c:v>
                </c:pt>
                <c:pt idx="26">
                  <c:v>Belford</c:v>
                </c:pt>
                <c:pt idx="27">
                  <c:v>Ayr</c:v>
                </c:pt>
                <c:pt idx="28">
                  <c:v>Balfour</c:v>
                </c:pt>
                <c:pt idx="29">
                  <c:v>Uist &amp; Barra</c:v>
                </c:pt>
              </c:strCache>
            </c:strRef>
          </c:cat>
          <c:val>
            <c:numRef>
              <c:f>'Chart 2c DATA'!$C$3:$C$32</c:f>
              <c:numCache>
                <c:formatCode>0</c:formatCode>
                <c:ptCount val="30"/>
                <c:pt idx="0">
                  <c:v>91.458010192776428</c:v>
                </c:pt>
                <c:pt idx="1">
                  <c:v>99.086757990867582</c:v>
                </c:pt>
                <c:pt idx="2">
                  <c:v>97.222222222222214</c:v>
                </c:pt>
                <c:pt idx="3">
                  <c:v>97.058823529411768</c:v>
                </c:pt>
                <c:pt idx="4">
                  <c:v>96.787148594377513</c:v>
                </c:pt>
                <c:pt idx="5">
                  <c:v>96.36363636363636</c:v>
                </c:pt>
                <c:pt idx="6">
                  <c:v>96.32352941176471</c:v>
                </c:pt>
                <c:pt idx="7">
                  <c:v>95.583596214511047</c:v>
                </c:pt>
                <c:pt idx="8">
                  <c:v>95.016611295681059</c:v>
                </c:pt>
                <c:pt idx="9">
                  <c:v>94.594594594594597</c:v>
                </c:pt>
                <c:pt idx="10">
                  <c:v>94.488188976377955</c:v>
                </c:pt>
                <c:pt idx="11">
                  <c:v>93.21789321789322</c:v>
                </c:pt>
                <c:pt idx="12">
                  <c:v>92.307692307692307</c:v>
                </c:pt>
                <c:pt idx="13">
                  <c:v>91.769547325102891</c:v>
                </c:pt>
                <c:pt idx="14">
                  <c:v>91.054313099041522</c:v>
                </c:pt>
                <c:pt idx="15">
                  <c:v>90.995260663507111</c:v>
                </c:pt>
                <c:pt idx="16">
                  <c:v>90</c:v>
                </c:pt>
                <c:pt idx="17">
                  <c:v>89.243027888446207</c:v>
                </c:pt>
                <c:pt idx="18">
                  <c:v>89.142857142857139</c:v>
                </c:pt>
                <c:pt idx="19">
                  <c:v>87.735849056603783</c:v>
                </c:pt>
                <c:pt idx="20">
                  <c:v>87.628865979381445</c:v>
                </c:pt>
                <c:pt idx="21">
                  <c:v>87.005649717514117</c:v>
                </c:pt>
                <c:pt idx="22">
                  <c:v>86.666666666666671</c:v>
                </c:pt>
                <c:pt idx="23">
                  <c:v>86.111111111111114</c:v>
                </c:pt>
                <c:pt idx="24">
                  <c:v>85.714285714285708</c:v>
                </c:pt>
                <c:pt idx="25">
                  <c:v>82.261640798226168</c:v>
                </c:pt>
                <c:pt idx="26">
                  <c:v>82.142857142857139</c:v>
                </c:pt>
                <c:pt idx="27">
                  <c:v>80.916030534351151</c:v>
                </c:pt>
                <c:pt idx="28">
                  <c:v>75</c:v>
                </c:pt>
                <c:pt idx="29">
                  <c:v>0</c:v>
                </c:pt>
              </c:numCache>
            </c:numRef>
          </c:val>
        </c:ser>
        <c:axId val="70166016"/>
        <c:axId val="70167552"/>
      </c:barChart>
      <c:lineChart>
        <c:grouping val="standard"/>
        <c:ser>
          <c:idx val="2"/>
          <c:order val="2"/>
          <c:tx>
            <c:strRef>
              <c:f>'Chart 2c DATA'!$D$2</c:f>
              <c:strCache>
                <c:ptCount val="1"/>
                <c:pt idx="0">
                  <c:v>Stroke Standard</c:v>
                </c:pt>
              </c:strCache>
            </c:strRef>
          </c:tx>
          <c:spPr>
            <a:ln>
              <a:solidFill>
                <a:srgbClr val="4F81BD"/>
              </a:solidFill>
            </a:ln>
          </c:spPr>
          <c:marker>
            <c:symbol val="none"/>
          </c:marker>
          <c:cat>
            <c:strRef>
              <c:f>'Chart 2c DATA'!$A$3:$A$32</c:f>
              <c:strCache>
                <c:ptCount val="30"/>
                <c:pt idx="0">
                  <c:v>Scotland</c:v>
                </c:pt>
                <c:pt idx="1">
                  <c:v>Borders</c:v>
                </c:pt>
                <c:pt idx="2">
                  <c:v>Caithness</c:v>
                </c:pt>
                <c:pt idx="3">
                  <c:v>Western Isles</c:v>
                </c:pt>
                <c:pt idx="4">
                  <c:v>SJH</c:v>
                </c:pt>
                <c:pt idx="5">
                  <c:v>Wishaw</c:v>
                </c:pt>
                <c:pt idx="6">
                  <c:v>FVRH</c:v>
                </c:pt>
                <c:pt idx="7">
                  <c:v>VHK</c:v>
                </c:pt>
                <c:pt idx="8">
                  <c:v>Hairmyres</c:v>
                </c:pt>
                <c:pt idx="9">
                  <c:v>PRI</c:v>
                </c:pt>
                <c:pt idx="10">
                  <c:v>QEUH</c:v>
                </c:pt>
                <c:pt idx="11">
                  <c:v>ARI</c:v>
                </c:pt>
                <c:pt idx="12">
                  <c:v>Dr Grays</c:v>
                </c:pt>
                <c:pt idx="13">
                  <c:v>DGRI</c:v>
                </c:pt>
                <c:pt idx="14">
                  <c:v>RIE</c:v>
                </c:pt>
                <c:pt idx="15">
                  <c:v>IRH</c:v>
                </c:pt>
                <c:pt idx="16">
                  <c:v>GCH</c:v>
                </c:pt>
                <c:pt idx="17">
                  <c:v>WGH</c:v>
                </c:pt>
                <c:pt idx="18">
                  <c:v>RAH</c:v>
                </c:pt>
                <c:pt idx="19">
                  <c:v>GRI</c:v>
                </c:pt>
                <c:pt idx="20">
                  <c:v>Crosshouse</c:v>
                </c:pt>
                <c:pt idx="21">
                  <c:v>Raigmore</c:v>
                </c:pt>
                <c:pt idx="22">
                  <c:v>L&amp;I</c:v>
                </c:pt>
                <c:pt idx="23">
                  <c:v>Monklands</c:v>
                </c:pt>
                <c:pt idx="24">
                  <c:v>Gilbert Bain</c:v>
                </c:pt>
                <c:pt idx="25">
                  <c:v>Ninewells</c:v>
                </c:pt>
                <c:pt idx="26">
                  <c:v>Belford</c:v>
                </c:pt>
                <c:pt idx="27">
                  <c:v>Ayr</c:v>
                </c:pt>
                <c:pt idx="28">
                  <c:v>Balfour</c:v>
                </c:pt>
                <c:pt idx="29">
                  <c:v>Uist &amp; Barra</c:v>
                </c:pt>
              </c:strCache>
            </c:strRef>
          </c:cat>
          <c:val>
            <c:numRef>
              <c:f>'Chart 2c DATA'!$D$3:$D$32</c:f>
              <c:numCache>
                <c:formatCode>General</c:formatCode>
                <c:ptCount val="30"/>
                <c:pt idx="0" formatCode="0">
                  <c:v>90</c:v>
                </c:pt>
                <c:pt idx="1">
                  <c:v>90</c:v>
                </c:pt>
                <c:pt idx="2">
                  <c:v>90</c:v>
                </c:pt>
                <c:pt idx="3">
                  <c:v>90</c:v>
                </c:pt>
                <c:pt idx="4">
                  <c:v>90</c:v>
                </c:pt>
                <c:pt idx="5">
                  <c:v>90</c:v>
                </c:pt>
                <c:pt idx="6">
                  <c:v>90</c:v>
                </c:pt>
                <c:pt idx="7">
                  <c:v>90</c:v>
                </c:pt>
                <c:pt idx="8">
                  <c:v>90</c:v>
                </c:pt>
                <c:pt idx="9">
                  <c:v>90</c:v>
                </c:pt>
                <c:pt idx="10">
                  <c:v>90</c:v>
                </c:pt>
                <c:pt idx="11">
                  <c:v>90</c:v>
                </c:pt>
                <c:pt idx="12">
                  <c:v>90</c:v>
                </c:pt>
                <c:pt idx="13">
                  <c:v>90</c:v>
                </c:pt>
                <c:pt idx="14">
                  <c:v>90</c:v>
                </c:pt>
                <c:pt idx="15">
                  <c:v>90</c:v>
                </c:pt>
                <c:pt idx="16">
                  <c:v>90</c:v>
                </c:pt>
                <c:pt idx="17">
                  <c:v>90</c:v>
                </c:pt>
                <c:pt idx="18">
                  <c:v>90</c:v>
                </c:pt>
                <c:pt idx="19">
                  <c:v>90</c:v>
                </c:pt>
                <c:pt idx="20">
                  <c:v>90</c:v>
                </c:pt>
                <c:pt idx="21">
                  <c:v>90</c:v>
                </c:pt>
                <c:pt idx="22">
                  <c:v>90</c:v>
                </c:pt>
                <c:pt idx="23">
                  <c:v>90</c:v>
                </c:pt>
                <c:pt idx="24">
                  <c:v>90</c:v>
                </c:pt>
                <c:pt idx="25">
                  <c:v>90</c:v>
                </c:pt>
                <c:pt idx="26">
                  <c:v>90</c:v>
                </c:pt>
                <c:pt idx="27">
                  <c:v>90</c:v>
                </c:pt>
                <c:pt idx="28">
                  <c:v>90</c:v>
                </c:pt>
                <c:pt idx="29">
                  <c:v>90</c:v>
                </c:pt>
              </c:numCache>
            </c:numRef>
          </c:val>
        </c:ser>
        <c:marker val="1"/>
        <c:axId val="70166016"/>
        <c:axId val="70167552"/>
      </c:lineChart>
      <c:catAx>
        <c:axId val="70166016"/>
        <c:scaling>
          <c:orientation val="minMax"/>
        </c:scaling>
        <c:axPos val="b"/>
        <c:numFmt formatCode="General" sourceLinked="1"/>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70167552"/>
        <c:crosses val="autoZero"/>
        <c:auto val="1"/>
        <c:lblAlgn val="ctr"/>
        <c:lblOffset val="100"/>
      </c:catAx>
      <c:valAx>
        <c:axId val="70167552"/>
        <c:scaling>
          <c:orientation val="minMax"/>
          <c:max val="100"/>
        </c:scaling>
        <c:axPos val="l"/>
        <c:title>
          <c:tx>
            <c:rich>
              <a:bodyPr rot="0" vert="horz"/>
              <a:lstStyle/>
              <a:p>
                <a:pPr algn="ctr">
                  <a:defRPr sz="1000" b="1" i="0" u="none" strike="noStrike" baseline="0">
                    <a:solidFill>
                      <a:srgbClr val="000000"/>
                    </a:solidFill>
                    <a:latin typeface="Calibri"/>
                    <a:ea typeface="Calibri"/>
                    <a:cs typeface="Calibri"/>
                  </a:defRPr>
                </a:pPr>
                <a:r>
                  <a:rPr lang="en-GB"/>
                  <a:t>%</a:t>
                </a:r>
              </a:p>
            </c:rich>
          </c:tx>
          <c:spPr>
            <a:noFill/>
            <a:ln w="25400">
              <a:noFill/>
            </a:ln>
          </c:spPr>
        </c:title>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166016"/>
        <c:crosses val="autoZero"/>
        <c:crossBetween val="between"/>
      </c:valAx>
      <c:spPr>
        <a:ln>
          <a:solidFill>
            <a:schemeClr val="bg1">
              <a:lumMod val="75000"/>
            </a:schemeClr>
          </a:solid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emf"/></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drawing36.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8</xdr:col>
      <xdr:colOff>0</xdr:colOff>
      <xdr:row>34</xdr:row>
      <xdr:rowOff>152400</xdr:rowOff>
    </xdr:from>
    <xdr:to>
      <xdr:col>8</xdr:col>
      <xdr:colOff>0</xdr:colOff>
      <xdr:row>34</xdr:row>
      <xdr:rowOff>152400</xdr:rowOff>
    </xdr:to>
    <xdr:sp macro="" textlink="">
      <xdr:nvSpPr>
        <xdr:cNvPr id="7060657" name="Line 1"/>
        <xdr:cNvSpPr>
          <a:spLocks noChangeShapeType="1"/>
        </xdr:cNvSpPr>
      </xdr:nvSpPr>
      <xdr:spPr bwMode="auto">
        <a:xfrm flipH="1">
          <a:off x="5886450" y="22936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35</xdr:row>
      <xdr:rowOff>0</xdr:rowOff>
    </xdr:from>
    <xdr:to>
      <xdr:col>8</xdr:col>
      <xdr:colOff>0</xdr:colOff>
      <xdr:row>35</xdr:row>
      <xdr:rowOff>0</xdr:rowOff>
    </xdr:to>
    <xdr:sp macro="" textlink="">
      <xdr:nvSpPr>
        <xdr:cNvPr id="7060658" name="Line 2"/>
        <xdr:cNvSpPr>
          <a:spLocks noChangeShapeType="1"/>
        </xdr:cNvSpPr>
      </xdr:nvSpPr>
      <xdr:spPr bwMode="auto">
        <a:xfrm flipH="1">
          <a:off x="5886450" y="22945725"/>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34</xdr:row>
      <xdr:rowOff>152400</xdr:rowOff>
    </xdr:from>
    <xdr:to>
      <xdr:col>8</xdr:col>
      <xdr:colOff>0</xdr:colOff>
      <xdr:row>34</xdr:row>
      <xdr:rowOff>152400</xdr:rowOff>
    </xdr:to>
    <xdr:sp macro="" textlink="">
      <xdr:nvSpPr>
        <xdr:cNvPr id="7060659" name="Line 1"/>
        <xdr:cNvSpPr>
          <a:spLocks noChangeShapeType="1"/>
        </xdr:cNvSpPr>
      </xdr:nvSpPr>
      <xdr:spPr bwMode="auto">
        <a:xfrm flipH="1">
          <a:off x="5886450" y="22936200"/>
          <a:ext cx="0" cy="0"/>
        </a:xfrm>
        <a:prstGeom prst="line">
          <a:avLst/>
        </a:prstGeom>
        <a:noFill/>
        <a:ln w="9525">
          <a:solidFill>
            <a:srgbClr val="000000"/>
          </a:solidFill>
          <a:round/>
          <a:headEnd/>
          <a:tailEnd type="triangle" w="med" len="med"/>
        </a:ln>
      </xdr:spPr>
    </xdr:sp>
    <xdr:clientData/>
  </xdr:twoCellAnchor>
  <xdr:twoCellAnchor>
    <xdr:from>
      <xdr:col>8</xdr:col>
      <xdr:colOff>0</xdr:colOff>
      <xdr:row>35</xdr:row>
      <xdr:rowOff>0</xdr:rowOff>
    </xdr:from>
    <xdr:to>
      <xdr:col>8</xdr:col>
      <xdr:colOff>0</xdr:colOff>
      <xdr:row>35</xdr:row>
      <xdr:rowOff>0</xdr:rowOff>
    </xdr:to>
    <xdr:sp macro="" textlink="">
      <xdr:nvSpPr>
        <xdr:cNvPr id="7060660" name="Line 2"/>
        <xdr:cNvSpPr>
          <a:spLocks noChangeShapeType="1"/>
        </xdr:cNvSpPr>
      </xdr:nvSpPr>
      <xdr:spPr bwMode="auto">
        <a:xfrm flipH="1">
          <a:off x="5886450" y="22945725"/>
          <a:ext cx="0" cy="0"/>
        </a:xfrm>
        <a:prstGeom prst="line">
          <a:avLst/>
        </a:prstGeom>
        <a:noFill/>
        <a:ln w="9525">
          <a:solidFill>
            <a:srgbClr val="000000"/>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714375"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714375" y="9334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714375" y="7620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285750" y="5143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285750" y="8477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6762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xdr:row>
      <xdr:rowOff>28575</xdr:rowOff>
    </xdr:from>
    <xdr:to>
      <xdr:col>1</xdr:col>
      <xdr:colOff>190500</xdr:colOff>
      <xdr:row>3</xdr:row>
      <xdr:rowOff>152400</xdr:rowOff>
    </xdr:to>
    <xdr:sp macro="" textlink="">
      <xdr:nvSpPr>
        <xdr:cNvPr id="3" name="Rectangle 2"/>
        <xdr:cNvSpPr/>
      </xdr:nvSpPr>
      <xdr:spPr>
        <a:xfrm>
          <a:off x="6286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4</xdr:row>
      <xdr:rowOff>9525</xdr:rowOff>
    </xdr:from>
    <xdr:to>
      <xdr:col>1</xdr:col>
      <xdr:colOff>190500</xdr:colOff>
      <xdr:row>4</xdr:row>
      <xdr:rowOff>133350</xdr:rowOff>
    </xdr:to>
    <xdr:sp macro="" textlink="">
      <xdr:nvSpPr>
        <xdr:cNvPr id="4" name="Rectangle 3"/>
        <xdr:cNvSpPr/>
      </xdr:nvSpPr>
      <xdr:spPr>
        <a:xfrm>
          <a:off x="628650" y="7715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xdr:row>
      <xdr:rowOff>28575</xdr:rowOff>
    </xdr:from>
    <xdr:to>
      <xdr:col>1</xdr:col>
      <xdr:colOff>190500</xdr:colOff>
      <xdr:row>3</xdr:row>
      <xdr:rowOff>152400</xdr:rowOff>
    </xdr:to>
    <xdr:sp macro="" textlink="">
      <xdr:nvSpPr>
        <xdr:cNvPr id="3" name="Rectangle 2"/>
        <xdr:cNvSpPr/>
      </xdr:nvSpPr>
      <xdr:spPr>
        <a:xfrm>
          <a:off x="200025" y="5143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19050</xdr:colOff>
      <xdr:row>4</xdr:row>
      <xdr:rowOff>9525</xdr:rowOff>
    </xdr:from>
    <xdr:to>
      <xdr:col>1</xdr:col>
      <xdr:colOff>190500</xdr:colOff>
      <xdr:row>4</xdr:row>
      <xdr:rowOff>133350</xdr:rowOff>
    </xdr:to>
    <xdr:sp macro="" textlink="">
      <xdr:nvSpPr>
        <xdr:cNvPr id="4" name="Rectangle 3"/>
        <xdr:cNvSpPr/>
      </xdr:nvSpPr>
      <xdr:spPr>
        <a:xfrm>
          <a:off x="200025" y="6572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714375"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714375" y="9334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714375" y="7620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7</xdr:row>
      <xdr:rowOff>1</xdr:rowOff>
    </xdr:from>
    <xdr:to>
      <xdr:col>15</xdr:col>
      <xdr:colOff>9525</xdr:colOff>
      <xdr:row>38</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28575</xdr:rowOff>
    </xdr:from>
    <xdr:to>
      <xdr:col>1</xdr:col>
      <xdr:colOff>276225</xdr:colOff>
      <xdr:row>3</xdr:row>
      <xdr:rowOff>152400</xdr:rowOff>
    </xdr:to>
    <xdr:sp macro="" textlink="">
      <xdr:nvSpPr>
        <xdr:cNvPr id="3" name="Rectangle 2"/>
        <xdr:cNvSpPr/>
      </xdr:nvSpPr>
      <xdr:spPr>
        <a:xfrm>
          <a:off x="285750" y="6667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171450</xdr:rowOff>
    </xdr:from>
    <xdr:to>
      <xdr:col>1</xdr:col>
      <xdr:colOff>276225</xdr:colOff>
      <xdr:row>5</xdr:row>
      <xdr:rowOff>104775</xdr:rowOff>
    </xdr:to>
    <xdr:sp macro="" textlink="">
      <xdr:nvSpPr>
        <xdr:cNvPr id="4" name="Rectangle 3"/>
        <xdr:cNvSpPr/>
      </xdr:nvSpPr>
      <xdr:spPr>
        <a:xfrm>
          <a:off x="285750" y="10001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286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4</xdr:row>
      <xdr:rowOff>9525</xdr:rowOff>
    </xdr:from>
    <xdr:to>
      <xdr:col>13</xdr:col>
      <xdr:colOff>571500</xdr:colOff>
      <xdr:row>29</xdr:row>
      <xdr:rowOff>28575</xdr:rowOff>
    </xdr:to>
    <xdr:graphicFrame macro="">
      <xdr:nvGraphicFramePr>
        <xdr:cNvPr id="613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13</xdr:col>
      <xdr:colOff>571500</xdr:colOff>
      <xdr:row>29</xdr:row>
      <xdr:rowOff>19050</xdr:rowOff>
    </xdr:to>
    <xdr:graphicFrame macro="">
      <xdr:nvGraphicFramePr>
        <xdr:cNvPr id="613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17</xdr:row>
      <xdr:rowOff>95250</xdr:rowOff>
    </xdr:from>
    <xdr:to>
      <xdr:col>14</xdr:col>
      <xdr:colOff>561975</xdr:colOff>
      <xdr:row>17</xdr:row>
      <xdr:rowOff>95250</xdr:rowOff>
    </xdr:to>
    <xdr:cxnSp macro="">
      <xdr:nvCxnSpPr>
        <xdr:cNvPr id="4" name="Straight Connector 3"/>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714375" y="57150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714375" y="96202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714375" y="7620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714375" y="11620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8</xdr:row>
      <xdr:rowOff>1</xdr:rowOff>
    </xdr:from>
    <xdr:to>
      <xdr:col>15</xdr:col>
      <xdr:colOff>9525</xdr:colOff>
      <xdr:row>39</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85750" y="6381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9525</xdr:rowOff>
    </xdr:from>
    <xdr:to>
      <xdr:col>1</xdr:col>
      <xdr:colOff>276225</xdr:colOff>
      <xdr:row>5</xdr:row>
      <xdr:rowOff>133350</xdr:rowOff>
    </xdr:to>
    <xdr:sp macro="" textlink="">
      <xdr:nvSpPr>
        <xdr:cNvPr id="4" name="Rectangle 3"/>
        <xdr:cNvSpPr/>
      </xdr:nvSpPr>
      <xdr:spPr>
        <a:xfrm>
          <a:off x="285750" y="9715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85750" y="80010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19050</xdr:rowOff>
    </xdr:from>
    <xdr:to>
      <xdr:col>1</xdr:col>
      <xdr:colOff>276225</xdr:colOff>
      <xdr:row>6</xdr:row>
      <xdr:rowOff>142875</xdr:rowOff>
    </xdr:to>
    <xdr:sp macro="" textlink="">
      <xdr:nvSpPr>
        <xdr:cNvPr id="6" name="Rectangle 5"/>
        <xdr:cNvSpPr/>
      </xdr:nvSpPr>
      <xdr:spPr>
        <a:xfrm>
          <a:off x="285750" y="1143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95250</xdr:colOff>
      <xdr:row>3</xdr:row>
      <xdr:rowOff>154782</xdr:rowOff>
    </xdr:from>
    <xdr:to>
      <xdr:col>16</xdr:col>
      <xdr:colOff>323850</xdr:colOff>
      <xdr:row>46</xdr:row>
      <xdr:rowOff>145257</xdr:rowOff>
    </xdr:to>
    <xdr:pic>
      <xdr:nvPicPr>
        <xdr:cNvPr id="1039" name="Picture 15"/>
        <xdr:cNvPicPr>
          <a:picLocks noChangeAspect="1" noChangeArrowheads="1"/>
        </xdr:cNvPicPr>
      </xdr:nvPicPr>
      <xdr:blipFill>
        <a:blip xmlns:r="http://schemas.openxmlformats.org/officeDocument/2006/relationships" r:embed="rId1" cstate="print"/>
        <a:srcRect/>
        <a:stretch>
          <a:fillRect/>
        </a:stretch>
      </xdr:blipFill>
      <xdr:spPr bwMode="auto">
        <a:xfrm>
          <a:off x="238125" y="785813"/>
          <a:ext cx="9336881" cy="818197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0</xdr:rowOff>
    </xdr:from>
    <xdr:to>
      <xdr:col>15</xdr:col>
      <xdr:colOff>28575</xdr:colOff>
      <xdr:row>29</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3</xdr:row>
      <xdr:rowOff>0</xdr:rowOff>
    </xdr:from>
    <xdr:to>
      <xdr:col>1</xdr:col>
      <xdr:colOff>228600</xdr:colOff>
      <xdr:row>3</xdr:row>
      <xdr:rowOff>123825</xdr:rowOff>
    </xdr:to>
    <xdr:sp macro="" textlink="">
      <xdr:nvSpPr>
        <xdr:cNvPr id="3" name="Rectangle 2"/>
        <xdr:cNvSpPr/>
      </xdr:nvSpPr>
      <xdr:spPr>
        <a:xfrm>
          <a:off x="1714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4</xdr:row>
      <xdr:rowOff>0</xdr:rowOff>
    </xdr:from>
    <xdr:to>
      <xdr:col>1</xdr:col>
      <xdr:colOff>228600</xdr:colOff>
      <xdr:row>4</xdr:row>
      <xdr:rowOff>123825</xdr:rowOff>
    </xdr:to>
    <xdr:sp macro="" textlink="">
      <xdr:nvSpPr>
        <xdr:cNvPr id="4" name="Rectangle 3"/>
        <xdr:cNvSpPr/>
      </xdr:nvSpPr>
      <xdr:spPr>
        <a:xfrm>
          <a:off x="171450" y="762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5</xdr:row>
      <xdr:rowOff>0</xdr:rowOff>
    </xdr:from>
    <xdr:to>
      <xdr:col>11</xdr:col>
      <xdr:colOff>466725</xdr:colOff>
      <xdr:row>34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285750</xdr:colOff>
      <xdr:row>11</xdr:row>
      <xdr:rowOff>95250</xdr:rowOff>
    </xdr:from>
    <xdr:to>
      <xdr:col>12</xdr:col>
      <xdr:colOff>285750</xdr:colOff>
      <xdr:row>13</xdr:row>
      <xdr:rowOff>95250</xdr:rowOff>
    </xdr:to>
    <xdr:sp macro="" textlink="">
      <xdr:nvSpPr>
        <xdr:cNvPr id="3" name="Line 2"/>
        <xdr:cNvSpPr>
          <a:spLocks noChangeShapeType="1"/>
        </xdr:cNvSpPr>
      </xdr:nvSpPr>
      <xdr:spPr bwMode="auto">
        <a:xfrm>
          <a:off x="9039225" y="1876425"/>
          <a:ext cx="0" cy="323850"/>
        </a:xfrm>
        <a:prstGeom prst="line">
          <a:avLst/>
        </a:prstGeom>
        <a:noFill/>
        <a:ln w="9525">
          <a:solidFill>
            <a:srgbClr val="000000"/>
          </a:solidFill>
          <a:round/>
          <a:headEnd/>
          <a:tailEnd type="triangle" w="med" len="med"/>
        </a:ln>
      </xdr:spPr>
    </xdr:sp>
    <xdr:clientData/>
  </xdr:twoCellAnchor>
  <xdr:twoCellAnchor editAs="absolute">
    <xdr:from>
      <xdr:col>12</xdr:col>
      <xdr:colOff>19050</xdr:colOff>
      <xdr:row>5</xdr:row>
      <xdr:rowOff>9525</xdr:rowOff>
    </xdr:from>
    <xdr:to>
      <xdr:col>12</xdr:col>
      <xdr:colOff>561975</xdr:colOff>
      <xdr:row>11</xdr:row>
      <xdr:rowOff>85725</xdr:rowOff>
    </xdr:to>
    <xdr:sp macro="" textlink="">
      <xdr:nvSpPr>
        <xdr:cNvPr id="4" name="Text Box 3"/>
        <xdr:cNvSpPr txBox="1">
          <a:spLocks noChangeArrowheads="1"/>
        </xdr:cNvSpPr>
      </xdr:nvSpPr>
      <xdr:spPr bwMode="auto">
        <a:xfrm>
          <a:off x="8772525"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667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857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5</xdr:row>
      <xdr:rowOff>0</xdr:rowOff>
    </xdr:from>
    <xdr:to>
      <xdr:col>11</xdr:col>
      <xdr:colOff>466725</xdr:colOff>
      <xdr:row>34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285750</xdr:colOff>
      <xdr:row>11</xdr:row>
      <xdr:rowOff>95250</xdr:rowOff>
    </xdr:from>
    <xdr:to>
      <xdr:col>12</xdr:col>
      <xdr:colOff>285750</xdr:colOff>
      <xdr:row>13</xdr:row>
      <xdr:rowOff>95250</xdr:rowOff>
    </xdr:to>
    <xdr:sp macro="" textlink="">
      <xdr:nvSpPr>
        <xdr:cNvPr id="3" name="Line 2"/>
        <xdr:cNvSpPr>
          <a:spLocks noChangeShapeType="1"/>
        </xdr:cNvSpPr>
      </xdr:nvSpPr>
      <xdr:spPr bwMode="auto">
        <a:xfrm>
          <a:off x="9039225" y="1876425"/>
          <a:ext cx="0" cy="323850"/>
        </a:xfrm>
        <a:prstGeom prst="line">
          <a:avLst/>
        </a:prstGeom>
        <a:noFill/>
        <a:ln w="9525">
          <a:solidFill>
            <a:srgbClr val="000000"/>
          </a:solidFill>
          <a:round/>
          <a:headEnd/>
          <a:tailEnd type="triangle" w="med" len="med"/>
        </a:ln>
      </xdr:spPr>
    </xdr:sp>
    <xdr:clientData/>
  </xdr:twoCellAnchor>
  <xdr:twoCellAnchor editAs="absolute">
    <xdr:from>
      <xdr:col>12</xdr:col>
      <xdr:colOff>19050</xdr:colOff>
      <xdr:row>5</xdr:row>
      <xdr:rowOff>9525</xdr:rowOff>
    </xdr:from>
    <xdr:to>
      <xdr:col>12</xdr:col>
      <xdr:colOff>561975</xdr:colOff>
      <xdr:row>11</xdr:row>
      <xdr:rowOff>85725</xdr:rowOff>
    </xdr:to>
    <xdr:sp macro="" textlink="">
      <xdr:nvSpPr>
        <xdr:cNvPr id="4" name="Text Box 3"/>
        <xdr:cNvSpPr txBox="1">
          <a:spLocks noChangeArrowheads="1"/>
        </xdr:cNvSpPr>
      </xdr:nvSpPr>
      <xdr:spPr bwMode="auto">
        <a:xfrm>
          <a:off x="8772525"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667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857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1</xdr:row>
      <xdr:rowOff>19050</xdr:rowOff>
    </xdr:from>
    <xdr:to>
      <xdr:col>10</xdr:col>
      <xdr:colOff>19050</xdr:colOff>
      <xdr:row>49</xdr:row>
      <xdr:rowOff>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23825" y="457200"/>
          <a:ext cx="6829425" cy="9124950"/>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9</xdr:col>
      <xdr:colOff>581025</xdr:colOff>
      <xdr:row>5</xdr:row>
      <xdr:rowOff>9525</xdr:rowOff>
    </xdr:from>
    <xdr:to>
      <xdr:col>10</xdr:col>
      <xdr:colOff>514350</xdr:colOff>
      <xdr:row>11</xdr:row>
      <xdr:rowOff>95250</xdr:rowOff>
    </xdr:to>
    <xdr:sp macro="" textlink="">
      <xdr:nvSpPr>
        <xdr:cNvPr id="2" name="Text Box 2"/>
        <xdr:cNvSpPr txBox="1">
          <a:spLocks noChangeArrowheads="1"/>
        </xdr:cNvSpPr>
      </xdr:nvSpPr>
      <xdr:spPr bwMode="auto">
        <a:xfrm>
          <a:off x="8410575" y="1228725"/>
          <a:ext cx="542925" cy="1057275"/>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257175</xdr:colOff>
      <xdr:row>11</xdr:row>
      <xdr:rowOff>85725</xdr:rowOff>
    </xdr:from>
    <xdr:to>
      <xdr:col>10</xdr:col>
      <xdr:colOff>257175</xdr:colOff>
      <xdr:row>13</xdr:row>
      <xdr:rowOff>85725</xdr:rowOff>
    </xdr:to>
    <xdr:sp macro="" textlink="">
      <xdr:nvSpPr>
        <xdr:cNvPr id="5550400" name="Line 3"/>
        <xdr:cNvSpPr>
          <a:spLocks noChangeShapeType="1"/>
        </xdr:cNvSpPr>
      </xdr:nvSpPr>
      <xdr:spPr bwMode="auto">
        <a:xfrm>
          <a:off x="8696325" y="2276475"/>
          <a:ext cx="0" cy="323850"/>
        </a:xfrm>
        <a:prstGeom prst="line">
          <a:avLst/>
        </a:prstGeom>
        <a:noFill/>
        <a:ln w="9525">
          <a:solidFill>
            <a:srgbClr val="000000"/>
          </a:solidFill>
          <a:round/>
          <a:headEnd/>
          <a:tailEnd type="triangle" w="med" len="med"/>
        </a:ln>
      </xdr:spPr>
    </xdr:sp>
    <xdr:clientData/>
  </xdr:twoCellAnchor>
  <xdr:twoCellAnchor editAs="absolute">
    <xdr:from>
      <xdr:col>1</xdr:col>
      <xdr:colOff>0</xdr:colOff>
      <xdr:row>5</xdr:row>
      <xdr:rowOff>0</xdr:rowOff>
    </xdr:from>
    <xdr:to>
      <xdr:col>9</xdr:col>
      <xdr:colOff>419100</xdr:colOff>
      <xdr:row>33</xdr:row>
      <xdr:rowOff>114300</xdr:rowOff>
    </xdr:to>
    <xdr:graphicFrame macro="">
      <xdr:nvGraphicFramePr>
        <xdr:cNvPr id="55504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4</xdr:row>
      <xdr:rowOff>0</xdr:rowOff>
    </xdr:from>
    <xdr:to>
      <xdr:col>1</xdr:col>
      <xdr:colOff>228600</xdr:colOff>
      <xdr:row>4</xdr:row>
      <xdr:rowOff>123825</xdr:rowOff>
    </xdr:to>
    <xdr:sp macro="" textlink="">
      <xdr:nvSpPr>
        <xdr:cNvPr id="5" name="Rectangle 4"/>
        <xdr:cNvSpPr/>
      </xdr:nvSpPr>
      <xdr:spPr>
        <a:xfrm>
          <a:off x="1714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4</xdr:row>
      <xdr:rowOff>180975</xdr:rowOff>
    </xdr:from>
    <xdr:to>
      <xdr:col>1</xdr:col>
      <xdr:colOff>228600</xdr:colOff>
      <xdr:row>4</xdr:row>
      <xdr:rowOff>304800</xdr:rowOff>
    </xdr:to>
    <xdr:sp macro="" textlink="">
      <xdr:nvSpPr>
        <xdr:cNvPr id="6" name="Rectangle 5"/>
        <xdr:cNvSpPr/>
      </xdr:nvSpPr>
      <xdr:spPr>
        <a:xfrm>
          <a:off x="171450" y="9906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600075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4</xdr:row>
      <xdr:rowOff>38100</xdr:rowOff>
    </xdr:from>
    <xdr:to>
      <xdr:col>1</xdr:col>
      <xdr:colOff>276225</xdr:colOff>
      <xdr:row>5</xdr:row>
      <xdr:rowOff>0</xdr:rowOff>
    </xdr:to>
    <xdr:sp macro="" textlink="">
      <xdr:nvSpPr>
        <xdr:cNvPr id="3" name="Rectangle 2"/>
        <xdr:cNvSpPr/>
      </xdr:nvSpPr>
      <xdr:spPr>
        <a:xfrm>
          <a:off x="285750" y="8858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47625</xdr:rowOff>
    </xdr:from>
    <xdr:to>
      <xdr:col>1</xdr:col>
      <xdr:colOff>276225</xdr:colOff>
      <xdr:row>7</xdr:row>
      <xdr:rowOff>9525</xdr:rowOff>
    </xdr:to>
    <xdr:sp macro="" textlink="">
      <xdr:nvSpPr>
        <xdr:cNvPr id="4" name="Rectangle 3"/>
        <xdr:cNvSpPr/>
      </xdr:nvSpPr>
      <xdr:spPr>
        <a:xfrm>
          <a:off x="285750" y="12192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38100</xdr:rowOff>
    </xdr:from>
    <xdr:to>
      <xdr:col>1</xdr:col>
      <xdr:colOff>276225</xdr:colOff>
      <xdr:row>6</xdr:row>
      <xdr:rowOff>0</xdr:rowOff>
    </xdr:to>
    <xdr:sp macro="" textlink="">
      <xdr:nvSpPr>
        <xdr:cNvPr id="5" name="Rectangle 4"/>
        <xdr:cNvSpPr/>
      </xdr:nvSpPr>
      <xdr:spPr>
        <a:xfrm>
          <a:off x="285750" y="104775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57150</xdr:rowOff>
    </xdr:from>
    <xdr:to>
      <xdr:col>1</xdr:col>
      <xdr:colOff>276225</xdr:colOff>
      <xdr:row>8</xdr:row>
      <xdr:rowOff>19050</xdr:rowOff>
    </xdr:to>
    <xdr:sp macro="" textlink="">
      <xdr:nvSpPr>
        <xdr:cNvPr id="6" name="Rectangle 5"/>
        <xdr:cNvSpPr/>
      </xdr:nvSpPr>
      <xdr:spPr>
        <a:xfrm>
          <a:off x="285750" y="13906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38100</xdr:rowOff>
    </xdr:from>
    <xdr:to>
      <xdr:col>1</xdr:col>
      <xdr:colOff>276225</xdr:colOff>
      <xdr:row>4</xdr:row>
      <xdr:rowOff>0</xdr:rowOff>
    </xdr:to>
    <xdr:sp macro="" textlink="">
      <xdr:nvSpPr>
        <xdr:cNvPr id="7" name="Rectangle 6"/>
        <xdr:cNvSpPr/>
      </xdr:nvSpPr>
      <xdr:spPr>
        <a:xfrm>
          <a:off x="285750" y="695325"/>
          <a:ext cx="171450" cy="152400"/>
        </a:xfrm>
        <a:prstGeom prst="rect">
          <a:avLst/>
        </a:prstGeom>
        <a:solidFill>
          <a:srgbClr val="969696"/>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10</xdr:row>
      <xdr:rowOff>1</xdr:rowOff>
    </xdr:from>
    <xdr:to>
      <xdr:col>15</xdr:col>
      <xdr:colOff>600075</xdr:colOff>
      <xdr:row>41</xdr:row>
      <xdr:rowOff>47626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4</xdr:row>
      <xdr:rowOff>38100</xdr:rowOff>
    </xdr:from>
    <xdr:to>
      <xdr:col>1</xdr:col>
      <xdr:colOff>276225</xdr:colOff>
      <xdr:row>5</xdr:row>
      <xdr:rowOff>0</xdr:rowOff>
    </xdr:to>
    <xdr:sp macro="" textlink="">
      <xdr:nvSpPr>
        <xdr:cNvPr id="3" name="Rectangle 2"/>
        <xdr:cNvSpPr/>
      </xdr:nvSpPr>
      <xdr:spPr>
        <a:xfrm>
          <a:off x="285750" y="8858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6</xdr:row>
      <xdr:rowOff>47625</xdr:rowOff>
    </xdr:from>
    <xdr:to>
      <xdr:col>1</xdr:col>
      <xdr:colOff>276225</xdr:colOff>
      <xdr:row>7</xdr:row>
      <xdr:rowOff>9525</xdr:rowOff>
    </xdr:to>
    <xdr:sp macro="" textlink="">
      <xdr:nvSpPr>
        <xdr:cNvPr id="4" name="Rectangle 3"/>
        <xdr:cNvSpPr/>
      </xdr:nvSpPr>
      <xdr:spPr>
        <a:xfrm>
          <a:off x="285750" y="121920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38100</xdr:rowOff>
    </xdr:from>
    <xdr:to>
      <xdr:col>1</xdr:col>
      <xdr:colOff>276225</xdr:colOff>
      <xdr:row>6</xdr:row>
      <xdr:rowOff>0</xdr:rowOff>
    </xdr:to>
    <xdr:sp macro="" textlink="">
      <xdr:nvSpPr>
        <xdr:cNvPr id="5" name="Rectangle 4"/>
        <xdr:cNvSpPr/>
      </xdr:nvSpPr>
      <xdr:spPr>
        <a:xfrm>
          <a:off x="285750" y="1047750"/>
          <a:ext cx="171450" cy="123825"/>
        </a:xfrm>
        <a:prstGeom prst="rect">
          <a:avLst/>
        </a:prstGeom>
        <a:solidFill>
          <a:srgbClr val="FFCC4F"/>
        </a:solidFill>
        <a:ln>
          <a:solidFill>
            <a:srgbClr val="FF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7</xdr:row>
      <xdr:rowOff>57150</xdr:rowOff>
    </xdr:from>
    <xdr:to>
      <xdr:col>1</xdr:col>
      <xdr:colOff>276225</xdr:colOff>
      <xdr:row>8</xdr:row>
      <xdr:rowOff>19050</xdr:rowOff>
    </xdr:to>
    <xdr:sp macro="" textlink="">
      <xdr:nvSpPr>
        <xdr:cNvPr id="6" name="Rectangle 5"/>
        <xdr:cNvSpPr/>
      </xdr:nvSpPr>
      <xdr:spPr>
        <a:xfrm>
          <a:off x="285750" y="13906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38100</xdr:rowOff>
    </xdr:from>
    <xdr:to>
      <xdr:col>1</xdr:col>
      <xdr:colOff>276225</xdr:colOff>
      <xdr:row>4</xdr:row>
      <xdr:rowOff>0</xdr:rowOff>
    </xdr:to>
    <xdr:sp macro="" textlink="">
      <xdr:nvSpPr>
        <xdr:cNvPr id="7" name="Rectangle 6"/>
        <xdr:cNvSpPr/>
      </xdr:nvSpPr>
      <xdr:spPr>
        <a:xfrm>
          <a:off x="285750" y="695325"/>
          <a:ext cx="171450" cy="152400"/>
        </a:xfrm>
        <a:prstGeom prst="rect">
          <a:avLst/>
        </a:prstGeom>
        <a:solidFill>
          <a:srgbClr val="969696"/>
        </a:solidFill>
        <a:ln>
          <a:solidFill>
            <a:srgbClr val="96969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6</xdr:row>
      <xdr:rowOff>0</xdr:rowOff>
    </xdr:from>
    <xdr:to>
      <xdr:col>13</xdr:col>
      <xdr:colOff>323850</xdr:colOff>
      <xdr:row>35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419100</xdr:colOff>
      <xdr:row>5</xdr:row>
      <xdr:rowOff>85725</xdr:rowOff>
    </xdr:from>
    <xdr:to>
      <xdr:col>14</xdr:col>
      <xdr:colOff>342900</xdr:colOff>
      <xdr:row>12</xdr:row>
      <xdr:rowOff>9525</xdr:rowOff>
    </xdr:to>
    <xdr:sp macro="" textlink="">
      <xdr:nvSpPr>
        <xdr:cNvPr id="3" name="Text Box 3"/>
        <xdr:cNvSpPr txBox="1">
          <a:spLocks noChangeArrowheads="1"/>
        </xdr:cNvSpPr>
      </xdr:nvSpPr>
      <xdr:spPr bwMode="auto">
        <a:xfrm>
          <a:off x="8639175" y="866775"/>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14</xdr:col>
      <xdr:colOff>66675</xdr:colOff>
      <xdr:row>12</xdr:row>
      <xdr:rowOff>9525</xdr:rowOff>
    </xdr:from>
    <xdr:to>
      <xdr:col>14</xdr:col>
      <xdr:colOff>66675</xdr:colOff>
      <xdr:row>14</xdr:row>
      <xdr:rowOff>9525</xdr:rowOff>
    </xdr:to>
    <xdr:sp macro="" textlink="">
      <xdr:nvSpPr>
        <xdr:cNvPr id="4" name="Line 2"/>
        <xdr:cNvSpPr>
          <a:spLocks noChangeShapeType="1"/>
        </xdr:cNvSpPr>
      </xdr:nvSpPr>
      <xdr:spPr bwMode="auto">
        <a:xfrm>
          <a:off x="8905875" y="1914525"/>
          <a:ext cx="0" cy="323850"/>
        </a:xfrm>
        <a:prstGeom prst="line">
          <a:avLst/>
        </a:prstGeom>
        <a:noFill/>
        <a:ln w="9525">
          <a:solidFill>
            <a:srgbClr val="000000"/>
          </a:solidFill>
          <a:round/>
          <a:headEnd/>
          <a:tailEnd type="triangle" w="med" len="med"/>
        </a:ln>
      </xdr:spPr>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477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762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6</xdr:row>
      <xdr:rowOff>0</xdr:rowOff>
    </xdr:from>
    <xdr:to>
      <xdr:col>13</xdr:col>
      <xdr:colOff>323850</xdr:colOff>
      <xdr:row>35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419100</xdr:colOff>
      <xdr:row>5</xdr:row>
      <xdr:rowOff>85725</xdr:rowOff>
    </xdr:from>
    <xdr:to>
      <xdr:col>14</xdr:col>
      <xdr:colOff>342900</xdr:colOff>
      <xdr:row>12</xdr:row>
      <xdr:rowOff>9525</xdr:rowOff>
    </xdr:to>
    <xdr:sp macro="" textlink="">
      <xdr:nvSpPr>
        <xdr:cNvPr id="3" name="Text Box 3"/>
        <xdr:cNvSpPr txBox="1">
          <a:spLocks noChangeArrowheads="1"/>
        </xdr:cNvSpPr>
      </xdr:nvSpPr>
      <xdr:spPr bwMode="auto">
        <a:xfrm>
          <a:off x="8639175" y="866775"/>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14</xdr:col>
      <xdr:colOff>66675</xdr:colOff>
      <xdr:row>12</xdr:row>
      <xdr:rowOff>9525</xdr:rowOff>
    </xdr:from>
    <xdr:to>
      <xdr:col>14</xdr:col>
      <xdr:colOff>66675</xdr:colOff>
      <xdr:row>14</xdr:row>
      <xdr:rowOff>9525</xdr:rowOff>
    </xdr:to>
    <xdr:sp macro="" textlink="">
      <xdr:nvSpPr>
        <xdr:cNvPr id="4" name="Line 2"/>
        <xdr:cNvSpPr>
          <a:spLocks noChangeShapeType="1"/>
        </xdr:cNvSpPr>
      </xdr:nvSpPr>
      <xdr:spPr bwMode="auto">
        <a:xfrm>
          <a:off x="8905875" y="1914525"/>
          <a:ext cx="0" cy="323850"/>
        </a:xfrm>
        <a:prstGeom prst="line">
          <a:avLst/>
        </a:prstGeom>
        <a:noFill/>
        <a:ln w="9525">
          <a:solidFill>
            <a:srgbClr val="000000"/>
          </a:solidFill>
          <a:round/>
          <a:headEnd/>
          <a:tailEnd type="triangle" w="med" len="med"/>
        </a:ln>
      </xdr:spPr>
    </xdr:sp>
    <xdr:clientData/>
  </xdr:twoCellAnchor>
  <xdr:twoCellAnchor>
    <xdr:from>
      <xdr:col>1</xdr:col>
      <xdr:colOff>104775</xdr:colOff>
      <xdr:row>2</xdr:row>
      <xdr:rowOff>0</xdr:rowOff>
    </xdr:from>
    <xdr:to>
      <xdr:col>1</xdr:col>
      <xdr:colOff>276225</xdr:colOff>
      <xdr:row>2</xdr:row>
      <xdr:rowOff>123825</xdr:rowOff>
    </xdr:to>
    <xdr:sp macro="" textlink="">
      <xdr:nvSpPr>
        <xdr:cNvPr id="5" name="Rectangle 4"/>
        <xdr:cNvSpPr/>
      </xdr:nvSpPr>
      <xdr:spPr>
        <a:xfrm>
          <a:off x="219075" y="323850"/>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19050</xdr:rowOff>
    </xdr:from>
    <xdr:to>
      <xdr:col>1</xdr:col>
      <xdr:colOff>276225</xdr:colOff>
      <xdr:row>4</xdr:row>
      <xdr:rowOff>142875</xdr:rowOff>
    </xdr:to>
    <xdr:sp macro="" textlink="">
      <xdr:nvSpPr>
        <xdr:cNvPr id="6" name="Rectangle 5"/>
        <xdr:cNvSpPr/>
      </xdr:nvSpPr>
      <xdr:spPr>
        <a:xfrm>
          <a:off x="219075" y="6477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0</xdr:rowOff>
    </xdr:from>
    <xdr:to>
      <xdr:col>1</xdr:col>
      <xdr:colOff>276225</xdr:colOff>
      <xdr:row>3</xdr:row>
      <xdr:rowOff>123825</xdr:rowOff>
    </xdr:to>
    <xdr:sp macro="" textlink="">
      <xdr:nvSpPr>
        <xdr:cNvPr id="7" name="Rectangle 6"/>
        <xdr:cNvSpPr/>
      </xdr:nvSpPr>
      <xdr:spPr>
        <a:xfrm>
          <a:off x="219075" y="476250"/>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9525</xdr:colOff>
      <xdr:row>6</xdr:row>
      <xdr:rowOff>85726</xdr:rowOff>
    </xdr:from>
    <xdr:to>
      <xdr:col>15</xdr:col>
      <xdr:colOff>0</xdr:colOff>
      <xdr:row>33</xdr:row>
      <xdr:rowOff>152401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3</xdr:row>
      <xdr:rowOff>0</xdr:rowOff>
    </xdr:from>
    <xdr:to>
      <xdr:col>1</xdr:col>
      <xdr:colOff>276225</xdr:colOff>
      <xdr:row>3</xdr:row>
      <xdr:rowOff>123825</xdr:rowOff>
    </xdr:to>
    <xdr:sp macro="" textlink="">
      <xdr:nvSpPr>
        <xdr:cNvPr id="3" name="Rectangle 2"/>
        <xdr:cNvSpPr/>
      </xdr:nvSpPr>
      <xdr:spPr>
        <a:xfrm>
          <a:off x="219075" y="4857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19050</xdr:rowOff>
    </xdr:from>
    <xdr:to>
      <xdr:col>1</xdr:col>
      <xdr:colOff>276225</xdr:colOff>
      <xdr:row>5</xdr:row>
      <xdr:rowOff>142875</xdr:rowOff>
    </xdr:to>
    <xdr:sp macro="" textlink="">
      <xdr:nvSpPr>
        <xdr:cNvPr id="4" name="Rectangle 3"/>
        <xdr:cNvSpPr/>
      </xdr:nvSpPr>
      <xdr:spPr>
        <a:xfrm>
          <a:off x="219075" y="89535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4</xdr:row>
      <xdr:rowOff>0</xdr:rowOff>
    </xdr:from>
    <xdr:to>
      <xdr:col>1</xdr:col>
      <xdr:colOff>276225</xdr:colOff>
      <xdr:row>4</xdr:row>
      <xdr:rowOff>123825</xdr:rowOff>
    </xdr:to>
    <xdr:sp macro="" textlink="">
      <xdr:nvSpPr>
        <xdr:cNvPr id="5" name="Rectangle 4"/>
        <xdr:cNvSpPr/>
      </xdr:nvSpPr>
      <xdr:spPr>
        <a:xfrm>
          <a:off x="219075" y="714375"/>
          <a:ext cx="171450" cy="12382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0</xdr:colOff>
      <xdr:row>35</xdr:row>
      <xdr:rowOff>0</xdr:rowOff>
    </xdr:from>
    <xdr:to>
      <xdr:col>15</xdr:col>
      <xdr:colOff>0</xdr:colOff>
      <xdr:row>58</xdr:row>
      <xdr:rowOff>114300</xdr:rowOff>
    </xdr:to>
    <xdr:sp macro="" textlink="">
      <xdr:nvSpPr>
        <xdr:cNvPr id="6" name="TextBox 5"/>
        <xdr:cNvSpPr txBox="1">
          <a:spLocks noChangeArrowheads="1"/>
        </xdr:cNvSpPr>
      </xdr:nvSpPr>
      <xdr:spPr bwMode="auto">
        <a:xfrm>
          <a:off x="114300" y="5734050"/>
          <a:ext cx="8534400" cy="3838575"/>
        </a:xfrm>
        <a:prstGeom prst="rect">
          <a:avLst/>
        </a:prstGeom>
        <a:solidFill>
          <a:srgbClr val="FFFFFF"/>
        </a:solidFill>
        <a:ln w="9525">
          <a:solidFill>
            <a:srgbClr val="BCBCBC"/>
          </a:solidFill>
          <a:miter lim="800000"/>
          <a:headEnd/>
          <a:tailEnd/>
        </a:ln>
      </xdr:spPr>
      <xdr:txBody>
        <a:bodyPr vertOverflow="clip" wrap="square" lIns="27432" tIns="22860" rIns="0" bIns="0" anchor="t" upright="1"/>
        <a:lstStyle/>
        <a:p>
          <a:pPr algn="l" rtl="0">
            <a:defRPr sz="1000"/>
          </a:pPr>
          <a:r>
            <a:rPr lang="en-GB" sz="800" b="1" i="0" u="none" strike="noStrike" baseline="0">
              <a:solidFill>
                <a:srgbClr val="000000"/>
              </a:solidFill>
              <a:latin typeface="Arial"/>
              <a:cs typeface="Arial"/>
            </a:rPr>
            <a:t>Notes regarding Chart 14b</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1.  </a:t>
          </a:r>
          <a:r>
            <a:rPr lang="en-GB" sz="800" b="1" i="0" u="none" strike="noStrike" baseline="0">
              <a:solidFill>
                <a:srgbClr val="000000"/>
              </a:solidFill>
              <a:latin typeface="Arial"/>
              <a:cs typeface="Arial"/>
            </a:rPr>
            <a:t>A 'bundle' involves a group of specific interventions/ processes of care that significantly improve patient outcome if done together rather than separately and this also improves the  consistency with which patients are managed</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2.  Due to the number of beds within some hospitals in the Health Boards indicated (*) and the small numbers of stroke admissions to these hospitals </a:t>
          </a:r>
          <a:r>
            <a:rPr lang="en-GB" sz="800" b="1" i="0" u="none" strike="noStrike" baseline="0">
              <a:solidFill>
                <a:srgbClr val="000000"/>
              </a:solidFill>
              <a:latin typeface="Arial"/>
              <a:cs typeface="Arial"/>
            </a:rPr>
            <a:t>it is not practical to have a defined Stroke Unit. </a:t>
          </a:r>
          <a:r>
            <a:rPr lang="en-GB" sz="800" b="0" i="0" u="none" strike="noStrike" baseline="0">
              <a:solidFill>
                <a:srgbClr val="000000"/>
              </a:solidFill>
              <a:latin typeface="Arial"/>
              <a:cs typeface="Arial"/>
            </a:rPr>
            <a:t>We have confirmed however that a defined stroke pathway is in place in these hospitals and that the Scottish Stroke Care Standard criteria are established within that pathway.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3. Balfour Hospital, NHS Orkney, implemented a CT scanning service during 2015. Prior to the introduction of this service, patients were airlifted to Aberdeen Royal Infirmary and a proportion may have arrived in sufficient time to have brain imaging within 24 hours of admission.</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4. </a:t>
          </a:r>
          <a:r>
            <a:rPr lang="en-GB" sz="800" b="1" i="0" u="none" strike="noStrike" baseline="0">
              <a:solidFill>
                <a:srgbClr val="000000"/>
              </a:solidFill>
              <a:latin typeface="Arial"/>
              <a:cs typeface="Arial"/>
            </a:rPr>
            <a:t>Uist &amp; Barra Hospital, NHS Western Isles does not have a CT scanner </a:t>
          </a:r>
          <a:r>
            <a:rPr lang="en-GB" sz="800" b="0" i="0" u="none" strike="noStrike" baseline="0">
              <a:solidFill>
                <a:srgbClr val="000000"/>
              </a:solidFill>
              <a:latin typeface="Arial"/>
              <a:cs typeface="Arial"/>
            </a:rPr>
            <a:t>but patients are airlifted to Western Isles Hospital and a proportion may arrive in sufficient time to have brain imaging within 24 hours of admission.</a:t>
          </a:r>
        </a:p>
        <a:p>
          <a:pPr algn="l" rtl="0">
            <a:defRPr sz="1000"/>
          </a:pPr>
          <a:endParaRPr lang="en-GB" sz="800" b="0" i="0" u="none" strike="noStrike" baseline="0">
            <a:solidFill>
              <a:srgbClr val="000000"/>
            </a:solidFill>
            <a:latin typeface="Arial" pitchFamily="34" charset="0"/>
            <a:cs typeface="Arial" pitchFamily="34" charset="0"/>
          </a:endParaRPr>
        </a:p>
        <a:p>
          <a:pPr algn="l" rtl="0">
            <a:defRPr sz="1000"/>
          </a:pPr>
          <a:r>
            <a:rPr lang="en-GB" sz="800" b="0" i="0" baseline="0">
              <a:latin typeface="Arial" pitchFamily="34" charset="0"/>
              <a:ea typeface="+mn-ea"/>
              <a:cs typeface="Arial" pitchFamily="34" charset="0"/>
            </a:rPr>
            <a:t>5. Both </a:t>
          </a:r>
          <a:r>
            <a:rPr lang="en-GB" sz="800" b="1" i="0" baseline="0">
              <a:latin typeface="Arial" pitchFamily="34" charset="0"/>
              <a:ea typeface="+mn-ea"/>
              <a:cs typeface="Arial" pitchFamily="34" charset="0"/>
            </a:rPr>
            <a:t>initial diagnosis </a:t>
          </a:r>
          <a:r>
            <a:rPr lang="en-GB" sz="800" b="0" i="0" baseline="0">
              <a:latin typeface="Arial" pitchFamily="34" charset="0"/>
              <a:ea typeface="+mn-ea"/>
              <a:cs typeface="Arial" pitchFamily="34" charset="0"/>
            </a:rPr>
            <a:t>and </a:t>
          </a:r>
          <a:r>
            <a:rPr lang="en-GB" sz="800" b="1" i="0" baseline="0">
              <a:latin typeface="Arial" pitchFamily="34" charset="0"/>
              <a:ea typeface="+mn-ea"/>
              <a:cs typeface="Arial" pitchFamily="34" charset="0"/>
            </a:rPr>
            <a:t>final diagnosis</a:t>
          </a:r>
          <a:r>
            <a:rPr lang="en-GB" sz="800" b="0" i="0" baseline="0">
              <a:latin typeface="Arial" pitchFamily="34" charset="0"/>
              <a:ea typeface="+mn-ea"/>
              <a:cs typeface="Arial" pitchFamily="34" charset="0"/>
            </a:rPr>
            <a:t> may be recorded in the SSCA data relating, respectively, to whether a patient may be suspected of having had a stroke and whether the stroke diagnosis is confirmed on investigation. The stroke care bundle is currently measured on the basis of initial diagnosis but because the bulk of the annual national report focuses on final diagnosis </a:t>
          </a:r>
          <a:r>
            <a:rPr lang="en-GB" sz="800" b="1" i="0" baseline="0">
              <a:latin typeface="Arial" pitchFamily="34" charset="0"/>
              <a:ea typeface="+mn-ea"/>
              <a:cs typeface="Arial" pitchFamily="34" charset="0"/>
            </a:rPr>
            <a:t>Chart 15b</a:t>
          </a:r>
          <a:r>
            <a:rPr lang="en-GB" sz="800" b="0" i="0" baseline="0">
              <a:latin typeface="Arial" pitchFamily="34" charset="0"/>
              <a:ea typeface="+mn-ea"/>
              <a:cs typeface="Arial" pitchFamily="34" charset="0"/>
            </a:rPr>
            <a:t> offers a comparison of bundle performance for patients with:</a:t>
          </a:r>
        </a:p>
        <a:p>
          <a:pPr algn="l" rtl="0">
            <a:defRPr sz="1000"/>
          </a:pPr>
          <a:r>
            <a:rPr lang="en-GB" sz="800" b="0" i="0" baseline="0">
              <a:latin typeface="Arial" pitchFamily="34" charset="0"/>
              <a:ea typeface="+mn-ea"/>
              <a:cs typeface="Arial" pitchFamily="34" charset="0"/>
            </a:rPr>
            <a:t> - an initial diagnosis of stroke i.e. possible stroke patients who may turn out to have another diagnosis once investigations are complete;</a:t>
          </a:r>
        </a:p>
        <a:p>
          <a:pPr algn="l" rtl="0">
            <a:defRPr sz="1000"/>
          </a:pPr>
          <a:r>
            <a:rPr lang="en-GB" sz="800" b="0" i="0" u="none" strike="noStrike" baseline="0">
              <a:solidFill>
                <a:srgbClr val="000000"/>
              </a:solidFill>
              <a:latin typeface="Arial" pitchFamily="34" charset="0"/>
              <a:ea typeface="+mn-ea"/>
              <a:cs typeface="Arial" pitchFamily="34" charset="0"/>
            </a:rPr>
            <a:t> - a final diagnosis of stroke i.e. patients confirmed as having had strokes when their initial diagnosis may have been considered as something else;</a:t>
          </a:r>
        </a:p>
        <a:p>
          <a:pPr algn="l" rtl="0">
            <a:defRPr sz="1000"/>
          </a:pPr>
          <a:r>
            <a:rPr lang="en-GB" sz="800" b="0" i="0" u="none" strike="noStrike" baseline="0">
              <a:solidFill>
                <a:srgbClr val="000000"/>
              </a:solidFill>
              <a:latin typeface="Arial" pitchFamily="34" charset="0"/>
              <a:ea typeface="+mn-ea"/>
              <a:cs typeface="Arial" pitchFamily="34" charset="0"/>
            </a:rPr>
            <a:t> - an initial diagnosis </a:t>
          </a:r>
          <a:r>
            <a:rPr lang="en-GB" sz="800" b="1" i="0" u="none" strike="noStrike" baseline="0">
              <a:solidFill>
                <a:srgbClr val="000000"/>
              </a:solidFill>
              <a:latin typeface="Arial" pitchFamily="34" charset="0"/>
              <a:ea typeface="+mn-ea"/>
              <a:cs typeface="Arial" pitchFamily="34" charset="0"/>
            </a:rPr>
            <a:t>and</a:t>
          </a:r>
          <a:r>
            <a:rPr lang="en-GB" sz="800" b="0" i="0" u="none" strike="noStrike" baseline="0">
              <a:solidFill>
                <a:srgbClr val="000000"/>
              </a:solidFill>
              <a:latin typeface="Arial" pitchFamily="34" charset="0"/>
              <a:ea typeface="+mn-ea"/>
              <a:cs typeface="Arial" pitchFamily="34" charset="0"/>
            </a:rPr>
            <a:t> final diagnosis of stroke i.e. patients suspected of having had a stroke who have this diagnosis confirmed on investigation.</a:t>
          </a:r>
          <a:endParaRPr lang="en-GB" sz="800" b="0" i="0" u="none" strike="noStrike" baseline="0">
            <a:solidFill>
              <a:srgbClr val="000000"/>
            </a:solidFill>
            <a:latin typeface="Arial" pitchFamily="34" charset="0"/>
            <a:cs typeface="Arial" pitchFamily="34" charset="0"/>
          </a:endParaRPr>
        </a:p>
      </xdr:txBody>
    </xdr:sp>
    <xdr:clientData/>
  </xdr:twoCellAnchor>
  <xdr:twoCellAnchor editAs="absolute">
    <xdr:from>
      <xdr:col>15</xdr:col>
      <xdr:colOff>28575</xdr:colOff>
      <xdr:row>6</xdr:row>
      <xdr:rowOff>85724</xdr:rowOff>
    </xdr:from>
    <xdr:to>
      <xdr:col>15</xdr:col>
      <xdr:colOff>590550</xdr:colOff>
      <xdr:row>15</xdr:row>
      <xdr:rowOff>85724</xdr:rowOff>
    </xdr:to>
    <xdr:sp macro="" textlink="">
      <xdr:nvSpPr>
        <xdr:cNvPr id="7" name="Text Box 3"/>
        <xdr:cNvSpPr txBox="1">
          <a:spLocks noChangeArrowheads="1"/>
        </xdr:cNvSpPr>
      </xdr:nvSpPr>
      <xdr:spPr bwMode="auto">
        <a:xfrm>
          <a:off x="8677275" y="1123949"/>
          <a:ext cx="561975" cy="1457325"/>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footnote</a:t>
          </a:r>
          <a:r>
            <a:rPr lang="en-GB" sz="800" b="0" i="0" strike="noStrike" baseline="0">
              <a:solidFill>
                <a:srgbClr val="000000"/>
              </a:solidFill>
              <a:latin typeface="Arial"/>
              <a:cs typeface="Arial"/>
            </a:rPr>
            <a:t> number 5 which explains the difference between initial and final diagnosis</a:t>
          </a:r>
          <a:endParaRPr lang="en-GB" sz="800" b="0" i="0" strike="noStrike">
            <a:solidFill>
              <a:srgbClr val="000000"/>
            </a:solidFill>
            <a:latin typeface="Arial"/>
            <a:cs typeface="Arial"/>
          </a:endParaRPr>
        </a:p>
      </xdr:txBody>
    </xdr:sp>
    <xdr:clientData/>
  </xdr:twoCellAnchor>
  <xdr:twoCellAnchor editAs="absolute">
    <xdr:from>
      <xdr:col>15</xdr:col>
      <xdr:colOff>323850</xdr:colOff>
      <xdr:row>15</xdr:row>
      <xdr:rowOff>85725</xdr:rowOff>
    </xdr:from>
    <xdr:to>
      <xdr:col>15</xdr:col>
      <xdr:colOff>323850</xdr:colOff>
      <xdr:row>17</xdr:row>
      <xdr:rowOff>85725</xdr:rowOff>
    </xdr:to>
    <xdr:sp macro="" textlink="">
      <xdr:nvSpPr>
        <xdr:cNvPr id="8" name="Line 2"/>
        <xdr:cNvSpPr>
          <a:spLocks noChangeShapeType="1"/>
        </xdr:cNvSpPr>
      </xdr:nvSpPr>
      <xdr:spPr bwMode="auto">
        <a:xfrm>
          <a:off x="8972550" y="2581275"/>
          <a:ext cx="0" cy="323850"/>
        </a:xfrm>
        <a:prstGeom prst="line">
          <a:avLst/>
        </a:prstGeom>
        <a:noFill/>
        <a:ln w="9525">
          <a:solidFill>
            <a:srgbClr val="000000"/>
          </a:solidFill>
          <a:round/>
          <a:headEnd/>
          <a:tailEnd type="triangle" w="med" len="med"/>
        </a:ln>
      </xdr:spPr>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28575</xdr:colOff>
      <xdr:row>5</xdr:row>
      <xdr:rowOff>0</xdr:rowOff>
    </xdr:from>
    <xdr:to>
      <xdr:col>9</xdr:col>
      <xdr:colOff>419100</xdr:colOff>
      <xdr:row>32</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66675</xdr:rowOff>
    </xdr:from>
    <xdr:to>
      <xdr:col>1</xdr:col>
      <xdr:colOff>276225</xdr:colOff>
      <xdr:row>3</xdr:row>
      <xdr:rowOff>28575</xdr:rowOff>
    </xdr:to>
    <xdr:sp macro="" textlink="">
      <xdr:nvSpPr>
        <xdr:cNvPr id="3" name="Rectangle 2"/>
        <xdr:cNvSpPr/>
      </xdr:nvSpPr>
      <xdr:spPr>
        <a:xfrm>
          <a:off x="219075" y="3905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57150</xdr:rowOff>
    </xdr:from>
    <xdr:to>
      <xdr:col>1</xdr:col>
      <xdr:colOff>276225</xdr:colOff>
      <xdr:row>4</xdr:row>
      <xdr:rowOff>19050</xdr:rowOff>
    </xdr:to>
    <xdr:sp macro="" textlink="">
      <xdr:nvSpPr>
        <xdr:cNvPr id="4" name="Rectangle 3"/>
        <xdr:cNvSpPr/>
      </xdr:nvSpPr>
      <xdr:spPr>
        <a:xfrm>
          <a:off x="219075" y="5429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209550</xdr:colOff>
      <xdr:row>18</xdr:row>
      <xdr:rowOff>85725</xdr:rowOff>
    </xdr:from>
    <xdr:to>
      <xdr:col>9</xdr:col>
      <xdr:colOff>333374</xdr:colOff>
      <xdr:row>24</xdr:row>
      <xdr:rowOff>123825</xdr:rowOff>
    </xdr:to>
    <xdr:sp macro="" textlink="">
      <xdr:nvSpPr>
        <xdr:cNvPr id="5" name="TextBox 4"/>
        <xdr:cNvSpPr txBox="1"/>
      </xdr:nvSpPr>
      <xdr:spPr>
        <a:xfrm>
          <a:off x="7724775" y="3000375"/>
          <a:ext cx="838199"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800" i="1">
              <a:latin typeface="Arial" pitchFamily="34" charset="0"/>
              <a:cs typeface="Arial" pitchFamily="34" charset="0"/>
            </a:rPr>
            <a:t>* Note that some percentages are based on very small denominators</a:t>
          </a:r>
        </a:p>
      </xdr:txBody>
    </xdr:sp>
    <xdr:clientData/>
  </xdr:twoCellAnchor>
  <xdr:twoCellAnchor editAs="absolute">
    <xdr:from>
      <xdr:col>9</xdr:col>
      <xdr:colOff>438150</xdr:colOff>
      <xdr:row>5</xdr:row>
      <xdr:rowOff>9525</xdr:rowOff>
    </xdr:from>
    <xdr:to>
      <xdr:col>10</xdr:col>
      <xdr:colOff>266700</xdr:colOff>
      <xdr:row>11</xdr:row>
      <xdr:rowOff>85725</xdr:rowOff>
    </xdr:to>
    <xdr:sp macro="" textlink="">
      <xdr:nvSpPr>
        <xdr:cNvPr id="6" name="Text Box 3"/>
        <xdr:cNvSpPr txBox="1">
          <a:spLocks noChangeArrowheads="1"/>
        </xdr:cNvSpPr>
      </xdr:nvSpPr>
      <xdr:spPr bwMode="auto">
        <a:xfrm>
          <a:off x="8667750"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9525</xdr:colOff>
      <xdr:row>11</xdr:row>
      <xdr:rowOff>85725</xdr:rowOff>
    </xdr:from>
    <xdr:to>
      <xdr:col>10</xdr:col>
      <xdr:colOff>9525</xdr:colOff>
      <xdr:row>13</xdr:row>
      <xdr:rowOff>85725</xdr:rowOff>
    </xdr:to>
    <xdr:sp macro="" textlink="">
      <xdr:nvSpPr>
        <xdr:cNvPr id="7" name="Line 2"/>
        <xdr:cNvSpPr>
          <a:spLocks noChangeShapeType="1"/>
        </xdr:cNvSpPr>
      </xdr:nvSpPr>
      <xdr:spPr bwMode="auto">
        <a:xfrm>
          <a:off x="8953500" y="1866900"/>
          <a:ext cx="0" cy="323850"/>
        </a:xfrm>
        <a:prstGeom prst="line">
          <a:avLst/>
        </a:prstGeom>
        <a:noFill/>
        <a:ln w="9525">
          <a:solidFill>
            <a:srgbClr val="000000"/>
          </a:solidFill>
          <a:round/>
          <a:headEnd/>
          <a:tailEnd type="triangle" w="med" len="med"/>
        </a:ln>
      </xdr:spPr>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28575</xdr:colOff>
      <xdr:row>5</xdr:row>
      <xdr:rowOff>0</xdr:rowOff>
    </xdr:from>
    <xdr:to>
      <xdr:col>9</xdr:col>
      <xdr:colOff>419100</xdr:colOff>
      <xdr:row>32</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2</xdr:row>
      <xdr:rowOff>66675</xdr:rowOff>
    </xdr:from>
    <xdr:to>
      <xdr:col>1</xdr:col>
      <xdr:colOff>276225</xdr:colOff>
      <xdr:row>3</xdr:row>
      <xdr:rowOff>28575</xdr:rowOff>
    </xdr:to>
    <xdr:sp macro="" textlink="">
      <xdr:nvSpPr>
        <xdr:cNvPr id="3" name="Rectangle 2"/>
        <xdr:cNvSpPr/>
      </xdr:nvSpPr>
      <xdr:spPr>
        <a:xfrm>
          <a:off x="219075" y="39052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3</xdr:row>
      <xdr:rowOff>57150</xdr:rowOff>
    </xdr:from>
    <xdr:to>
      <xdr:col>1</xdr:col>
      <xdr:colOff>276225</xdr:colOff>
      <xdr:row>4</xdr:row>
      <xdr:rowOff>19050</xdr:rowOff>
    </xdr:to>
    <xdr:sp macro="" textlink="">
      <xdr:nvSpPr>
        <xdr:cNvPr id="4" name="Rectangle 3"/>
        <xdr:cNvSpPr/>
      </xdr:nvSpPr>
      <xdr:spPr>
        <a:xfrm>
          <a:off x="219075" y="542925"/>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8</xdr:col>
      <xdr:colOff>209550</xdr:colOff>
      <xdr:row>18</xdr:row>
      <xdr:rowOff>85725</xdr:rowOff>
    </xdr:from>
    <xdr:to>
      <xdr:col>9</xdr:col>
      <xdr:colOff>333374</xdr:colOff>
      <xdr:row>24</xdr:row>
      <xdr:rowOff>123825</xdr:rowOff>
    </xdr:to>
    <xdr:sp macro="" textlink="">
      <xdr:nvSpPr>
        <xdr:cNvPr id="5" name="TextBox 4"/>
        <xdr:cNvSpPr txBox="1"/>
      </xdr:nvSpPr>
      <xdr:spPr>
        <a:xfrm>
          <a:off x="7724775" y="3000375"/>
          <a:ext cx="838199"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800" i="1">
              <a:latin typeface="Arial" pitchFamily="34" charset="0"/>
              <a:cs typeface="Arial" pitchFamily="34" charset="0"/>
            </a:rPr>
            <a:t>* Note that some percentages are based on very small denominators</a:t>
          </a:r>
        </a:p>
      </xdr:txBody>
    </xdr:sp>
    <xdr:clientData/>
  </xdr:twoCellAnchor>
  <xdr:twoCellAnchor editAs="absolute">
    <xdr:from>
      <xdr:col>9</xdr:col>
      <xdr:colOff>438150</xdr:colOff>
      <xdr:row>5</xdr:row>
      <xdr:rowOff>9525</xdr:rowOff>
    </xdr:from>
    <xdr:to>
      <xdr:col>10</xdr:col>
      <xdr:colOff>266700</xdr:colOff>
      <xdr:row>11</xdr:row>
      <xdr:rowOff>85725</xdr:rowOff>
    </xdr:to>
    <xdr:sp macro="" textlink="">
      <xdr:nvSpPr>
        <xdr:cNvPr id="6" name="Text Box 3"/>
        <xdr:cNvSpPr txBox="1">
          <a:spLocks noChangeArrowheads="1"/>
        </xdr:cNvSpPr>
      </xdr:nvSpPr>
      <xdr:spPr bwMode="auto">
        <a:xfrm>
          <a:off x="8667750" y="819150"/>
          <a:ext cx="542925" cy="1047750"/>
        </a:xfrm>
        <a:prstGeom prst="rect">
          <a:avLst/>
        </a:prstGeom>
        <a:solidFill>
          <a:srgbClr val="FFFFFF"/>
        </a:solidFill>
        <a:ln w="9525" cap="rnd">
          <a:solidFill>
            <a:srgbClr val="000000"/>
          </a:solidFill>
          <a:prstDash val="sysDot"/>
          <a:miter lim="800000"/>
          <a:headEnd/>
          <a:tailEnd/>
        </a:ln>
      </xdr:spPr>
      <xdr:txBody>
        <a:bodyPr vertOverflow="clip" wrap="square" lIns="27432" tIns="22860" rIns="27432" bIns="22860" anchor="ctr" upright="1"/>
        <a:lstStyle/>
        <a:p>
          <a:pPr algn="ctr" rtl="1">
            <a:defRPr sz="1000"/>
          </a:pPr>
          <a:r>
            <a:rPr lang="en-GB" sz="800" b="0" i="0" strike="noStrike">
              <a:solidFill>
                <a:srgbClr val="000000"/>
              </a:solidFill>
              <a:latin typeface="Arial"/>
              <a:cs typeface="Arial"/>
            </a:rPr>
            <a:t>scroll down for source data upon which chart is based</a:t>
          </a:r>
        </a:p>
      </xdr:txBody>
    </xdr:sp>
    <xdr:clientData/>
  </xdr:twoCellAnchor>
  <xdr:twoCellAnchor editAs="absolute">
    <xdr:from>
      <xdr:col>10</xdr:col>
      <xdr:colOff>9525</xdr:colOff>
      <xdr:row>11</xdr:row>
      <xdr:rowOff>85725</xdr:rowOff>
    </xdr:from>
    <xdr:to>
      <xdr:col>10</xdr:col>
      <xdr:colOff>9525</xdr:colOff>
      <xdr:row>13</xdr:row>
      <xdr:rowOff>85725</xdr:rowOff>
    </xdr:to>
    <xdr:sp macro="" textlink="">
      <xdr:nvSpPr>
        <xdr:cNvPr id="7" name="Line 2"/>
        <xdr:cNvSpPr>
          <a:spLocks noChangeShapeType="1"/>
        </xdr:cNvSpPr>
      </xdr:nvSpPr>
      <xdr:spPr bwMode="auto">
        <a:xfrm>
          <a:off x="8953500" y="1866900"/>
          <a:ext cx="0" cy="323850"/>
        </a:xfrm>
        <a:prstGeom prst="line">
          <a:avLst/>
        </a:prstGeom>
        <a:noFill/>
        <a:ln w="9525">
          <a:solidFill>
            <a:srgbClr val="000000"/>
          </a:solidFill>
          <a:round/>
          <a:headEnd/>
          <a:tailEnd type="triangle" w="med" len="med"/>
        </a:ln>
      </xdr:spPr>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45357</xdr:colOff>
      <xdr:row>1</xdr:row>
      <xdr:rowOff>56696</xdr:rowOff>
    </xdr:from>
    <xdr:to>
      <xdr:col>14</xdr:col>
      <xdr:colOff>107882</xdr:colOff>
      <xdr:row>32</xdr:row>
      <xdr:rowOff>79374</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5357" y="249464"/>
          <a:ext cx="8181454" cy="5998481"/>
        </a:xfrm>
        <a:prstGeom prst="rect">
          <a:avLst/>
        </a:prstGeom>
        <a:noFill/>
      </xdr:spPr>
    </xdr:pic>
    <xdr:clientData/>
  </xdr:twoCellAnchor>
  <xdr:twoCellAnchor editAs="oneCell">
    <xdr:from>
      <xdr:col>11</xdr:col>
      <xdr:colOff>396875</xdr:colOff>
      <xdr:row>23</xdr:row>
      <xdr:rowOff>124732</xdr:rowOff>
    </xdr:from>
    <xdr:to>
      <xdr:col>13</xdr:col>
      <xdr:colOff>213178</xdr:colOff>
      <xdr:row>28</xdr:row>
      <xdr:rowOff>143782</xdr:rowOff>
    </xdr:to>
    <xdr:pic>
      <xdr:nvPicPr>
        <xdr:cNvPr id="1046"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6678839" y="4558393"/>
          <a:ext cx="1040946" cy="982889"/>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13</xdr:col>
      <xdr:colOff>514350</xdr:colOff>
      <xdr:row>23</xdr:row>
      <xdr:rowOff>123825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76225" y="333375"/>
          <a:ext cx="7715250" cy="4171950"/>
        </a:xfrm>
        <a:prstGeom prst="rect">
          <a:avLst/>
        </a:prstGeom>
        <a:noFill/>
      </xdr:spPr>
    </xdr:pic>
    <xdr:clientData/>
  </xdr:twoCellAnchor>
  <xdr:twoCellAnchor editAs="oneCell">
    <xdr:from>
      <xdr:col>10</xdr:col>
      <xdr:colOff>342900</xdr:colOff>
      <xdr:row>17</xdr:row>
      <xdr:rowOff>0</xdr:rowOff>
    </xdr:from>
    <xdr:to>
      <xdr:col>12</xdr:col>
      <xdr:colOff>164646</xdr:colOff>
      <xdr:row>21</xdr:row>
      <xdr:rowOff>114300</xdr:rowOff>
    </xdr:to>
    <xdr:pic>
      <xdr:nvPicPr>
        <xdr:cNvPr id="7" name="Picture 22"/>
        <xdr:cNvPicPr>
          <a:picLocks noChangeAspect="1" noChangeArrowheads="1"/>
        </xdr:cNvPicPr>
      </xdr:nvPicPr>
      <xdr:blipFill>
        <a:blip xmlns:r="http://schemas.openxmlformats.org/officeDocument/2006/relationships" r:embed="rId2" cstate="print"/>
        <a:srcRect/>
        <a:stretch>
          <a:fillRect/>
        </a:stretch>
      </xdr:blipFill>
      <xdr:spPr bwMode="auto">
        <a:xfrm>
          <a:off x="5991225" y="3238500"/>
          <a:ext cx="1040946" cy="876300"/>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190500</xdr:colOff>
      <xdr:row>29</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6</xdr:row>
      <xdr:rowOff>85725</xdr:rowOff>
    </xdr:from>
    <xdr:to>
      <xdr:col>15</xdr:col>
      <xdr:colOff>0</xdr:colOff>
      <xdr:row>34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66676</xdr:rowOff>
    </xdr:from>
    <xdr:to>
      <xdr:col>15</xdr:col>
      <xdr:colOff>0</xdr:colOff>
      <xdr:row>56</xdr:row>
      <xdr:rowOff>1</xdr:rowOff>
    </xdr:to>
    <xdr:sp macro="" textlink="">
      <xdr:nvSpPr>
        <xdr:cNvPr id="3" name="TextBox 2"/>
        <xdr:cNvSpPr txBox="1">
          <a:spLocks noChangeArrowheads="1"/>
        </xdr:cNvSpPr>
      </xdr:nvSpPr>
      <xdr:spPr bwMode="auto">
        <a:xfrm>
          <a:off x="114300" y="5800726"/>
          <a:ext cx="8534400" cy="3333750"/>
        </a:xfrm>
        <a:prstGeom prst="rect">
          <a:avLst/>
        </a:prstGeom>
        <a:solidFill>
          <a:srgbClr val="FFFFFF"/>
        </a:solidFill>
        <a:ln w="9525">
          <a:solidFill>
            <a:srgbClr val="BCBCBC"/>
          </a:solidFill>
          <a:miter lim="800000"/>
          <a:headEnd/>
          <a:tailEnd/>
        </a:ln>
      </xdr:spPr>
      <xdr:txBody>
        <a:bodyPr vertOverflow="clip" wrap="square" lIns="27432" tIns="22860" rIns="0" bIns="0" anchor="t" upright="1"/>
        <a:lstStyle/>
        <a:p>
          <a:pPr algn="l" rtl="0">
            <a:defRPr sz="1000"/>
          </a:pPr>
          <a:r>
            <a:rPr lang="en-GB" sz="800" b="1" i="0" u="none" strike="noStrike" baseline="0">
              <a:solidFill>
                <a:srgbClr val="000000"/>
              </a:solidFill>
              <a:latin typeface="Arial"/>
              <a:cs typeface="Arial"/>
            </a:rPr>
            <a:t>Notes regarding Chart 1b</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1.  </a:t>
          </a:r>
          <a:r>
            <a:rPr lang="en-GB" sz="800" b="1" i="0" u="none" strike="noStrike" baseline="0">
              <a:solidFill>
                <a:srgbClr val="000000"/>
              </a:solidFill>
              <a:latin typeface="Arial"/>
              <a:cs typeface="Arial"/>
            </a:rPr>
            <a:t>A 'bundle' involves a group of specific interventions/ processes of care that significantly improve patient outcome if done together rather than separately and this also improves the  consistency with which patients are managed</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2.  Due to the number of beds within some hospitals in the Health Boards indicated (*) and the small numbers of stroke admissions to these hospitals </a:t>
          </a:r>
          <a:r>
            <a:rPr lang="en-GB" sz="800" b="1" i="0" u="none" strike="noStrike" baseline="0">
              <a:solidFill>
                <a:srgbClr val="000000"/>
              </a:solidFill>
              <a:latin typeface="Arial"/>
              <a:cs typeface="Arial"/>
            </a:rPr>
            <a:t>it is not practical to have a defined Stroke Unit. </a:t>
          </a:r>
          <a:r>
            <a:rPr lang="en-GB" sz="800" b="0" i="0" u="none" strike="noStrike" baseline="0">
              <a:solidFill>
                <a:srgbClr val="000000"/>
              </a:solidFill>
              <a:latin typeface="Arial"/>
              <a:cs typeface="Arial"/>
            </a:rPr>
            <a:t>We have confirmed however that a defined stroke pathway is in place in these hospitals and that the Scottish Stroke Care Standard criteria are established within that pathway.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3. Balfour Hospital, NHS Orkney, implemented a CT scanning service during 2015. Prior to the introduction of this service, patients were airlifted to Aberdeen Royal Infirmary and a proportion may have arrived in sufficient time to have brain imaging within 24 hours of admission.</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4. </a:t>
          </a:r>
          <a:r>
            <a:rPr lang="en-GB" sz="800" b="1" i="0" u="none" strike="noStrike" baseline="0">
              <a:solidFill>
                <a:srgbClr val="000000"/>
              </a:solidFill>
              <a:latin typeface="Arial"/>
              <a:cs typeface="Arial"/>
            </a:rPr>
            <a:t>Uist &amp; Barra Hospital, NHS Western Isles does not have a CT scanner </a:t>
          </a:r>
          <a:r>
            <a:rPr lang="en-GB" sz="800" b="0" i="0" u="none" strike="noStrike" baseline="0">
              <a:solidFill>
                <a:srgbClr val="000000"/>
              </a:solidFill>
              <a:latin typeface="Arial"/>
              <a:cs typeface="Arial"/>
            </a:rPr>
            <a:t>but patients are airlifted to Western Isles Hospital and a proportion may arrive in sufficient time to have brain imaging within 24 hours of admission.</a:t>
          </a:r>
        </a:p>
        <a:p>
          <a:pPr algn="l" rtl="0">
            <a:defRPr sz="1000"/>
          </a:pPr>
          <a:endParaRPr lang="en-GB" sz="800" b="0" i="0" u="none" strike="noStrike" baseline="0">
            <a:solidFill>
              <a:srgbClr val="000000"/>
            </a:solidFill>
            <a:latin typeface="Arial"/>
            <a:cs typeface="Arial"/>
          </a:endParaRPr>
        </a:p>
      </xdr:txBody>
    </xdr:sp>
    <xdr:clientData/>
  </xdr:twoCellAnchor>
  <xdr:twoCellAnchor>
    <xdr:from>
      <xdr:col>1</xdr:col>
      <xdr:colOff>57150</xdr:colOff>
      <xdr:row>4</xdr:row>
      <xdr:rowOff>0</xdr:rowOff>
    </xdr:from>
    <xdr:to>
      <xdr:col>1</xdr:col>
      <xdr:colOff>228600</xdr:colOff>
      <xdr:row>4</xdr:row>
      <xdr:rowOff>123825</xdr:rowOff>
    </xdr:to>
    <xdr:sp macro="" textlink="">
      <xdr:nvSpPr>
        <xdr:cNvPr id="4" name="Rectangle 3"/>
        <xdr:cNvSpPr/>
      </xdr:nvSpPr>
      <xdr:spPr>
        <a:xfrm>
          <a:off x="171450" y="6000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5</xdr:row>
      <xdr:rowOff>0</xdr:rowOff>
    </xdr:from>
    <xdr:to>
      <xdr:col>1</xdr:col>
      <xdr:colOff>228600</xdr:colOff>
      <xdr:row>5</xdr:row>
      <xdr:rowOff>123825</xdr:rowOff>
    </xdr:to>
    <xdr:sp macro="" textlink="">
      <xdr:nvSpPr>
        <xdr:cNvPr id="5" name="Rectangle 4"/>
        <xdr:cNvSpPr/>
      </xdr:nvSpPr>
      <xdr:spPr>
        <a:xfrm>
          <a:off x="171450" y="7620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4</xdr:row>
      <xdr:rowOff>0</xdr:rowOff>
    </xdr:from>
    <xdr:to>
      <xdr:col>15</xdr:col>
      <xdr:colOff>190500</xdr:colOff>
      <xdr:row>26</xdr:row>
      <xdr:rowOff>142876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6</xdr:row>
      <xdr:rowOff>85725</xdr:rowOff>
    </xdr:from>
    <xdr:to>
      <xdr:col>15</xdr:col>
      <xdr:colOff>0</xdr:colOff>
      <xdr:row>34</xdr:row>
      <xdr:rowOff>152400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57150</xdr:rowOff>
    </xdr:from>
    <xdr:to>
      <xdr:col>15</xdr:col>
      <xdr:colOff>0</xdr:colOff>
      <xdr:row>59</xdr:row>
      <xdr:rowOff>9525</xdr:rowOff>
    </xdr:to>
    <xdr:sp macro="" textlink="">
      <xdr:nvSpPr>
        <xdr:cNvPr id="3" name="TextBox 2"/>
        <xdr:cNvSpPr txBox="1">
          <a:spLocks noChangeArrowheads="1"/>
        </xdr:cNvSpPr>
      </xdr:nvSpPr>
      <xdr:spPr bwMode="auto">
        <a:xfrm>
          <a:off x="114300" y="5791200"/>
          <a:ext cx="8534400" cy="3838575"/>
        </a:xfrm>
        <a:prstGeom prst="rect">
          <a:avLst/>
        </a:prstGeom>
        <a:solidFill>
          <a:srgbClr val="FFFFFF"/>
        </a:solidFill>
        <a:ln w="9525">
          <a:solidFill>
            <a:srgbClr val="BCBCBC"/>
          </a:solidFill>
          <a:miter lim="800000"/>
          <a:headEnd/>
          <a:tailEnd/>
        </a:ln>
      </xdr:spPr>
      <xdr:txBody>
        <a:bodyPr vertOverflow="clip" wrap="square" lIns="27432" tIns="22860" rIns="0" bIns="0" anchor="t" upright="1"/>
        <a:lstStyle/>
        <a:p>
          <a:pPr algn="l" rtl="0">
            <a:defRPr sz="1000"/>
          </a:pPr>
          <a:r>
            <a:rPr lang="en-GB" sz="800" b="1" i="0" u="none" strike="noStrike" baseline="0">
              <a:solidFill>
                <a:srgbClr val="000000"/>
              </a:solidFill>
              <a:latin typeface="Arial"/>
              <a:cs typeface="Arial"/>
            </a:rPr>
            <a:t>Notes regarding Chart 1b (final diagnosis)</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1.  </a:t>
          </a:r>
          <a:r>
            <a:rPr lang="en-GB" sz="800" b="1" i="0" u="none" strike="noStrike" baseline="0">
              <a:solidFill>
                <a:srgbClr val="000000"/>
              </a:solidFill>
              <a:latin typeface="Arial"/>
              <a:cs typeface="Arial"/>
            </a:rPr>
            <a:t>A 'bundle' involves a group of specific interventions/ processes of care that significantly improve patient outcome if done together rather than separately and this also improves the  consistency with which patients are managed</a:t>
          </a:r>
          <a:r>
            <a:rPr lang="en-GB" sz="800" b="0" i="0" u="none" strike="noStrike" baseline="0">
              <a:solidFill>
                <a:srgbClr val="000000"/>
              </a:solidFill>
              <a:latin typeface="Arial"/>
              <a:cs typeface="Arial"/>
            </a:rPr>
            <a:t>.</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The Stroke Care Bundle involves four components: admission to a Stroke Unit, swallow screen, brain scan and aspirin. Not all patients are eligible for all four components. An aspirin allergy, for example, would preclude the prescribing of aspirin, so the term 'appropriate' refers to patients receiving the components for which they were eligible. A flow chart in Appendix B of this report describes the different categories of bundle depending on patients' eligibility.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For the specific components, exclusions are as follows: (1) Stroke Unit admission excludes patients with in-hospital strokes, patients transferred in from another acute hospital or patients discharged within 1 day of admission to hospital (2) aspirin excludes patients with valid contraindications to aspirin and also those receiving a 'non-stroke' final diagnosis who are discharged within 1 day of admission to hospital.</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In measuring the proportion of patients receiving an 'appropriate' bundle, patients ineligible for, and therefore not receiving, specific components of the bundle are counted as having received their appropriate bundle provided they received the remaining components for which they were eligible.</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2.  Due to the number of beds within some hospitals in the Health Boards indicated (*) and the small numbers of stroke admissions to these hospitals </a:t>
          </a:r>
          <a:r>
            <a:rPr lang="en-GB" sz="800" b="1" i="0" u="none" strike="noStrike" baseline="0">
              <a:solidFill>
                <a:srgbClr val="000000"/>
              </a:solidFill>
              <a:latin typeface="Arial"/>
              <a:cs typeface="Arial"/>
            </a:rPr>
            <a:t>it is not practical to have a defined Stroke Unit. </a:t>
          </a:r>
          <a:r>
            <a:rPr lang="en-GB" sz="800" b="0" i="0" u="none" strike="noStrike" baseline="0">
              <a:solidFill>
                <a:srgbClr val="000000"/>
              </a:solidFill>
              <a:latin typeface="Arial"/>
              <a:cs typeface="Arial"/>
            </a:rPr>
            <a:t>We have confirmed however that a defined stroke pathway is in place in these hospitals and that the Scottish Stroke Care Standard criteria are established within that pathway.</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3. Balfour Hospital, NHS Orkney, implemented a CT scanning service during 2015. Prior to the introduction of this service, patients were airlifted to Aberdeen Royal Infirmary and a proportion may have arrived in sufficient time to have brain imaging within 24 hours of admission.</a:t>
          </a:r>
        </a:p>
        <a:p>
          <a:pPr algn="l" rtl="0">
            <a:defRPr sz="1000"/>
          </a:pPr>
          <a:endParaRPr lang="en-GB" sz="800" b="0" i="0" u="none" strike="noStrike" baseline="0">
            <a:solidFill>
              <a:srgbClr val="000000"/>
            </a:solidFill>
            <a:latin typeface="Arial"/>
            <a:cs typeface="Arial"/>
          </a:endParaRPr>
        </a:p>
        <a:p>
          <a:pPr algn="l" rtl="0">
            <a:defRPr sz="1000"/>
          </a:pPr>
          <a:r>
            <a:rPr lang="en-GB" sz="800" b="0" i="0" u="none" strike="noStrike" baseline="0">
              <a:solidFill>
                <a:srgbClr val="000000"/>
              </a:solidFill>
              <a:latin typeface="Arial"/>
              <a:cs typeface="Arial"/>
            </a:rPr>
            <a:t>4. </a:t>
          </a:r>
          <a:r>
            <a:rPr lang="en-GB" sz="800" b="1" i="0" u="none" strike="noStrike" baseline="0">
              <a:solidFill>
                <a:srgbClr val="000000"/>
              </a:solidFill>
              <a:latin typeface="Arial"/>
              <a:cs typeface="Arial"/>
            </a:rPr>
            <a:t>Uist &amp; Barra Hospital, NHS Western Isles does not have a CT scanner </a:t>
          </a:r>
          <a:r>
            <a:rPr lang="en-GB" sz="800" b="0" i="0" u="none" strike="noStrike" baseline="0">
              <a:solidFill>
                <a:srgbClr val="000000"/>
              </a:solidFill>
              <a:latin typeface="Arial"/>
              <a:cs typeface="Arial"/>
            </a:rPr>
            <a:t>but patients are airlifted to Western Isles Hospital and a proportion may arrive in sufficient time to have brain imaging within 24 hours of admission.</a:t>
          </a:r>
        </a:p>
        <a:p>
          <a:pPr algn="l" rtl="0">
            <a:defRPr sz="1000"/>
          </a:pPr>
          <a:endParaRPr lang="en-GB" sz="800" b="0" i="0" u="none" strike="noStrike" baseline="0">
            <a:solidFill>
              <a:srgbClr val="000000"/>
            </a:solidFill>
            <a:latin typeface="Arial"/>
            <a:cs typeface="Arial"/>
          </a:endParaRPr>
        </a:p>
      </xdr:txBody>
    </xdr:sp>
    <xdr:clientData/>
  </xdr:twoCellAnchor>
  <xdr:twoCellAnchor>
    <xdr:from>
      <xdr:col>1</xdr:col>
      <xdr:colOff>57150</xdr:colOff>
      <xdr:row>4</xdr:row>
      <xdr:rowOff>0</xdr:rowOff>
    </xdr:from>
    <xdr:to>
      <xdr:col>1</xdr:col>
      <xdr:colOff>228600</xdr:colOff>
      <xdr:row>4</xdr:row>
      <xdr:rowOff>123825</xdr:rowOff>
    </xdr:to>
    <xdr:sp macro="" textlink="">
      <xdr:nvSpPr>
        <xdr:cNvPr id="4" name="Rectangle 3"/>
        <xdr:cNvSpPr/>
      </xdr:nvSpPr>
      <xdr:spPr>
        <a:xfrm>
          <a:off x="171450" y="714375"/>
          <a:ext cx="171450" cy="123825"/>
        </a:xfrm>
        <a:prstGeom prst="rect">
          <a:avLst/>
        </a:prstGeom>
        <a:solidFill>
          <a:srgbClr val="99CC00"/>
        </a:solidFill>
        <a:ln>
          <a:solidFill>
            <a:srgbClr val="99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57150</xdr:colOff>
      <xdr:row>5</xdr:row>
      <xdr:rowOff>0</xdr:rowOff>
    </xdr:from>
    <xdr:to>
      <xdr:col>1</xdr:col>
      <xdr:colOff>228600</xdr:colOff>
      <xdr:row>5</xdr:row>
      <xdr:rowOff>123825</xdr:rowOff>
    </xdr:to>
    <xdr:sp macro="" textlink="">
      <xdr:nvSpPr>
        <xdr:cNvPr id="5" name="Rectangle 4"/>
        <xdr:cNvSpPr/>
      </xdr:nvSpPr>
      <xdr:spPr>
        <a:xfrm>
          <a:off x="171450" y="876300"/>
          <a:ext cx="171450" cy="123825"/>
        </a:xfrm>
        <a:prstGeom prst="rect">
          <a:avLst/>
        </a:prstGeom>
        <a:solidFill>
          <a:srgbClr val="008000"/>
        </a:solidFill>
        <a:ln>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xdr:colOff>
      <xdr:row>4</xdr:row>
      <xdr:rowOff>9525</xdr:rowOff>
    </xdr:from>
    <xdr:to>
      <xdr:col>13</xdr:col>
      <xdr:colOff>571500</xdr:colOff>
      <xdr:row>29</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xdr:colOff>
      <xdr:row>4</xdr:row>
      <xdr:rowOff>9525</xdr:rowOff>
    </xdr:from>
    <xdr:to>
      <xdr:col>13</xdr:col>
      <xdr:colOff>571500</xdr:colOff>
      <xdr:row>29</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00350"/>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29</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28575</xdr:colOff>
      <xdr:row>16</xdr:row>
      <xdr:rowOff>95250</xdr:rowOff>
    </xdr:from>
    <xdr:to>
      <xdr:col>14</xdr:col>
      <xdr:colOff>561975</xdr:colOff>
      <xdr:row>16</xdr:row>
      <xdr:rowOff>95250</xdr:rowOff>
    </xdr:to>
    <xdr:cxnSp macro="">
      <xdr:nvCxnSpPr>
        <xdr:cNvPr id="3" name="Straight Connector 2"/>
        <xdr:cNvCxnSpPr/>
      </xdr:nvCxnSpPr>
      <xdr:spPr>
        <a:xfrm>
          <a:off x="8067675" y="2828925"/>
          <a:ext cx="533400" cy="0"/>
        </a:xfrm>
        <a:prstGeom prst="line">
          <a:avLst/>
        </a:prstGeom>
        <a:ln w="31750">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4</xdr:row>
      <xdr:rowOff>0</xdr:rowOff>
    </xdr:from>
    <xdr:to>
      <xdr:col>13</xdr:col>
      <xdr:colOff>561975</xdr:colOff>
      <xdr:row>28</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9">
    <pageSetUpPr fitToPage="1"/>
  </sheetPr>
  <dimension ref="A1:O42"/>
  <sheetViews>
    <sheetView showGridLines="0" tabSelected="1" workbookViewId="0">
      <selection activeCell="C9" sqref="C9"/>
    </sheetView>
  </sheetViews>
  <sheetFormatPr defaultRowHeight="12.75"/>
  <cols>
    <col min="1" max="1" width="2.7109375" style="744" customWidth="1"/>
    <col min="2" max="2" width="13.7109375" style="2" customWidth="1"/>
    <col min="3" max="3" width="109.28515625" style="2" customWidth="1"/>
    <col min="4" max="4" width="11.7109375" style="2" hidden="1" customWidth="1"/>
    <col min="5" max="16384" width="9.140625" style="2"/>
  </cols>
  <sheetData>
    <row r="1" spans="1:11" ht="30" customHeight="1">
      <c r="A1" s="759" t="s">
        <v>781</v>
      </c>
      <c r="B1" s="759"/>
      <c r="C1" s="759"/>
      <c r="E1" s="509"/>
    </row>
    <row r="2" spans="1:11" ht="24.95" customHeight="1">
      <c r="A2" s="760" t="s">
        <v>201</v>
      </c>
      <c r="B2" s="760"/>
      <c r="C2" s="760"/>
    </row>
    <row r="3" spans="1:11" ht="51">
      <c r="A3" s="754"/>
      <c r="B3" s="730" t="s">
        <v>202</v>
      </c>
      <c r="C3" s="731" t="s">
        <v>203</v>
      </c>
      <c r="D3" s="729" t="s">
        <v>204</v>
      </c>
      <c r="F3" s="724"/>
    </row>
    <row r="4" spans="1:11" s="387" customFormat="1" ht="30" customHeight="1">
      <c r="A4" s="743"/>
      <c r="B4" s="753" t="s">
        <v>740</v>
      </c>
      <c r="C4" s="408" t="s">
        <v>752</v>
      </c>
      <c r="D4" s="389"/>
    </row>
    <row r="5" spans="1:11" ht="30" customHeight="1">
      <c r="B5" s="480" t="s">
        <v>206</v>
      </c>
      <c r="C5" s="99" t="s">
        <v>205</v>
      </c>
      <c r="D5" s="101"/>
    </row>
    <row r="6" spans="1:11" ht="30" customHeight="1">
      <c r="B6" s="480" t="s">
        <v>616</v>
      </c>
      <c r="C6" s="99" t="s">
        <v>567</v>
      </c>
      <c r="D6" s="101"/>
      <c r="E6" s="114"/>
    </row>
    <row r="7" spans="1:11" ht="30" customHeight="1">
      <c r="B7" s="480" t="s">
        <v>617</v>
      </c>
      <c r="C7" s="99" t="s">
        <v>568</v>
      </c>
      <c r="D7" s="101"/>
      <c r="E7" s="114"/>
    </row>
    <row r="8" spans="1:11" ht="30" customHeight="1">
      <c r="B8" s="480" t="s">
        <v>207</v>
      </c>
      <c r="C8" s="99" t="s">
        <v>569</v>
      </c>
      <c r="D8" s="101"/>
      <c r="E8" s="114"/>
    </row>
    <row r="9" spans="1:11" ht="30" customHeight="1">
      <c r="B9" s="480" t="s">
        <v>208</v>
      </c>
      <c r="C9" s="99" t="s">
        <v>570</v>
      </c>
      <c r="D9" s="101"/>
      <c r="E9" s="114"/>
    </row>
    <row r="10" spans="1:11" s="400" customFormat="1" ht="30" customHeight="1">
      <c r="A10" s="744"/>
      <c r="B10" s="480" t="s">
        <v>209</v>
      </c>
      <c r="C10" s="99" t="s">
        <v>597</v>
      </c>
      <c r="D10" s="407"/>
    </row>
    <row r="11" spans="1:11" ht="39.950000000000003" customHeight="1">
      <c r="B11" s="480" t="s">
        <v>210</v>
      </c>
      <c r="C11" s="99" t="s">
        <v>761</v>
      </c>
      <c r="D11" s="72"/>
      <c r="E11" s="72"/>
      <c r="F11" s="72"/>
      <c r="G11" s="72"/>
      <c r="H11" s="72"/>
      <c r="I11" s="72"/>
      <c r="J11" s="72"/>
      <c r="K11" s="72"/>
    </row>
    <row r="12" spans="1:11" s="744" customFormat="1" ht="39.950000000000003" customHeight="1">
      <c r="B12" s="751" t="s">
        <v>758</v>
      </c>
      <c r="C12" s="99" t="s">
        <v>762</v>
      </c>
      <c r="D12" s="72"/>
      <c r="E12" s="72"/>
      <c r="F12" s="72"/>
      <c r="G12" s="72"/>
      <c r="H12" s="72"/>
      <c r="I12" s="72"/>
      <c r="J12" s="72"/>
      <c r="K12" s="72"/>
    </row>
    <row r="13" spans="1:11" ht="30" customHeight="1">
      <c r="B13" s="480" t="s">
        <v>385</v>
      </c>
      <c r="C13" s="99" t="s">
        <v>760</v>
      </c>
      <c r="D13" s="72"/>
      <c r="E13" s="72"/>
      <c r="F13" s="72"/>
      <c r="G13" s="72"/>
      <c r="H13" s="72"/>
      <c r="I13" s="72"/>
      <c r="J13" s="72"/>
      <c r="K13" s="72"/>
    </row>
    <row r="14" spans="1:11" s="744" customFormat="1" ht="30" customHeight="1">
      <c r="B14" s="751" t="s">
        <v>759</v>
      </c>
      <c r="C14" s="99" t="s">
        <v>763</v>
      </c>
      <c r="D14" s="72"/>
      <c r="E14" s="72"/>
      <c r="F14" s="72"/>
      <c r="G14" s="72"/>
      <c r="H14" s="72"/>
      <c r="I14" s="72"/>
      <c r="J14" s="72"/>
      <c r="K14" s="72"/>
    </row>
    <row r="15" spans="1:11" ht="30" customHeight="1">
      <c r="B15" s="480" t="s">
        <v>211</v>
      </c>
      <c r="C15" s="99" t="s">
        <v>598</v>
      </c>
      <c r="D15" s="101"/>
    </row>
    <row r="16" spans="1:11" ht="30" customHeight="1">
      <c r="B16" s="480" t="s">
        <v>212</v>
      </c>
      <c r="C16" s="257" t="s">
        <v>599</v>
      </c>
      <c r="D16" s="101"/>
    </row>
    <row r="17" spans="1:15" ht="30" customHeight="1">
      <c r="B17" s="480" t="s">
        <v>213</v>
      </c>
      <c r="C17" s="257" t="s">
        <v>600</v>
      </c>
      <c r="D17" s="101"/>
    </row>
    <row r="18" spans="1:15" ht="30" customHeight="1">
      <c r="B18" s="480" t="s">
        <v>214</v>
      </c>
      <c r="C18" s="257" t="s">
        <v>601</v>
      </c>
      <c r="D18" s="102"/>
      <c r="E18" s="102"/>
      <c r="F18" s="102"/>
      <c r="G18" s="102"/>
      <c r="H18" s="102"/>
      <c r="I18" s="102"/>
      <c r="J18" s="102"/>
      <c r="K18" s="102"/>
      <c r="L18" s="102"/>
      <c r="M18" s="102"/>
      <c r="N18" s="102"/>
      <c r="O18" s="102"/>
    </row>
    <row r="19" spans="1:15" ht="30" customHeight="1">
      <c r="B19" s="480" t="s">
        <v>215</v>
      </c>
      <c r="C19" s="99" t="s">
        <v>602</v>
      </c>
      <c r="D19" s="102"/>
      <c r="E19" s="102"/>
      <c r="F19" s="102"/>
      <c r="G19" s="102"/>
      <c r="H19" s="102"/>
      <c r="I19" s="102"/>
      <c r="J19" s="102"/>
      <c r="K19" s="102"/>
      <c r="L19" s="102"/>
      <c r="M19" s="102"/>
      <c r="N19" s="102"/>
      <c r="O19" s="102"/>
    </row>
    <row r="20" spans="1:15" ht="30" customHeight="1">
      <c r="B20" s="480" t="s">
        <v>216</v>
      </c>
      <c r="C20" s="99" t="s">
        <v>603</v>
      </c>
      <c r="D20" s="102"/>
      <c r="E20" s="102"/>
      <c r="F20" s="102"/>
      <c r="G20" s="102"/>
      <c r="H20" s="102"/>
      <c r="I20" s="102"/>
      <c r="J20" s="102"/>
      <c r="K20" s="102"/>
      <c r="L20" s="102"/>
      <c r="M20" s="102"/>
      <c r="N20" s="102"/>
      <c r="O20" s="102"/>
    </row>
    <row r="21" spans="1:15" ht="30" customHeight="1">
      <c r="B21" s="480" t="s">
        <v>217</v>
      </c>
      <c r="C21" s="99" t="s">
        <v>604</v>
      </c>
      <c r="D21" s="103"/>
      <c r="E21" s="103"/>
      <c r="F21" s="103"/>
      <c r="G21" s="103"/>
      <c r="H21" s="103"/>
      <c r="I21" s="103"/>
      <c r="J21" s="103"/>
      <c r="K21" s="103"/>
      <c r="L21" s="103"/>
      <c r="M21" s="103"/>
      <c r="N21" s="103"/>
      <c r="O21" s="103"/>
    </row>
    <row r="22" spans="1:15" ht="30" customHeight="1">
      <c r="B22" s="480" t="s">
        <v>218</v>
      </c>
      <c r="C22" s="99" t="s">
        <v>605</v>
      </c>
      <c r="D22" s="101"/>
    </row>
    <row r="23" spans="1:15" ht="30" customHeight="1">
      <c r="B23" s="480" t="s">
        <v>219</v>
      </c>
      <c r="C23" s="99" t="s">
        <v>766</v>
      </c>
      <c r="D23" s="101"/>
    </row>
    <row r="24" spans="1:15" s="388" customFormat="1" ht="30" customHeight="1">
      <c r="A24" s="744"/>
      <c r="B24" s="480" t="s">
        <v>220</v>
      </c>
      <c r="C24" s="99" t="s">
        <v>767</v>
      </c>
      <c r="D24" s="101"/>
    </row>
    <row r="25" spans="1:15" ht="30" customHeight="1">
      <c r="B25" s="480" t="s">
        <v>221</v>
      </c>
      <c r="C25" s="99" t="s">
        <v>606</v>
      </c>
      <c r="D25" s="101"/>
    </row>
    <row r="26" spans="1:15" ht="30" customHeight="1">
      <c r="B26" s="480" t="s">
        <v>222</v>
      </c>
      <c r="C26" s="99" t="s">
        <v>768</v>
      </c>
      <c r="D26" s="101"/>
    </row>
    <row r="27" spans="1:15" ht="30" customHeight="1">
      <c r="B27" s="480" t="s">
        <v>223</v>
      </c>
      <c r="C27" s="512" t="s">
        <v>729</v>
      </c>
      <c r="D27" s="101"/>
    </row>
    <row r="28" spans="1:15" ht="30" customHeight="1">
      <c r="B28" s="480" t="s">
        <v>224</v>
      </c>
      <c r="C28" s="99" t="s">
        <v>607</v>
      </c>
      <c r="D28" s="101"/>
    </row>
    <row r="29" spans="1:15" ht="30" customHeight="1">
      <c r="A29" s="293" t="s">
        <v>776</v>
      </c>
      <c r="B29" s="480" t="s">
        <v>225</v>
      </c>
      <c r="C29" s="484" t="s">
        <v>608</v>
      </c>
      <c r="D29" s="101"/>
      <c r="E29" s="293"/>
    </row>
    <row r="30" spans="1:15" ht="30" customHeight="1">
      <c r="A30" s="293" t="s">
        <v>776</v>
      </c>
      <c r="B30" s="480" t="s">
        <v>730</v>
      </c>
      <c r="C30" s="99" t="s">
        <v>340</v>
      </c>
      <c r="D30" s="101"/>
    </row>
    <row r="31" spans="1:15" s="414" customFormat="1" ht="30" customHeight="1">
      <c r="A31" s="293" t="s">
        <v>776</v>
      </c>
      <c r="B31" s="480" t="s">
        <v>731</v>
      </c>
      <c r="C31" s="99" t="s">
        <v>609</v>
      </c>
      <c r="D31" s="101"/>
    </row>
    <row r="32" spans="1:15" s="367" customFormat="1" ht="25.5">
      <c r="A32" s="293" t="s">
        <v>776</v>
      </c>
      <c r="B32" s="480" t="s">
        <v>732</v>
      </c>
      <c r="C32" s="408" t="s">
        <v>421</v>
      </c>
      <c r="D32" s="101"/>
    </row>
    <row r="33" spans="1:10" s="400" customFormat="1">
      <c r="A33" s="293" t="s">
        <v>776</v>
      </c>
      <c r="B33" s="480" t="s">
        <v>734</v>
      </c>
      <c r="C33" s="408" t="s">
        <v>769</v>
      </c>
      <c r="D33" s="101"/>
    </row>
    <row r="34" spans="1:10" s="400" customFormat="1">
      <c r="A34" s="293" t="s">
        <v>776</v>
      </c>
      <c r="B34" s="480" t="s">
        <v>735</v>
      </c>
      <c r="C34" s="408" t="s">
        <v>770</v>
      </c>
      <c r="D34" s="101"/>
    </row>
    <row r="35" spans="1:10" s="414" customFormat="1" ht="25.5">
      <c r="A35" s="293" t="s">
        <v>776</v>
      </c>
      <c r="B35" s="480" t="s">
        <v>619</v>
      </c>
      <c r="C35" s="408" t="s">
        <v>771</v>
      </c>
      <c r="D35" s="101"/>
    </row>
    <row r="36" spans="1:10" s="414" customFormat="1" ht="25.5">
      <c r="A36" s="293" t="s">
        <v>776</v>
      </c>
      <c r="B36" s="480" t="s">
        <v>620</v>
      </c>
      <c r="C36" s="408" t="s">
        <v>772</v>
      </c>
      <c r="D36" s="101"/>
    </row>
    <row r="37" spans="1:10" s="414" customFormat="1" ht="25.5">
      <c r="A37" s="293" t="s">
        <v>776</v>
      </c>
      <c r="B37" s="480" t="s">
        <v>737</v>
      </c>
      <c r="C37" s="408" t="s">
        <v>773</v>
      </c>
      <c r="D37" s="101"/>
    </row>
    <row r="38" spans="1:10" s="426" customFormat="1" ht="25.5">
      <c r="A38" s="293" t="s">
        <v>776</v>
      </c>
      <c r="B38" s="480" t="s">
        <v>738</v>
      </c>
      <c r="C38" s="408" t="s">
        <v>774</v>
      </c>
      <c r="D38" s="101"/>
    </row>
    <row r="39" spans="1:10" s="414" customFormat="1">
      <c r="A39" s="293" t="s">
        <v>776</v>
      </c>
      <c r="B39" s="480" t="s">
        <v>739</v>
      </c>
      <c r="C39" s="408" t="s">
        <v>775</v>
      </c>
      <c r="D39" s="101"/>
    </row>
    <row r="40" spans="1:10" ht="30" customHeight="1">
      <c r="B40" s="752"/>
      <c r="C40" s="752"/>
      <c r="D40" s="101"/>
    </row>
    <row r="41" spans="1:10">
      <c r="A41" s="293" t="s">
        <v>776</v>
      </c>
      <c r="B41" s="755" t="s">
        <v>777</v>
      </c>
      <c r="C41" s="739"/>
      <c r="D41" s="101"/>
    </row>
    <row r="42" spans="1:10">
      <c r="B42" s="756" t="s">
        <v>778</v>
      </c>
      <c r="D42" s="104"/>
      <c r="E42" s="104"/>
      <c r="F42" s="104"/>
      <c r="G42" s="104"/>
      <c r="H42" s="104"/>
      <c r="I42" s="104"/>
      <c r="J42" s="104"/>
    </row>
  </sheetData>
  <sheetProtection password="B8D9" sheet="1" objects="1" scenarios="1"/>
  <mergeCells count="2">
    <mergeCell ref="A1:C1"/>
    <mergeCell ref="A2:C2"/>
  </mergeCells>
  <phoneticPr fontId="0" type="noConversion"/>
  <hyperlinks>
    <hyperlink ref="B5" location="'Table 2'!A1" display="Table 2"/>
    <hyperlink ref="B6" location="'Table 3'!A1" display="Table 3"/>
    <hyperlink ref="B7" location="'Table 4 (2015)'!A1" display="Table 4"/>
    <hyperlink ref="B8" location="'Table 5'!A1" display="Table 5"/>
    <hyperlink ref="B9" location="'Table 6 (2015)'!A1" display="Table 6"/>
    <hyperlink ref="B15" location="'Chart 2a'!A1" display="Chart 2a"/>
    <hyperlink ref="B16" location="'Chart 2b'!A1" display="Chart 2b"/>
    <hyperlink ref="B17" location="'Chart 2c'!A1" display="Chart 2c"/>
    <hyperlink ref="B18" location="'Chart 2d'!A1" display="Chart 2d"/>
    <hyperlink ref="B20" location="'Chart 4 (2015)'!A1" display="Chart 4"/>
    <hyperlink ref="B21" location="'Chart 5 (2015)'!A1" display="Chart 5"/>
    <hyperlink ref="B22" location="'Chart 6'!A1" display="Chart 6"/>
    <hyperlink ref="B10" location="'Chart 1a'!A1" display="Chart 1a"/>
    <hyperlink ref="B11" location="'Chart 1b'!A1" display="Chart 1b"/>
    <hyperlink ref="B13" location="'Chart 1c'!A1" display="Chart 1c"/>
    <hyperlink ref="B19" location="'Chart 3 (2015)'!A1" display="Chart 3"/>
    <hyperlink ref="B23" location="'Chart 7 (2015)'!A1" display="Chart 7"/>
    <hyperlink ref="B24" location="'Chart 8'!A1" display="Chart 8"/>
    <hyperlink ref="B25" location="'Chart 9'!A1" display="Chart 9"/>
    <hyperlink ref="B26" location="'Chart 10 (2015)'!A1" display="Chart 10"/>
    <hyperlink ref="B27" location="'Chart 11'!A1" display="Chart 11"/>
    <hyperlink ref="B28" location="'Chart 12'!A1" display="Chart 12"/>
    <hyperlink ref="B29" location="'Chart 13 (2015)'!A1" display="Chart 13"/>
    <hyperlink ref="B30" location="'Chart 14a (2015)'!A1" display="Chart 14a"/>
    <hyperlink ref="B31" location="'Chart 14b'!A1" display="Chart 14b"/>
    <hyperlink ref="B32" location="'Chart 15 (2015)'!A1" display="Chart 15"/>
    <hyperlink ref="B33" location="'Chart 16a'!A1" display="Chart 16a"/>
    <hyperlink ref="B34" location="'Chart 16b'!A1" display="Chart 16b"/>
    <hyperlink ref="B35" location="'Chart 17a'!A1" display="Chart 17a"/>
    <hyperlink ref="B36" location="'Chart 17b'!A1" display="Chart 17b"/>
    <hyperlink ref="B37" location="'Chart 17c'!A1" display="Chart 17c"/>
    <hyperlink ref="B38" location="'Chart 17d'!A1" display="Chart 17d"/>
    <hyperlink ref="B39" location="'Chart 17e'!A1" display="Chart 17e"/>
    <hyperlink ref="B4" location="'Tables 1a 1b 1c combined'!A1" display="Table 1a 1b 1c"/>
    <hyperlink ref="B12" location="'Chart 1b (final diag)'!A1" display="Chart 1b"/>
    <hyperlink ref="B14" location="'Chart 1c (final diag)'!A1" display="Chart 1c"/>
  </hyperlinks>
  <pageMargins left="0.74803149606299213" right="0.74803149606299213" top="0.39370078740157483" bottom="0.74803149606299213" header="0.15748031496062992" footer="0.19685039370078741"/>
  <pageSetup paperSize="9" scale="66" orientation="portrait"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10.xml><?xml version="1.0" encoding="utf-8"?>
<worksheet xmlns="http://schemas.openxmlformats.org/spreadsheetml/2006/main" xmlns:r="http://schemas.openxmlformats.org/officeDocument/2006/relationships">
  <sheetPr codeName="Sheet16">
    <pageSetUpPr fitToPage="1"/>
  </sheetPr>
  <dimension ref="B1:I25"/>
  <sheetViews>
    <sheetView workbookViewId="0"/>
  </sheetViews>
  <sheetFormatPr defaultRowHeight="12.75"/>
  <cols>
    <col min="1" max="1" width="1.7109375" style="472" customWidth="1"/>
    <col min="2" max="2" width="26.42578125" style="472" customWidth="1"/>
    <col min="3" max="3" width="41.5703125" style="472" customWidth="1"/>
    <col min="4" max="5" width="10.7109375" style="472" customWidth="1"/>
    <col min="6" max="6" width="10.7109375" style="520" customWidth="1"/>
    <col min="7" max="7" width="10.7109375" style="472" customWidth="1"/>
    <col min="8" max="8" width="54.28515625" style="472" customWidth="1"/>
    <col min="9" max="10" width="10.7109375" style="472" customWidth="1"/>
    <col min="11" max="16384" width="9.140625" style="472"/>
  </cols>
  <sheetData>
    <row r="1" spans="2:9" ht="12.75" customHeight="1">
      <c r="B1" s="798" t="s">
        <v>615</v>
      </c>
      <c r="C1" s="798"/>
      <c r="D1" s="798"/>
    </row>
    <row r="2" spans="2:9">
      <c r="B2" s="798"/>
      <c r="C2" s="798"/>
      <c r="D2" s="798"/>
    </row>
    <row r="3" spans="2:9">
      <c r="B3" s="471"/>
      <c r="C3" s="471"/>
      <c r="D3" s="471"/>
      <c r="E3" s="471"/>
      <c r="F3" s="518"/>
      <c r="G3" s="471"/>
      <c r="H3" s="471"/>
    </row>
    <row r="4" spans="2:9">
      <c r="B4" s="799" t="s">
        <v>48</v>
      </c>
      <c r="C4" s="799"/>
      <c r="D4" s="799"/>
    </row>
    <row r="5" spans="2:9" ht="39.950000000000003" customHeight="1">
      <c r="B5" s="379" t="s">
        <v>140</v>
      </c>
      <c r="C5" s="473" t="s">
        <v>342</v>
      </c>
      <c r="D5" s="476" t="s">
        <v>181</v>
      </c>
      <c r="E5" s="476" t="s">
        <v>548</v>
      </c>
      <c r="F5" s="476" t="s">
        <v>656</v>
      </c>
      <c r="G5" s="476" t="s">
        <v>549</v>
      </c>
      <c r="H5" s="477" t="s">
        <v>550</v>
      </c>
      <c r="I5" s="478"/>
    </row>
    <row r="6" spans="2:9">
      <c r="B6" s="474" t="s">
        <v>35</v>
      </c>
      <c r="C6" s="474" t="s">
        <v>60</v>
      </c>
      <c r="D6" s="193">
        <v>45</v>
      </c>
      <c r="E6" s="193">
        <v>45</v>
      </c>
      <c r="F6" s="521">
        <f>E6/VLOOKUP(B6,'Table 4 (2014)'!$B$6:$D$20,3,FALSE)*100000</f>
        <v>12.089949222213267</v>
      </c>
      <c r="G6" s="193">
        <v>0</v>
      </c>
      <c r="H6" s="193"/>
    </row>
    <row r="7" spans="2:9">
      <c r="B7" s="474" t="s">
        <v>33</v>
      </c>
      <c r="C7" s="474" t="s">
        <v>67</v>
      </c>
      <c r="D7" s="193">
        <v>27</v>
      </c>
      <c r="E7" s="193">
        <v>25</v>
      </c>
      <c r="F7" s="521">
        <f>E7/VLOOKUP(B7,'Table 4 (2014)'!$B$6:$D$20,3,FALSE)*100000</f>
        <v>16.636720569641312</v>
      </c>
      <c r="G7" s="193">
        <v>2</v>
      </c>
      <c r="H7" s="193" t="s">
        <v>562</v>
      </c>
    </row>
    <row r="8" spans="2:9">
      <c r="B8" s="474" t="s">
        <v>32</v>
      </c>
      <c r="C8" s="474" t="s">
        <v>557</v>
      </c>
      <c r="D8" s="193">
        <v>13</v>
      </c>
      <c r="E8" s="193">
        <v>12</v>
      </c>
      <c r="F8" s="521">
        <f>E8/VLOOKUP(B8,'Table 4 (2014)'!$B$6:$D$20,3,FALSE)*100000</f>
        <v>3.2705568122972934</v>
      </c>
      <c r="G8" s="193">
        <v>1</v>
      </c>
      <c r="H8" s="193" t="s">
        <v>269</v>
      </c>
    </row>
    <row r="9" spans="2:9">
      <c r="B9" s="474" t="s">
        <v>37</v>
      </c>
      <c r="C9" s="474" t="s">
        <v>194</v>
      </c>
      <c r="D9" s="193">
        <v>25</v>
      </c>
      <c r="E9" s="193">
        <v>25</v>
      </c>
      <c r="F9" s="521">
        <f>E9/VLOOKUP(B9,'Table 4 (2014)'!$B$6:$D$20,3,FALSE)*100000</f>
        <v>8.3422317138280828</v>
      </c>
      <c r="G9" s="193">
        <v>0</v>
      </c>
      <c r="H9" s="193"/>
    </row>
    <row r="10" spans="2:9">
      <c r="B10" s="474" t="s">
        <v>36</v>
      </c>
      <c r="C10" s="474" t="s">
        <v>77</v>
      </c>
      <c r="D10" s="193">
        <v>23</v>
      </c>
      <c r="E10" s="193">
        <v>22</v>
      </c>
      <c r="F10" s="521">
        <f>E10/VLOOKUP(B10,'Table 4 (2014)'!$B$6:$D$20,3,FALSE)*100000</f>
        <v>3.7982113877283243</v>
      </c>
      <c r="G10" s="193">
        <v>1</v>
      </c>
      <c r="H10" s="193" t="s">
        <v>41</v>
      </c>
    </row>
    <row r="11" spans="2:9" ht="25.5">
      <c r="B11" s="474" t="s">
        <v>42</v>
      </c>
      <c r="C11" s="474" t="s">
        <v>541</v>
      </c>
      <c r="D11" s="193">
        <v>118</v>
      </c>
      <c r="E11" s="193">
        <v>90</v>
      </c>
      <c r="F11" s="521">
        <f>E11/VLOOKUP(B11,'Table 4 (2014)'!$B$6:$D$20,3,FALSE)*100000</f>
        <v>7.9090980991800901</v>
      </c>
      <c r="G11" s="193">
        <v>28</v>
      </c>
      <c r="H11" s="193" t="s">
        <v>563</v>
      </c>
    </row>
    <row r="12" spans="2:9">
      <c r="B12" s="474" t="s">
        <v>38</v>
      </c>
      <c r="C12" s="474" t="s">
        <v>100</v>
      </c>
      <c r="D12" s="193">
        <v>22</v>
      </c>
      <c r="E12" s="193">
        <v>22</v>
      </c>
      <c r="F12" s="521">
        <f>E12/VLOOKUP(B12,'Table 4 (2014)'!$B$6:$D$20,3,FALSE)*100000</f>
        <v>6.8535825545171329</v>
      </c>
      <c r="G12" s="193">
        <v>0</v>
      </c>
      <c r="H12" s="193"/>
    </row>
    <row r="13" spans="2:9" ht="25.5">
      <c r="B13" s="474" t="s">
        <v>31</v>
      </c>
      <c r="C13" s="474" t="s">
        <v>103</v>
      </c>
      <c r="D13" s="193">
        <v>48</v>
      </c>
      <c r="E13" s="193">
        <v>45</v>
      </c>
      <c r="F13" s="521">
        <f>E13/VLOOKUP(B13,'Table 4 (2014)'!$B$6:$D$20,3,FALSE)*100000</f>
        <v>6.8957062735603305</v>
      </c>
      <c r="G13" s="193">
        <v>3</v>
      </c>
      <c r="H13" s="193" t="s">
        <v>564</v>
      </c>
    </row>
    <row r="14" spans="2:9" ht="25.5">
      <c r="B14" s="474" t="s">
        <v>40</v>
      </c>
      <c r="C14" s="474" t="s">
        <v>195</v>
      </c>
      <c r="D14" s="193">
        <v>73</v>
      </c>
      <c r="E14" s="193">
        <v>56</v>
      </c>
      <c r="F14" s="521">
        <f>E14/VLOOKUP(B14,'Table 4 (2014)'!$B$6:$D$20,3,FALSE)*100000</f>
        <v>6.5905613746028013</v>
      </c>
      <c r="G14" s="193">
        <v>17</v>
      </c>
      <c r="H14" s="193" t="s">
        <v>565</v>
      </c>
    </row>
    <row r="15" spans="2:9">
      <c r="B15" s="474" t="s">
        <v>34</v>
      </c>
      <c r="C15" s="474" t="s">
        <v>126</v>
      </c>
      <c r="D15" s="193">
        <v>16</v>
      </c>
      <c r="E15" s="193">
        <v>11</v>
      </c>
      <c r="F15" s="521">
        <f>E15/VLOOKUP(B15,'Table 4 (2014)'!$B$6:$D$20,3,FALSE)*100000</f>
        <v>2.668866459627329</v>
      </c>
      <c r="G15" s="193">
        <v>5</v>
      </c>
      <c r="H15" s="193" t="s">
        <v>566</v>
      </c>
    </row>
    <row r="16" spans="2:9">
      <c r="B16" s="475" t="s">
        <v>137</v>
      </c>
      <c r="C16" s="475" t="s">
        <v>137</v>
      </c>
      <c r="D16" s="450">
        <v>410</v>
      </c>
      <c r="E16" s="450">
        <v>353</v>
      </c>
      <c r="F16" s="522">
        <f>E16/VLOOKUP(B16,'Table 4 (2014)'!$B$6:$D$20,3,FALSE)*100000</f>
        <v>6.6257484467969299</v>
      </c>
      <c r="G16" s="450">
        <v>57</v>
      </c>
      <c r="H16" s="193"/>
    </row>
    <row r="17" spans="2:8">
      <c r="B17" s="197"/>
      <c r="C17" s="197"/>
      <c r="D17" s="195"/>
      <c r="E17" s="195"/>
      <c r="F17" s="195"/>
      <c r="G17" s="195"/>
      <c r="H17" s="195"/>
    </row>
    <row r="18" spans="2:8">
      <c r="B18" s="198" t="s">
        <v>629</v>
      </c>
      <c r="C18" s="198"/>
      <c r="D18" s="380"/>
      <c r="E18" s="380"/>
      <c r="F18" s="380"/>
      <c r="G18" s="380"/>
      <c r="H18" s="380"/>
    </row>
    <row r="19" spans="2:8" ht="15">
      <c r="B19" s="783" t="s">
        <v>630</v>
      </c>
      <c r="C19" s="783"/>
      <c r="D19" s="800"/>
      <c r="E19" s="800"/>
      <c r="F19" s="800"/>
      <c r="G19" s="800"/>
    </row>
    <row r="20" spans="2:8" ht="24.95" customHeight="1">
      <c r="B20" s="801" t="s">
        <v>631</v>
      </c>
      <c r="C20" s="801"/>
      <c r="D20" s="801"/>
      <c r="E20" s="801"/>
      <c r="F20" s="801"/>
      <c r="G20" s="801"/>
      <c r="H20" s="801"/>
    </row>
    <row r="21" spans="2:8" ht="24.95" customHeight="1">
      <c r="B21" s="801" t="s">
        <v>353</v>
      </c>
      <c r="C21" s="801"/>
      <c r="D21" s="801"/>
      <c r="E21" s="801"/>
      <c r="F21" s="801"/>
      <c r="G21" s="801"/>
      <c r="H21" s="801"/>
    </row>
    <row r="22" spans="2:8" ht="12.75" customHeight="1">
      <c r="B22" s="769" t="s">
        <v>560</v>
      </c>
      <c r="C22" s="769"/>
      <c r="D22" s="769"/>
      <c r="E22" s="769"/>
      <c r="F22" s="769"/>
      <c r="G22" s="769"/>
      <c r="H22" s="769"/>
    </row>
    <row r="23" spans="2:8">
      <c r="B23" s="769"/>
      <c r="C23" s="769"/>
      <c r="D23" s="769"/>
      <c r="E23" s="769"/>
      <c r="F23" s="769"/>
      <c r="G23" s="769"/>
      <c r="H23" s="769"/>
    </row>
    <row r="24" spans="2:8" s="520" customFormat="1" ht="12.75" customHeight="1">
      <c r="B24" s="797" t="s">
        <v>657</v>
      </c>
      <c r="C24" s="797"/>
      <c r="D24" s="797"/>
      <c r="E24" s="797"/>
      <c r="F24" s="797"/>
      <c r="G24" s="797"/>
      <c r="H24" s="797"/>
    </row>
    <row r="25" spans="2:8" s="520" customFormat="1">
      <c r="B25" s="797"/>
      <c r="C25" s="797"/>
      <c r="D25" s="797"/>
      <c r="E25" s="797"/>
      <c r="F25" s="797"/>
      <c r="G25" s="797"/>
      <c r="H25" s="797"/>
    </row>
  </sheetData>
  <sheetProtection password="B8D9" sheet="1" objects="1" scenarios="1"/>
  <mergeCells count="7">
    <mergeCell ref="B22:H23"/>
    <mergeCell ref="B24:H25"/>
    <mergeCell ref="B1:D2"/>
    <mergeCell ref="B4:D4"/>
    <mergeCell ref="B19:G19"/>
    <mergeCell ref="B20:H20"/>
    <mergeCell ref="B21:H21"/>
  </mergeCells>
  <hyperlinks>
    <hyperlink ref="B4" location="'List of Tables &amp; Charts'!A1" display="return to List of Tables &amp; Charts"/>
  </hyperlinks>
  <pageMargins left="0.74803149606299213" right="0.74803149606299213" top="0.98425196850393704" bottom="0.98425196850393704" header="0.51181102362204722" footer="0.51181102362204722"/>
  <pageSetup paperSize="9" scale="83"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11.xml><?xml version="1.0" encoding="utf-8"?>
<worksheet xmlns="http://schemas.openxmlformats.org/spreadsheetml/2006/main" xmlns:r="http://schemas.openxmlformats.org/officeDocument/2006/relationships">
  <sheetPr codeName="Sheet43">
    <pageSetUpPr fitToPage="1"/>
  </sheetPr>
  <dimension ref="A1:O34"/>
  <sheetViews>
    <sheetView workbookViewId="0"/>
  </sheetViews>
  <sheetFormatPr defaultRowHeight="15"/>
  <cols>
    <col min="1" max="1" width="1.7109375" customWidth="1"/>
  </cols>
  <sheetData>
    <row r="1" spans="1:15" s="400" customFormat="1" ht="12.75" customHeight="1">
      <c r="A1" s="1"/>
      <c r="B1" s="798" t="s">
        <v>640</v>
      </c>
      <c r="C1" s="798"/>
      <c r="D1" s="798"/>
      <c r="E1" s="798"/>
      <c r="F1" s="798"/>
      <c r="G1" s="798"/>
      <c r="H1" s="798"/>
      <c r="I1" s="798"/>
      <c r="J1" s="798"/>
      <c r="K1" s="798"/>
      <c r="L1" s="798"/>
      <c r="M1" s="798"/>
      <c r="N1" s="798"/>
      <c r="O1" s="802" t="s">
        <v>48</v>
      </c>
    </row>
    <row r="2" spans="1:15" s="400" customFormat="1" ht="12.75">
      <c r="B2" s="798"/>
      <c r="C2" s="798"/>
      <c r="D2" s="798"/>
      <c r="E2" s="798"/>
      <c r="F2" s="798"/>
      <c r="G2" s="798"/>
      <c r="H2" s="798"/>
      <c r="I2" s="798"/>
      <c r="J2" s="798"/>
      <c r="K2" s="798"/>
      <c r="L2" s="798"/>
      <c r="M2" s="798"/>
      <c r="N2" s="798"/>
      <c r="O2" s="802"/>
    </row>
    <row r="3" spans="1:15" s="400"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400" customFormat="1" ht="12.75" customHeight="1">
      <c r="B5" s="406" t="s">
        <v>384</v>
      </c>
      <c r="C5" s="284"/>
      <c r="D5" s="284"/>
      <c r="E5" s="284"/>
      <c r="F5" s="284"/>
      <c r="G5" s="284"/>
      <c r="H5" s="284"/>
      <c r="I5" s="284"/>
      <c r="J5" s="284"/>
      <c r="K5" s="284"/>
      <c r="L5" s="284"/>
      <c r="M5" s="284"/>
      <c r="N5" s="294"/>
      <c r="O5" s="399"/>
    </row>
    <row r="6" spans="1:15" s="400" customFormat="1" ht="15" customHeight="1">
      <c r="B6" s="406" t="s">
        <v>383</v>
      </c>
      <c r="C6" s="284"/>
      <c r="D6" s="284"/>
      <c r="E6" s="284"/>
      <c r="F6" s="284"/>
      <c r="G6" s="284"/>
      <c r="H6" s="284"/>
      <c r="I6" s="284"/>
      <c r="J6" s="284"/>
      <c r="K6" s="284"/>
      <c r="L6" s="284"/>
      <c r="M6" s="284"/>
      <c r="N6" s="803" t="s">
        <v>461</v>
      </c>
      <c r="O6" s="803"/>
    </row>
    <row r="32" spans="2:2">
      <c r="B32" s="32" t="s">
        <v>439</v>
      </c>
    </row>
    <row r="33" spans="2:4">
      <c r="B33" s="444" t="s">
        <v>440</v>
      </c>
      <c r="D33" s="446" t="s">
        <v>210</v>
      </c>
    </row>
    <row r="34" spans="2:4">
      <c r="B34" s="444" t="s">
        <v>441</v>
      </c>
      <c r="D34" s="446" t="s">
        <v>385</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1b'!A1" display="Chart 1b"/>
    <hyperlink ref="D34" location="'Chart 1c'!A1" display="Chart 1c"/>
    <hyperlink ref="N6:O6" location="'Chart 1a DATA'!A1" display="view Chart 1a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12.xml><?xml version="1.0" encoding="utf-8"?>
<worksheet xmlns="http://schemas.openxmlformats.org/spreadsheetml/2006/main" xmlns:r="http://schemas.openxmlformats.org/officeDocument/2006/relationships">
  <sheetPr codeName="Sheet45">
    <pageSetUpPr fitToPage="1"/>
  </sheetPr>
  <dimension ref="A1:P18"/>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806" t="s">
        <v>379</v>
      </c>
      <c r="C1" s="806"/>
      <c r="D1" s="806"/>
      <c r="E1" s="806"/>
      <c r="F1" s="807"/>
      <c r="G1" s="806" t="s">
        <v>380</v>
      </c>
      <c r="H1" s="806"/>
      <c r="I1" s="806"/>
      <c r="J1" s="806"/>
      <c r="K1" s="807"/>
      <c r="L1" s="808" t="s">
        <v>363</v>
      </c>
      <c r="M1" s="808"/>
      <c r="N1" s="808"/>
      <c r="O1" s="808"/>
      <c r="P1" s="809"/>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5">
        <v>2014</v>
      </c>
      <c r="P2" s="405">
        <v>2015</v>
      </c>
    </row>
    <row r="3" spans="1:16">
      <c r="A3" s="511" t="s">
        <v>366</v>
      </c>
      <c r="B3" s="424">
        <f>SUM(B4:B17)</f>
        <v>8555</v>
      </c>
      <c r="C3" s="424">
        <f t="shared" ref="C3:K3" si="0">SUM(C4:C17)</f>
        <v>8382</v>
      </c>
      <c r="D3" s="424">
        <f t="shared" si="0"/>
        <v>9076</v>
      </c>
      <c r="E3" s="424">
        <f t="shared" si="0"/>
        <v>8789</v>
      </c>
      <c r="F3" s="424">
        <f t="shared" si="0"/>
        <v>8932</v>
      </c>
      <c r="G3" s="424">
        <f t="shared" si="0"/>
        <v>3762</v>
      </c>
      <c r="H3" s="424">
        <f t="shared" si="0"/>
        <v>4176</v>
      </c>
      <c r="I3" s="424">
        <f t="shared" si="0"/>
        <v>5374</v>
      </c>
      <c r="J3" s="424">
        <f t="shared" si="0"/>
        <v>5833</v>
      </c>
      <c r="K3" s="424">
        <f t="shared" si="0"/>
        <v>6193</v>
      </c>
      <c r="L3" s="403">
        <f t="shared" ref="L3:L17" si="1">G3/B3*100</f>
        <v>43.974284044418468</v>
      </c>
      <c r="M3" s="403">
        <f t="shared" ref="M3:M17" si="2">H3/C3*100</f>
        <v>49.821045096635643</v>
      </c>
      <c r="N3" s="403">
        <f t="shared" ref="N3:N17" si="3">I3/D3*100</f>
        <v>59.211106214191275</v>
      </c>
      <c r="O3" s="403">
        <f t="shared" ref="O3:O17" si="4">J3/E3*100</f>
        <v>66.367049721242466</v>
      </c>
      <c r="P3" s="403">
        <f t="shared" ref="P3:P17" si="5">K3/F3*100</f>
        <v>69.334975369458135</v>
      </c>
    </row>
    <row r="4" spans="1:16">
      <c r="A4" s="511" t="s">
        <v>367</v>
      </c>
      <c r="B4" s="424">
        <v>785</v>
      </c>
      <c r="C4" s="424">
        <v>769</v>
      </c>
      <c r="D4" s="424">
        <v>811</v>
      </c>
      <c r="E4" s="424">
        <v>770</v>
      </c>
      <c r="F4" s="424">
        <v>773</v>
      </c>
      <c r="G4" s="424">
        <v>374</v>
      </c>
      <c r="H4" s="424">
        <v>424</v>
      </c>
      <c r="I4" s="424">
        <v>527</v>
      </c>
      <c r="J4" s="424">
        <v>555</v>
      </c>
      <c r="K4" s="424">
        <v>559</v>
      </c>
      <c r="L4" s="403">
        <f t="shared" si="1"/>
        <v>47.64331210191083</v>
      </c>
      <c r="M4" s="403">
        <f t="shared" si="2"/>
        <v>55.136540962288684</v>
      </c>
      <c r="N4" s="403">
        <f t="shared" si="3"/>
        <v>64.981504315659677</v>
      </c>
      <c r="O4" s="403">
        <f t="shared" si="4"/>
        <v>72.077922077922068</v>
      </c>
      <c r="P4" s="403">
        <f t="shared" si="5"/>
        <v>72.315653298835699</v>
      </c>
    </row>
    <row r="5" spans="1:16">
      <c r="A5" s="511" t="s">
        <v>368</v>
      </c>
      <c r="B5" s="424">
        <v>214</v>
      </c>
      <c r="C5" s="424">
        <v>199</v>
      </c>
      <c r="D5" s="424">
        <v>210</v>
      </c>
      <c r="E5" s="424">
        <v>203</v>
      </c>
      <c r="F5" s="424">
        <v>209</v>
      </c>
      <c r="G5" s="424">
        <v>111</v>
      </c>
      <c r="H5" s="424">
        <v>132</v>
      </c>
      <c r="I5" s="424">
        <v>172</v>
      </c>
      <c r="J5" s="424">
        <v>178</v>
      </c>
      <c r="K5" s="424">
        <v>179</v>
      </c>
      <c r="L5" s="403">
        <f t="shared" si="1"/>
        <v>51.86915887850467</v>
      </c>
      <c r="M5" s="403">
        <f t="shared" si="2"/>
        <v>66.331658291457288</v>
      </c>
      <c r="N5" s="403">
        <f t="shared" si="3"/>
        <v>81.904761904761898</v>
      </c>
      <c r="O5" s="403">
        <f t="shared" si="4"/>
        <v>87.684729064039416</v>
      </c>
      <c r="P5" s="403">
        <f t="shared" si="5"/>
        <v>85.645933014354071</v>
      </c>
    </row>
    <row r="6" spans="1:16">
      <c r="A6" s="511" t="s">
        <v>369</v>
      </c>
      <c r="B6" s="424">
        <v>240</v>
      </c>
      <c r="C6" s="424">
        <v>256</v>
      </c>
      <c r="D6" s="424">
        <v>292</v>
      </c>
      <c r="E6" s="424">
        <v>277</v>
      </c>
      <c r="F6" s="424">
        <v>256</v>
      </c>
      <c r="G6" s="424">
        <v>131</v>
      </c>
      <c r="H6" s="424">
        <v>160</v>
      </c>
      <c r="I6" s="424">
        <v>205</v>
      </c>
      <c r="J6" s="424">
        <v>204</v>
      </c>
      <c r="K6" s="424">
        <v>207</v>
      </c>
      <c r="L6" s="403">
        <f t="shared" si="1"/>
        <v>54.583333333333329</v>
      </c>
      <c r="M6" s="403">
        <f t="shared" si="2"/>
        <v>62.5</v>
      </c>
      <c r="N6" s="403">
        <f t="shared" si="3"/>
        <v>70.205479452054803</v>
      </c>
      <c r="O6" s="403">
        <f t="shared" si="4"/>
        <v>73.646209386281598</v>
      </c>
      <c r="P6" s="403">
        <f t="shared" si="5"/>
        <v>80.859375</v>
      </c>
    </row>
    <row r="7" spans="1:16">
      <c r="A7" s="511" t="s">
        <v>370</v>
      </c>
      <c r="B7" s="424">
        <v>537</v>
      </c>
      <c r="C7" s="424">
        <v>544</v>
      </c>
      <c r="D7" s="424">
        <v>609</v>
      </c>
      <c r="E7" s="424">
        <v>587</v>
      </c>
      <c r="F7" s="424">
        <v>654</v>
      </c>
      <c r="G7" s="424">
        <v>277</v>
      </c>
      <c r="H7" s="424">
        <v>293</v>
      </c>
      <c r="I7" s="424">
        <v>438</v>
      </c>
      <c r="J7" s="424">
        <v>453</v>
      </c>
      <c r="K7" s="424">
        <v>512</v>
      </c>
      <c r="L7" s="403">
        <f t="shared" si="1"/>
        <v>51.582867783985101</v>
      </c>
      <c r="M7" s="403">
        <f t="shared" si="2"/>
        <v>53.860294117647058</v>
      </c>
      <c r="N7" s="403">
        <f t="shared" si="3"/>
        <v>71.921182266009851</v>
      </c>
      <c r="O7" s="403">
        <f t="shared" si="4"/>
        <v>77.172061328790463</v>
      </c>
      <c r="P7" s="403">
        <f t="shared" si="5"/>
        <v>78.287461773700301</v>
      </c>
    </row>
    <row r="8" spans="1:16">
      <c r="A8" s="511" t="s">
        <v>371</v>
      </c>
      <c r="B8" s="424">
        <v>549</v>
      </c>
      <c r="C8" s="424">
        <v>424</v>
      </c>
      <c r="D8" s="424">
        <v>398</v>
      </c>
      <c r="E8" s="424">
        <v>446</v>
      </c>
      <c r="F8" s="424">
        <v>523</v>
      </c>
      <c r="G8" s="424">
        <v>196</v>
      </c>
      <c r="H8" s="424">
        <v>259</v>
      </c>
      <c r="I8" s="424">
        <v>244</v>
      </c>
      <c r="J8" s="424">
        <v>345</v>
      </c>
      <c r="K8" s="424">
        <v>382</v>
      </c>
      <c r="L8" s="403">
        <f t="shared" si="1"/>
        <v>35.701275045537336</v>
      </c>
      <c r="M8" s="403">
        <f t="shared" si="2"/>
        <v>61.084905660377352</v>
      </c>
      <c r="N8" s="403">
        <f t="shared" si="3"/>
        <v>61.306532663316581</v>
      </c>
      <c r="O8" s="403">
        <f t="shared" si="4"/>
        <v>77.354260089686093</v>
      </c>
      <c r="P8" s="403">
        <f t="shared" si="5"/>
        <v>73.040152963671119</v>
      </c>
    </row>
    <row r="9" spans="1:16">
      <c r="A9" s="511" t="s">
        <v>372</v>
      </c>
      <c r="B9" s="424">
        <v>665</v>
      </c>
      <c r="C9" s="424">
        <v>646</v>
      </c>
      <c r="D9" s="424">
        <v>661</v>
      </c>
      <c r="E9" s="424">
        <v>634</v>
      </c>
      <c r="F9" s="424">
        <v>750</v>
      </c>
      <c r="G9" s="424">
        <v>328</v>
      </c>
      <c r="H9" s="424">
        <v>372</v>
      </c>
      <c r="I9" s="424">
        <v>425</v>
      </c>
      <c r="J9" s="424">
        <v>442</v>
      </c>
      <c r="K9" s="424">
        <v>535</v>
      </c>
      <c r="L9" s="403">
        <f t="shared" si="1"/>
        <v>49.323308270676691</v>
      </c>
      <c r="M9" s="403">
        <f t="shared" si="2"/>
        <v>57.585139318885446</v>
      </c>
      <c r="N9" s="403">
        <f t="shared" si="3"/>
        <v>64.296520423600597</v>
      </c>
      <c r="O9" s="403">
        <f t="shared" si="4"/>
        <v>69.716088328075713</v>
      </c>
      <c r="P9" s="403">
        <f t="shared" si="5"/>
        <v>71.333333333333343</v>
      </c>
    </row>
    <row r="10" spans="1:16">
      <c r="A10" s="511" t="s">
        <v>373</v>
      </c>
      <c r="B10" s="424">
        <v>2315</v>
      </c>
      <c r="C10" s="424">
        <v>2679</v>
      </c>
      <c r="D10" s="424">
        <v>2754</v>
      </c>
      <c r="E10" s="424">
        <v>2596</v>
      </c>
      <c r="F10" s="424">
        <v>2450</v>
      </c>
      <c r="G10" s="424">
        <v>808</v>
      </c>
      <c r="H10" s="424">
        <v>976</v>
      </c>
      <c r="I10" s="424">
        <v>1299</v>
      </c>
      <c r="J10" s="424">
        <v>1534</v>
      </c>
      <c r="K10" s="424">
        <v>1658</v>
      </c>
      <c r="L10" s="403">
        <f t="shared" si="1"/>
        <v>34.902807775377973</v>
      </c>
      <c r="M10" s="403">
        <f t="shared" si="2"/>
        <v>36.431504292646508</v>
      </c>
      <c r="N10" s="403">
        <f t="shared" si="3"/>
        <v>47.167755991285404</v>
      </c>
      <c r="O10" s="403">
        <f t="shared" si="4"/>
        <v>59.090909090909093</v>
      </c>
      <c r="P10" s="403">
        <f t="shared" si="5"/>
        <v>67.673469387755105</v>
      </c>
    </row>
    <row r="11" spans="1:16">
      <c r="A11" s="511" t="s">
        <v>374</v>
      </c>
      <c r="B11" s="424">
        <v>543</v>
      </c>
      <c r="C11" s="424">
        <v>461</v>
      </c>
      <c r="D11" s="424">
        <v>472</v>
      </c>
      <c r="E11" s="424">
        <v>484</v>
      </c>
      <c r="F11" s="424">
        <v>546</v>
      </c>
      <c r="G11" s="424">
        <v>123</v>
      </c>
      <c r="H11" s="424">
        <v>189</v>
      </c>
      <c r="I11" s="424">
        <v>278</v>
      </c>
      <c r="J11" s="424">
        <v>308</v>
      </c>
      <c r="K11" s="424">
        <v>298</v>
      </c>
      <c r="L11" s="403">
        <f t="shared" si="1"/>
        <v>22.651933701657459</v>
      </c>
      <c r="M11" s="403">
        <f t="shared" si="2"/>
        <v>40.997830802603033</v>
      </c>
      <c r="N11" s="403">
        <f t="shared" si="3"/>
        <v>58.898305084745758</v>
      </c>
      <c r="O11" s="403">
        <f t="shared" si="4"/>
        <v>63.636363636363633</v>
      </c>
      <c r="P11" s="403">
        <f t="shared" si="5"/>
        <v>54.578754578754577</v>
      </c>
    </row>
    <row r="12" spans="1:16">
      <c r="A12" s="511" t="s">
        <v>375</v>
      </c>
      <c r="B12" s="424">
        <v>947</v>
      </c>
      <c r="C12" s="424">
        <v>697</v>
      </c>
      <c r="D12" s="424">
        <v>769</v>
      </c>
      <c r="E12" s="424">
        <v>739</v>
      </c>
      <c r="F12" s="424">
        <v>774</v>
      </c>
      <c r="G12" s="424">
        <v>480</v>
      </c>
      <c r="H12" s="424">
        <v>495</v>
      </c>
      <c r="I12" s="424">
        <v>608</v>
      </c>
      <c r="J12" s="424">
        <v>614</v>
      </c>
      <c r="K12" s="424">
        <v>606</v>
      </c>
      <c r="L12" s="403">
        <f t="shared" si="1"/>
        <v>50.686378035902848</v>
      </c>
      <c r="M12" s="403">
        <f t="shared" si="2"/>
        <v>71.018651362984215</v>
      </c>
      <c r="N12" s="403">
        <f t="shared" si="3"/>
        <v>79.063719115734727</v>
      </c>
      <c r="O12" s="403">
        <f t="shared" si="4"/>
        <v>83.085250338294998</v>
      </c>
      <c r="P12" s="403">
        <f t="shared" si="5"/>
        <v>78.294573643410843</v>
      </c>
    </row>
    <row r="13" spans="1:16">
      <c r="A13" s="511" t="s">
        <v>376</v>
      </c>
      <c r="B13" s="424">
        <v>943</v>
      </c>
      <c r="C13" s="424">
        <v>969</v>
      </c>
      <c r="D13" s="424">
        <v>1331</v>
      </c>
      <c r="E13" s="424">
        <v>1384</v>
      </c>
      <c r="F13" s="424">
        <v>1302</v>
      </c>
      <c r="G13" s="424">
        <v>476</v>
      </c>
      <c r="H13" s="424">
        <v>425</v>
      </c>
      <c r="I13" s="424">
        <v>686</v>
      </c>
      <c r="J13" s="424">
        <v>762</v>
      </c>
      <c r="K13" s="424">
        <v>805</v>
      </c>
      <c r="L13" s="403">
        <f t="shared" si="1"/>
        <v>50.477200424178157</v>
      </c>
      <c r="M13" s="403">
        <f t="shared" si="2"/>
        <v>43.859649122807014</v>
      </c>
      <c r="N13" s="403">
        <f t="shared" si="3"/>
        <v>51.540195341848239</v>
      </c>
      <c r="O13" s="403">
        <f t="shared" si="4"/>
        <v>55.057803468208085</v>
      </c>
      <c r="P13" s="403">
        <f t="shared" si="5"/>
        <v>61.827956989247312</v>
      </c>
    </row>
    <row r="14" spans="1:16">
      <c r="A14" s="511" t="s">
        <v>594</v>
      </c>
      <c r="B14" s="424">
        <v>33</v>
      </c>
      <c r="C14" s="424">
        <v>27</v>
      </c>
      <c r="D14" s="424">
        <v>47</v>
      </c>
      <c r="E14" s="424">
        <v>52</v>
      </c>
      <c r="F14" s="424">
        <v>64</v>
      </c>
      <c r="G14" s="424">
        <v>4</v>
      </c>
      <c r="H14" s="424">
        <v>3</v>
      </c>
      <c r="I14" s="424">
        <v>9</v>
      </c>
      <c r="J14" s="424">
        <v>10</v>
      </c>
      <c r="K14" s="424">
        <v>27</v>
      </c>
      <c r="L14" s="403">
        <f t="shared" si="1"/>
        <v>12.121212121212121</v>
      </c>
      <c r="M14" s="403">
        <f t="shared" si="2"/>
        <v>11.111111111111111</v>
      </c>
      <c r="N14" s="403">
        <f t="shared" si="3"/>
        <v>19.148936170212767</v>
      </c>
      <c r="O14" s="403">
        <f t="shared" si="4"/>
        <v>19.230769230769234</v>
      </c>
      <c r="P14" s="403">
        <f t="shared" si="5"/>
        <v>42.1875</v>
      </c>
    </row>
    <row r="15" spans="1:16">
      <c r="A15" s="511" t="s">
        <v>377</v>
      </c>
      <c r="B15" s="424">
        <v>42</v>
      </c>
      <c r="C15" s="424">
        <v>30</v>
      </c>
      <c r="D15" s="424">
        <v>33</v>
      </c>
      <c r="E15" s="424">
        <v>32</v>
      </c>
      <c r="F15" s="424">
        <v>35</v>
      </c>
      <c r="G15" s="424">
        <v>19</v>
      </c>
      <c r="H15" s="424">
        <v>20</v>
      </c>
      <c r="I15" s="424">
        <v>18</v>
      </c>
      <c r="J15" s="424">
        <v>23</v>
      </c>
      <c r="K15" s="424">
        <v>28</v>
      </c>
      <c r="L15" s="403">
        <f t="shared" si="1"/>
        <v>45.238095238095241</v>
      </c>
      <c r="M15" s="403">
        <f t="shared" si="2"/>
        <v>66.666666666666657</v>
      </c>
      <c r="N15" s="403">
        <f t="shared" si="3"/>
        <v>54.54545454545454</v>
      </c>
      <c r="O15" s="403">
        <f t="shared" si="4"/>
        <v>71.875</v>
      </c>
      <c r="P15" s="403">
        <f t="shared" si="5"/>
        <v>80</v>
      </c>
    </row>
    <row r="16" spans="1:16">
      <c r="A16" s="511" t="s">
        <v>378</v>
      </c>
      <c r="B16" s="424">
        <v>714</v>
      </c>
      <c r="C16" s="424">
        <v>650</v>
      </c>
      <c r="D16" s="424">
        <v>659</v>
      </c>
      <c r="E16" s="424">
        <v>557</v>
      </c>
      <c r="F16" s="424">
        <v>562</v>
      </c>
      <c r="G16" s="424">
        <v>421</v>
      </c>
      <c r="H16" s="424">
        <v>413</v>
      </c>
      <c r="I16" s="424">
        <v>447</v>
      </c>
      <c r="J16" s="424">
        <v>381</v>
      </c>
      <c r="K16" s="424">
        <v>369</v>
      </c>
      <c r="L16" s="403">
        <f t="shared" si="1"/>
        <v>58.963585434173673</v>
      </c>
      <c r="M16" s="403">
        <f t="shared" si="2"/>
        <v>63.538461538461547</v>
      </c>
      <c r="N16" s="403">
        <f t="shared" si="3"/>
        <v>67.830045523520482</v>
      </c>
      <c r="O16" s="403">
        <f t="shared" si="4"/>
        <v>68.402154398563724</v>
      </c>
      <c r="P16" s="403">
        <f t="shared" si="5"/>
        <v>65.658362989323848</v>
      </c>
    </row>
    <row r="17" spans="1:16">
      <c r="A17" s="511" t="s">
        <v>592</v>
      </c>
      <c r="B17" s="424">
        <v>28</v>
      </c>
      <c r="C17" s="424">
        <v>31</v>
      </c>
      <c r="D17" s="424">
        <v>30</v>
      </c>
      <c r="E17" s="424">
        <v>28</v>
      </c>
      <c r="F17" s="424">
        <v>34</v>
      </c>
      <c r="G17" s="424">
        <v>14</v>
      </c>
      <c r="H17" s="424">
        <v>15</v>
      </c>
      <c r="I17" s="424">
        <v>18</v>
      </c>
      <c r="J17" s="424">
        <v>24</v>
      </c>
      <c r="K17" s="424">
        <v>28</v>
      </c>
      <c r="L17" s="403">
        <f t="shared" si="1"/>
        <v>50</v>
      </c>
      <c r="M17" s="403">
        <f t="shared" si="2"/>
        <v>48.387096774193552</v>
      </c>
      <c r="N17" s="403">
        <f t="shared" si="3"/>
        <v>60</v>
      </c>
      <c r="O17" s="403">
        <f t="shared" si="4"/>
        <v>85.714285714285708</v>
      </c>
      <c r="P17" s="403">
        <f t="shared" si="5"/>
        <v>82.35294117647058</v>
      </c>
    </row>
    <row r="18" spans="1:16">
      <c r="A18" s="401" t="s">
        <v>381</v>
      </c>
    </row>
  </sheetData>
  <sheetProtection password="B8D9" sheet="1" objects="1" scenarios="1"/>
  <mergeCells count="4">
    <mergeCell ref="A1:A2"/>
    <mergeCell ref="B1:F1"/>
    <mergeCell ref="G1:K1"/>
    <mergeCell ref="L1:P1"/>
  </mergeCells>
  <printOptions horizontalCentered="1"/>
  <pageMargins left="0" right="0" top="1.0629921259842521" bottom="0.74803149606299213" header="0.31496062992125984" footer="0.31496062992125984"/>
  <pageSetup paperSize="9" orientation="landscape" r:id="rId1"/>
  <headerFooter>
    <oddHeader>&amp;LChart 1a DATA
Trend in percentage of stroke patients receiving an 'appropriate' Stroke Care Bundle (i.e. Stroke Unit admission, swallow screen, brain scan and aspirin), by NHS Board, 2011 - 2015 data (based on initial diagnosis).</oddHeader>
    <oddFooter>&amp;L&amp;8Scottish Stroke Care Audit 2016 National Report
Stroke Services in Scottish Hospitals, Data relating to 2015&amp;R&amp;8© NHS National Services Scotland/Crown Copyright</oddFooter>
  </headerFooter>
</worksheet>
</file>

<file path=xl/worksheets/sheet13.xml><?xml version="1.0" encoding="utf-8"?>
<worksheet xmlns="http://schemas.openxmlformats.org/spreadsheetml/2006/main" xmlns:r="http://schemas.openxmlformats.org/officeDocument/2006/relationships">
  <sheetPr codeName="Sheet17">
    <pageSetUpPr fitToPage="1"/>
  </sheetPr>
  <dimension ref="A1:O34"/>
  <sheetViews>
    <sheetView workbookViewId="0"/>
  </sheetViews>
  <sheetFormatPr defaultRowHeight="15"/>
  <cols>
    <col min="1" max="1" width="1.7109375" customWidth="1"/>
  </cols>
  <sheetData>
    <row r="1" spans="1:15" s="510" customFormat="1" ht="12.75" customHeight="1">
      <c r="A1" s="1"/>
      <c r="B1" s="798" t="s">
        <v>596</v>
      </c>
      <c r="C1" s="798"/>
      <c r="D1" s="798"/>
      <c r="E1" s="798"/>
      <c r="F1" s="798"/>
      <c r="G1" s="798"/>
      <c r="H1" s="798"/>
      <c r="I1" s="798"/>
      <c r="J1" s="798"/>
      <c r="K1" s="798"/>
      <c r="L1" s="798"/>
      <c r="M1" s="798"/>
      <c r="N1" s="798"/>
      <c r="O1" s="802" t="s">
        <v>48</v>
      </c>
    </row>
    <row r="2" spans="1:15" s="510" customFormat="1" ht="12.75">
      <c r="B2" s="798"/>
      <c r="C2" s="798"/>
      <c r="D2" s="798"/>
      <c r="E2" s="798"/>
      <c r="F2" s="798"/>
      <c r="G2" s="798"/>
      <c r="H2" s="798"/>
      <c r="I2" s="798"/>
      <c r="J2" s="798"/>
      <c r="K2" s="798"/>
      <c r="L2" s="798"/>
      <c r="M2" s="798"/>
      <c r="N2" s="798"/>
      <c r="O2" s="802"/>
    </row>
    <row r="3" spans="1:15" s="510"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510" customFormat="1" ht="12.75" customHeight="1">
      <c r="B5" s="406" t="s">
        <v>384</v>
      </c>
      <c r="C5" s="284"/>
      <c r="D5" s="284"/>
      <c r="E5" s="284"/>
      <c r="F5" s="284"/>
      <c r="G5" s="284"/>
      <c r="H5" s="284"/>
      <c r="I5" s="284"/>
      <c r="J5" s="284"/>
      <c r="K5" s="284"/>
      <c r="L5" s="284"/>
      <c r="M5" s="284"/>
      <c r="N5" s="294"/>
      <c r="O5" s="508"/>
    </row>
    <row r="6" spans="1:15" s="510" customFormat="1" ht="15" customHeight="1">
      <c r="B6" s="406" t="s">
        <v>383</v>
      </c>
      <c r="C6" s="284"/>
      <c r="D6" s="284"/>
      <c r="E6" s="284"/>
      <c r="F6" s="284"/>
      <c r="G6" s="284"/>
      <c r="H6" s="284"/>
      <c r="I6" s="284"/>
      <c r="J6" s="284"/>
      <c r="K6" s="284"/>
      <c r="L6" s="284"/>
      <c r="M6" s="803" t="s">
        <v>751</v>
      </c>
      <c r="N6" s="803"/>
      <c r="O6" s="803"/>
    </row>
    <row r="32" spans="2:2">
      <c r="B32" s="32" t="s">
        <v>439</v>
      </c>
    </row>
    <row r="33" spans="2:4">
      <c r="B33" s="444" t="s">
        <v>440</v>
      </c>
      <c r="D33" s="446" t="s">
        <v>210</v>
      </c>
    </row>
    <row r="34" spans="2:4">
      <c r="B34" s="444" t="s">
        <v>441</v>
      </c>
      <c r="D34" s="446" t="s">
        <v>385</v>
      </c>
    </row>
  </sheetData>
  <sheetProtection password="B8D9" sheet="1" objects="1" scenarios="1"/>
  <mergeCells count="3">
    <mergeCell ref="B1:N3"/>
    <mergeCell ref="O1:O4"/>
    <mergeCell ref="M6:O6"/>
  </mergeCells>
  <hyperlinks>
    <hyperlink ref="O1" location="'List of Tables &amp; Charts'!A1" display="return to List of Tables &amp; Charts"/>
    <hyperlink ref="D33" location="'Chart 1b'!A1" display="Chart 1b"/>
    <hyperlink ref="D34" location="'Chart 1c'!A1" display="Chart 1c"/>
    <hyperlink ref="M6:O6" location="'Chart 1a DATA (final diagnosis)'!A1" display="view Chart 1a (final diagnosis)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14.xml><?xml version="1.0" encoding="utf-8"?>
<worksheet xmlns="http://schemas.openxmlformats.org/spreadsheetml/2006/main" xmlns:r="http://schemas.openxmlformats.org/officeDocument/2006/relationships">
  <sheetPr codeName="Sheet18">
    <pageSetUpPr fitToPage="1"/>
  </sheetPr>
  <dimension ref="A1:P18"/>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806" t="s">
        <v>643</v>
      </c>
      <c r="C1" s="806"/>
      <c r="D1" s="806"/>
      <c r="E1" s="806"/>
      <c r="F1" s="807"/>
      <c r="G1" s="806" t="s">
        <v>380</v>
      </c>
      <c r="H1" s="806"/>
      <c r="I1" s="806"/>
      <c r="J1" s="806"/>
      <c r="K1" s="807"/>
      <c r="L1" s="808" t="s">
        <v>363</v>
      </c>
      <c r="M1" s="808"/>
      <c r="N1" s="808"/>
      <c r="O1" s="808"/>
      <c r="P1" s="809"/>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5">
        <v>2014</v>
      </c>
      <c r="P2" s="405">
        <v>2015</v>
      </c>
    </row>
    <row r="3" spans="1:16">
      <c r="A3" s="511" t="s">
        <v>366</v>
      </c>
      <c r="B3" s="424">
        <f>SUM(B4:B17)</f>
        <v>8233</v>
      </c>
      <c r="C3" s="424">
        <f t="shared" ref="C3:K3" si="0">SUM(C4:C17)</f>
        <v>7976</v>
      </c>
      <c r="D3" s="424">
        <f t="shared" si="0"/>
        <v>8755</v>
      </c>
      <c r="E3" s="700">
        <f t="shared" si="0"/>
        <v>8737</v>
      </c>
      <c r="F3" s="700">
        <f t="shared" si="0"/>
        <v>9026</v>
      </c>
      <c r="G3" s="424">
        <f t="shared" si="0"/>
        <v>3530</v>
      </c>
      <c r="H3" s="424">
        <f t="shared" si="0"/>
        <v>3904</v>
      </c>
      <c r="I3" s="424">
        <f t="shared" si="0"/>
        <v>5020</v>
      </c>
      <c r="J3" s="700">
        <f t="shared" si="0"/>
        <v>5410</v>
      </c>
      <c r="K3" s="700">
        <f t="shared" si="0"/>
        <v>5753</v>
      </c>
      <c r="L3" s="403">
        <f t="shared" ref="L3:L17" si="1">G3/B3*100</f>
        <v>42.876229806874768</v>
      </c>
      <c r="M3" s="403">
        <f t="shared" ref="M3:M17" si="2">H3/C3*100</f>
        <v>48.946840521564695</v>
      </c>
      <c r="N3" s="403">
        <f t="shared" ref="N3:N17" si="3">I3/D3*100</f>
        <v>57.338663620788125</v>
      </c>
      <c r="O3" s="403">
        <f t="shared" ref="O3:O17" si="4">J3/E3*100</f>
        <v>61.920567700583732</v>
      </c>
      <c r="P3" s="403">
        <f t="shared" ref="P3:P17" si="5">K3/F3*100</f>
        <v>63.738089962331046</v>
      </c>
    </row>
    <row r="4" spans="1:16">
      <c r="A4" s="511" t="s">
        <v>367</v>
      </c>
      <c r="B4" s="424">
        <v>642</v>
      </c>
      <c r="C4" s="424">
        <v>649</v>
      </c>
      <c r="D4" s="424">
        <v>691</v>
      </c>
      <c r="E4" s="700">
        <v>635</v>
      </c>
      <c r="F4" s="700">
        <v>650</v>
      </c>
      <c r="G4" s="424">
        <v>284</v>
      </c>
      <c r="H4" s="424">
        <v>322</v>
      </c>
      <c r="I4" s="424">
        <v>403</v>
      </c>
      <c r="J4" s="700">
        <v>398</v>
      </c>
      <c r="K4" s="700">
        <v>421</v>
      </c>
      <c r="L4" s="403">
        <f t="shared" si="1"/>
        <v>44.236760124610591</v>
      </c>
      <c r="M4" s="403">
        <f t="shared" si="2"/>
        <v>49.614791987673343</v>
      </c>
      <c r="N4" s="403">
        <f t="shared" si="3"/>
        <v>58.321273516642549</v>
      </c>
      <c r="O4" s="403">
        <f t="shared" si="4"/>
        <v>62.677165354330711</v>
      </c>
      <c r="P4" s="403">
        <f t="shared" si="5"/>
        <v>64.769230769230774</v>
      </c>
    </row>
    <row r="5" spans="1:16">
      <c r="A5" s="511" t="s">
        <v>368</v>
      </c>
      <c r="B5" s="424">
        <v>231</v>
      </c>
      <c r="C5" s="424">
        <v>214</v>
      </c>
      <c r="D5" s="424">
        <v>220</v>
      </c>
      <c r="E5" s="700">
        <v>206</v>
      </c>
      <c r="F5" s="700">
        <v>219</v>
      </c>
      <c r="G5" s="424">
        <v>114</v>
      </c>
      <c r="H5" s="424">
        <v>132</v>
      </c>
      <c r="I5" s="424">
        <v>175</v>
      </c>
      <c r="J5" s="700">
        <v>176</v>
      </c>
      <c r="K5" s="700">
        <v>173</v>
      </c>
      <c r="L5" s="403">
        <f t="shared" si="1"/>
        <v>49.350649350649348</v>
      </c>
      <c r="M5" s="403">
        <f t="shared" si="2"/>
        <v>61.682242990654203</v>
      </c>
      <c r="N5" s="403">
        <f t="shared" si="3"/>
        <v>79.545454545454547</v>
      </c>
      <c r="O5" s="403">
        <f t="shared" si="4"/>
        <v>85.436893203883486</v>
      </c>
      <c r="P5" s="403">
        <f t="shared" si="5"/>
        <v>78.995433789954333</v>
      </c>
    </row>
    <row r="6" spans="1:16">
      <c r="A6" s="511" t="s">
        <v>369</v>
      </c>
      <c r="B6" s="424">
        <v>262</v>
      </c>
      <c r="C6" s="424">
        <v>301</v>
      </c>
      <c r="D6" s="424">
        <v>292</v>
      </c>
      <c r="E6" s="700">
        <v>291</v>
      </c>
      <c r="F6" s="700">
        <v>283</v>
      </c>
      <c r="G6" s="424">
        <v>133</v>
      </c>
      <c r="H6" s="424">
        <v>165</v>
      </c>
      <c r="I6" s="424">
        <v>203</v>
      </c>
      <c r="J6" s="700">
        <v>207</v>
      </c>
      <c r="K6" s="700">
        <v>202</v>
      </c>
      <c r="L6" s="403">
        <f t="shared" si="1"/>
        <v>50.763358778625957</v>
      </c>
      <c r="M6" s="403">
        <f t="shared" si="2"/>
        <v>54.817275747508312</v>
      </c>
      <c r="N6" s="403">
        <f t="shared" si="3"/>
        <v>69.520547945205479</v>
      </c>
      <c r="O6" s="403">
        <f t="shared" si="4"/>
        <v>71.134020618556704</v>
      </c>
      <c r="P6" s="403">
        <f t="shared" si="5"/>
        <v>71.378091872791515</v>
      </c>
    </row>
    <row r="7" spans="1:16">
      <c r="A7" s="511" t="s">
        <v>370</v>
      </c>
      <c r="B7" s="424">
        <v>570</v>
      </c>
      <c r="C7" s="424">
        <v>554</v>
      </c>
      <c r="D7" s="424">
        <v>613</v>
      </c>
      <c r="E7" s="700">
        <v>629</v>
      </c>
      <c r="F7" s="700">
        <v>634</v>
      </c>
      <c r="G7" s="424">
        <v>269</v>
      </c>
      <c r="H7" s="424">
        <v>277</v>
      </c>
      <c r="I7" s="424">
        <v>422</v>
      </c>
      <c r="J7" s="700">
        <v>444</v>
      </c>
      <c r="K7" s="700">
        <v>467</v>
      </c>
      <c r="L7" s="403">
        <f t="shared" si="1"/>
        <v>47.192982456140356</v>
      </c>
      <c r="M7" s="403">
        <f t="shared" si="2"/>
        <v>50</v>
      </c>
      <c r="N7" s="403">
        <f t="shared" si="3"/>
        <v>68.841761827079935</v>
      </c>
      <c r="O7" s="403">
        <f t="shared" si="4"/>
        <v>70.588235294117652</v>
      </c>
      <c r="P7" s="403">
        <f t="shared" si="5"/>
        <v>73.65930599369085</v>
      </c>
    </row>
    <row r="8" spans="1:16">
      <c r="A8" s="511" t="s">
        <v>371</v>
      </c>
      <c r="B8" s="424">
        <v>547</v>
      </c>
      <c r="C8" s="424">
        <v>476</v>
      </c>
      <c r="D8" s="424">
        <v>477</v>
      </c>
      <c r="E8" s="700">
        <v>506</v>
      </c>
      <c r="F8" s="700">
        <v>544</v>
      </c>
      <c r="G8" s="424">
        <v>192</v>
      </c>
      <c r="H8" s="424">
        <v>282</v>
      </c>
      <c r="I8" s="424">
        <v>263</v>
      </c>
      <c r="J8" s="700">
        <v>343</v>
      </c>
      <c r="K8" s="700">
        <v>365</v>
      </c>
      <c r="L8" s="403">
        <f t="shared" si="1"/>
        <v>35.100548446069467</v>
      </c>
      <c r="M8" s="403">
        <f t="shared" si="2"/>
        <v>59.243697478991599</v>
      </c>
      <c r="N8" s="403">
        <f t="shared" si="3"/>
        <v>55.136268343815509</v>
      </c>
      <c r="O8" s="403">
        <f t="shared" si="4"/>
        <v>67.786561264822126</v>
      </c>
      <c r="P8" s="403">
        <f t="shared" si="5"/>
        <v>67.095588235294116</v>
      </c>
    </row>
    <row r="9" spans="1:16">
      <c r="A9" s="511" t="s">
        <v>372</v>
      </c>
      <c r="B9" s="424">
        <v>642</v>
      </c>
      <c r="C9" s="424">
        <v>634</v>
      </c>
      <c r="D9" s="424">
        <v>689</v>
      </c>
      <c r="E9" s="700">
        <v>726</v>
      </c>
      <c r="F9" s="700">
        <v>823</v>
      </c>
      <c r="G9" s="424">
        <v>314</v>
      </c>
      <c r="H9" s="424">
        <v>364</v>
      </c>
      <c r="I9" s="424">
        <v>411</v>
      </c>
      <c r="J9" s="700">
        <v>445</v>
      </c>
      <c r="K9" s="700">
        <v>529</v>
      </c>
      <c r="L9" s="403">
        <f t="shared" si="1"/>
        <v>48.909657320872277</v>
      </c>
      <c r="M9" s="403">
        <f t="shared" si="2"/>
        <v>57.413249211356465</v>
      </c>
      <c r="N9" s="403">
        <f t="shared" si="3"/>
        <v>59.651669085631355</v>
      </c>
      <c r="O9" s="403">
        <f t="shared" si="4"/>
        <v>61.294765840220386</v>
      </c>
      <c r="P9" s="403">
        <f t="shared" si="5"/>
        <v>64.277035236938033</v>
      </c>
    </row>
    <row r="10" spans="1:16">
      <c r="A10" s="511" t="s">
        <v>373</v>
      </c>
      <c r="B10" s="424">
        <v>2116</v>
      </c>
      <c r="C10" s="424">
        <v>2259</v>
      </c>
      <c r="D10" s="424">
        <v>2256</v>
      </c>
      <c r="E10" s="700">
        <v>2252</v>
      </c>
      <c r="F10" s="700">
        <v>2234</v>
      </c>
      <c r="G10" s="424">
        <v>727</v>
      </c>
      <c r="H10" s="424">
        <v>830</v>
      </c>
      <c r="I10" s="424">
        <v>1086</v>
      </c>
      <c r="J10" s="700">
        <v>1286</v>
      </c>
      <c r="K10" s="700">
        <v>1431</v>
      </c>
      <c r="L10" s="403">
        <f t="shared" si="1"/>
        <v>34.357277882797732</v>
      </c>
      <c r="M10" s="403">
        <f t="shared" si="2"/>
        <v>36.741921204072597</v>
      </c>
      <c r="N10" s="403">
        <f t="shared" si="3"/>
        <v>48.138297872340424</v>
      </c>
      <c r="O10" s="403">
        <f t="shared" si="4"/>
        <v>57.104795737122558</v>
      </c>
      <c r="P10" s="403">
        <f t="shared" si="5"/>
        <v>64.055505819158469</v>
      </c>
    </row>
    <row r="11" spans="1:16">
      <c r="A11" s="511" t="s">
        <v>374</v>
      </c>
      <c r="B11" s="424">
        <v>511</v>
      </c>
      <c r="C11" s="424">
        <v>458</v>
      </c>
      <c r="D11" s="424">
        <v>474</v>
      </c>
      <c r="E11" s="700">
        <v>467</v>
      </c>
      <c r="F11" s="700">
        <v>499</v>
      </c>
      <c r="G11" s="424">
        <v>123</v>
      </c>
      <c r="H11" s="424">
        <v>182</v>
      </c>
      <c r="I11" s="424">
        <v>272</v>
      </c>
      <c r="J11" s="700">
        <v>295</v>
      </c>
      <c r="K11" s="700">
        <v>277</v>
      </c>
      <c r="L11" s="403">
        <f t="shared" si="1"/>
        <v>24.070450097847356</v>
      </c>
      <c r="M11" s="403">
        <f t="shared" si="2"/>
        <v>39.737991266375545</v>
      </c>
      <c r="N11" s="403">
        <f t="shared" si="3"/>
        <v>57.383966244725734</v>
      </c>
      <c r="O11" s="403">
        <f t="shared" si="4"/>
        <v>63.16916488222698</v>
      </c>
      <c r="P11" s="403">
        <f t="shared" si="5"/>
        <v>55.511022044088179</v>
      </c>
    </row>
    <row r="12" spans="1:16">
      <c r="A12" s="511" t="s">
        <v>375</v>
      </c>
      <c r="B12" s="424">
        <v>947</v>
      </c>
      <c r="C12" s="424">
        <v>760</v>
      </c>
      <c r="D12" s="424">
        <v>900</v>
      </c>
      <c r="E12" s="700">
        <v>924</v>
      </c>
      <c r="F12" s="700">
        <v>955</v>
      </c>
      <c r="G12" s="424">
        <v>480</v>
      </c>
      <c r="H12" s="424">
        <v>520</v>
      </c>
      <c r="I12" s="424">
        <v>667</v>
      </c>
      <c r="J12" s="700">
        <v>704</v>
      </c>
      <c r="K12" s="700">
        <v>657</v>
      </c>
      <c r="L12" s="403">
        <f t="shared" si="1"/>
        <v>50.686378035902848</v>
      </c>
      <c r="M12" s="403">
        <f t="shared" si="2"/>
        <v>68.421052631578945</v>
      </c>
      <c r="N12" s="403">
        <f t="shared" si="3"/>
        <v>74.111111111111114</v>
      </c>
      <c r="O12" s="403">
        <f t="shared" si="4"/>
        <v>76.19047619047619</v>
      </c>
      <c r="P12" s="403">
        <f t="shared" si="5"/>
        <v>68.795811518324612</v>
      </c>
    </row>
    <row r="13" spans="1:16">
      <c r="A13" s="511" t="s">
        <v>376</v>
      </c>
      <c r="B13" s="424">
        <v>1031</v>
      </c>
      <c r="C13" s="424">
        <v>953</v>
      </c>
      <c r="D13" s="424">
        <v>1369</v>
      </c>
      <c r="E13" s="700">
        <v>1424</v>
      </c>
      <c r="F13" s="700">
        <v>1439</v>
      </c>
      <c r="G13" s="424">
        <v>476</v>
      </c>
      <c r="H13" s="424">
        <v>406</v>
      </c>
      <c r="I13" s="424">
        <v>653</v>
      </c>
      <c r="J13" s="700">
        <v>691</v>
      </c>
      <c r="K13" s="700">
        <v>777</v>
      </c>
      <c r="L13" s="403">
        <f t="shared" si="1"/>
        <v>46.168768186226963</v>
      </c>
      <c r="M13" s="403">
        <f t="shared" si="2"/>
        <v>42.602308499475342</v>
      </c>
      <c r="N13" s="403">
        <f t="shared" si="3"/>
        <v>47.699050401753105</v>
      </c>
      <c r="O13" s="403">
        <f t="shared" si="4"/>
        <v>48.525280898876403</v>
      </c>
      <c r="P13" s="403">
        <f t="shared" si="5"/>
        <v>53.995830437804024</v>
      </c>
    </row>
    <row r="14" spans="1:16">
      <c r="A14" s="511" t="s">
        <v>594</v>
      </c>
      <c r="B14" s="424">
        <v>27</v>
      </c>
      <c r="C14" s="424">
        <v>22</v>
      </c>
      <c r="D14" s="424">
        <v>42</v>
      </c>
      <c r="E14" s="700">
        <v>40</v>
      </c>
      <c r="F14" s="700">
        <v>40</v>
      </c>
      <c r="G14" s="424">
        <v>4</v>
      </c>
      <c r="H14" s="424">
        <v>2</v>
      </c>
      <c r="I14" s="424">
        <v>10</v>
      </c>
      <c r="J14" s="700">
        <v>7</v>
      </c>
      <c r="K14" s="700">
        <v>18</v>
      </c>
      <c r="L14" s="403">
        <f t="shared" si="1"/>
        <v>14.814814814814813</v>
      </c>
      <c r="M14" s="403">
        <f t="shared" si="2"/>
        <v>9.0909090909090917</v>
      </c>
      <c r="N14" s="403">
        <f t="shared" si="3"/>
        <v>23.809523809523807</v>
      </c>
      <c r="O14" s="403">
        <f t="shared" si="4"/>
        <v>17.5</v>
      </c>
      <c r="P14" s="403">
        <f t="shared" si="5"/>
        <v>45</v>
      </c>
    </row>
    <row r="15" spans="1:16">
      <c r="A15" s="511" t="s">
        <v>377</v>
      </c>
      <c r="B15" s="424">
        <v>40</v>
      </c>
      <c r="C15" s="424">
        <v>26</v>
      </c>
      <c r="D15" s="424">
        <v>35</v>
      </c>
      <c r="E15" s="700">
        <v>35</v>
      </c>
      <c r="F15" s="700">
        <v>35</v>
      </c>
      <c r="G15" s="424">
        <v>18</v>
      </c>
      <c r="H15" s="424">
        <v>18</v>
      </c>
      <c r="I15" s="424">
        <v>19</v>
      </c>
      <c r="J15" s="700">
        <v>24</v>
      </c>
      <c r="K15" s="700">
        <v>27</v>
      </c>
      <c r="L15" s="403">
        <f t="shared" si="1"/>
        <v>45</v>
      </c>
      <c r="M15" s="403">
        <f t="shared" si="2"/>
        <v>69.230769230769226</v>
      </c>
      <c r="N15" s="403">
        <f t="shared" si="3"/>
        <v>54.285714285714285</v>
      </c>
      <c r="O15" s="403">
        <f t="shared" si="4"/>
        <v>68.571428571428569</v>
      </c>
      <c r="P15" s="403">
        <f t="shared" si="5"/>
        <v>77.142857142857153</v>
      </c>
    </row>
    <row r="16" spans="1:16">
      <c r="A16" s="511" t="s">
        <v>595</v>
      </c>
      <c r="B16" s="424">
        <v>637</v>
      </c>
      <c r="C16" s="424">
        <v>639</v>
      </c>
      <c r="D16" s="424">
        <v>667</v>
      </c>
      <c r="E16" s="700">
        <v>580</v>
      </c>
      <c r="F16" s="700">
        <v>636</v>
      </c>
      <c r="G16" s="424">
        <v>380</v>
      </c>
      <c r="H16" s="424">
        <v>389</v>
      </c>
      <c r="I16" s="424">
        <v>419</v>
      </c>
      <c r="J16" s="700">
        <v>372</v>
      </c>
      <c r="K16" s="700">
        <v>381</v>
      </c>
      <c r="L16" s="403">
        <f t="shared" si="1"/>
        <v>59.654631083202517</v>
      </c>
      <c r="M16" s="403">
        <f t="shared" si="2"/>
        <v>60.876369327073554</v>
      </c>
      <c r="N16" s="403">
        <f t="shared" si="3"/>
        <v>62.818590704647683</v>
      </c>
      <c r="O16" s="403">
        <f t="shared" si="4"/>
        <v>64.137931034482747</v>
      </c>
      <c r="P16" s="403">
        <f t="shared" si="5"/>
        <v>59.905660377358494</v>
      </c>
    </row>
    <row r="17" spans="1:16">
      <c r="A17" s="511" t="s">
        <v>592</v>
      </c>
      <c r="B17" s="424">
        <v>30</v>
      </c>
      <c r="C17" s="424">
        <v>31</v>
      </c>
      <c r="D17" s="424">
        <v>30</v>
      </c>
      <c r="E17" s="700">
        <v>22</v>
      </c>
      <c r="F17" s="700">
        <v>35</v>
      </c>
      <c r="G17" s="424">
        <v>16</v>
      </c>
      <c r="H17" s="424">
        <v>15</v>
      </c>
      <c r="I17" s="424">
        <v>17</v>
      </c>
      <c r="J17" s="700">
        <v>18</v>
      </c>
      <c r="K17" s="700">
        <v>28</v>
      </c>
      <c r="L17" s="403">
        <f t="shared" si="1"/>
        <v>53.333333333333336</v>
      </c>
      <c r="M17" s="403">
        <f t="shared" si="2"/>
        <v>48.387096774193552</v>
      </c>
      <c r="N17" s="403">
        <f t="shared" si="3"/>
        <v>56.666666666666664</v>
      </c>
      <c r="O17" s="403">
        <f t="shared" si="4"/>
        <v>81.818181818181827</v>
      </c>
      <c r="P17" s="403">
        <f t="shared" si="5"/>
        <v>80</v>
      </c>
    </row>
    <row r="18" spans="1:16">
      <c r="A18" s="401" t="s">
        <v>381</v>
      </c>
    </row>
  </sheetData>
  <sheetProtection password="B8D9" sheet="1" objects="1" scenarios="1"/>
  <mergeCells count="4">
    <mergeCell ref="A1:A2"/>
    <mergeCell ref="B1:F1"/>
    <mergeCell ref="G1:K1"/>
    <mergeCell ref="L1:P1"/>
  </mergeCells>
  <printOptions horizontalCentered="1"/>
  <pageMargins left="0" right="0" top="1.0629921259842521" bottom="0.74803149606299213" header="0.31496062992125984" footer="0.31496062992125984"/>
  <pageSetup paperSize="9" orientation="landscape" r:id="rId1"/>
  <headerFooter>
    <oddHeader>&amp;LChart 1a DATA
Trend in percentage of stroke patients receiving an 'appropriate' Stroke Care Bundle (i.e. Stroke Unit admission, swallow screen, brain scan and aspirin), by NHS Board, 2011 - 2015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15.xml><?xml version="1.0" encoding="utf-8"?>
<worksheet xmlns="http://schemas.openxmlformats.org/spreadsheetml/2006/main" xmlns:r="http://schemas.openxmlformats.org/officeDocument/2006/relationships">
  <sheetPr codeName="Sheet2"/>
  <dimension ref="A1:O48"/>
  <sheetViews>
    <sheetView workbookViewId="0"/>
  </sheetViews>
  <sheetFormatPr defaultRowHeight="12.75"/>
  <cols>
    <col min="1" max="1" width="1.7109375" style="2" customWidth="1"/>
    <col min="2" max="16384" width="9.140625" style="2"/>
  </cols>
  <sheetData>
    <row r="1" spans="1:15" ht="12.75" customHeight="1">
      <c r="A1" s="1"/>
      <c r="B1" s="798" t="s">
        <v>494</v>
      </c>
      <c r="C1" s="798"/>
      <c r="D1" s="798"/>
      <c r="E1" s="798"/>
      <c r="F1" s="798"/>
      <c r="G1" s="798"/>
      <c r="H1" s="798"/>
      <c r="I1" s="798"/>
      <c r="J1" s="798"/>
      <c r="K1" s="798"/>
      <c r="L1" s="798"/>
      <c r="M1" s="798"/>
      <c r="N1" s="798"/>
      <c r="O1" s="802" t="s">
        <v>48</v>
      </c>
    </row>
    <row r="2" spans="1:15">
      <c r="B2" s="798"/>
      <c r="C2" s="798"/>
      <c r="D2" s="798"/>
      <c r="E2" s="798"/>
      <c r="F2" s="798"/>
      <c r="G2" s="798"/>
      <c r="H2" s="798"/>
      <c r="I2" s="798"/>
      <c r="J2" s="798"/>
      <c r="K2" s="798"/>
      <c r="L2" s="798"/>
      <c r="M2" s="798"/>
      <c r="N2" s="798"/>
      <c r="O2" s="802"/>
    </row>
    <row r="3" spans="1:15">
      <c r="B3" s="798"/>
      <c r="C3" s="798"/>
      <c r="D3" s="798"/>
      <c r="E3" s="798"/>
      <c r="F3" s="798"/>
      <c r="G3" s="798"/>
      <c r="H3" s="798"/>
      <c r="I3" s="798"/>
      <c r="J3" s="798"/>
      <c r="K3" s="798"/>
      <c r="L3" s="798"/>
      <c r="M3" s="798"/>
      <c r="N3" s="798"/>
      <c r="O3" s="802"/>
    </row>
    <row r="4" spans="1:15" s="114" customFormat="1" ht="18" customHeight="1">
      <c r="B4" s="285" t="s">
        <v>495</v>
      </c>
      <c r="C4" s="285"/>
      <c r="D4" s="285"/>
      <c r="E4" s="285"/>
      <c r="F4" s="285"/>
      <c r="G4" s="285"/>
      <c r="H4" s="285"/>
      <c r="I4" s="285"/>
      <c r="J4" s="285"/>
      <c r="K4" s="285"/>
      <c r="L4" s="285"/>
      <c r="M4" s="285"/>
      <c r="N4" s="285"/>
      <c r="O4" s="802"/>
    </row>
    <row r="5" spans="1:15" s="393" customFormat="1">
      <c r="B5" s="810" t="s">
        <v>501</v>
      </c>
      <c r="C5" s="810"/>
      <c r="D5" s="810"/>
      <c r="E5" s="810"/>
      <c r="F5" s="810"/>
      <c r="G5" s="810"/>
      <c r="H5" s="810"/>
      <c r="I5" s="810"/>
      <c r="J5" s="810"/>
      <c r="K5" s="810"/>
      <c r="L5" s="810"/>
      <c r="M5" s="810"/>
      <c r="N5" s="294"/>
      <c r="O5" s="392"/>
    </row>
    <row r="6" spans="1:15">
      <c r="B6" s="810"/>
      <c r="C6" s="810"/>
      <c r="D6" s="810"/>
      <c r="E6" s="810"/>
      <c r="F6" s="810"/>
      <c r="G6" s="810"/>
      <c r="H6" s="810"/>
      <c r="I6" s="810"/>
      <c r="J6" s="810"/>
      <c r="K6" s="810"/>
      <c r="L6" s="810"/>
      <c r="M6" s="810"/>
      <c r="N6" s="803" t="s">
        <v>462</v>
      </c>
      <c r="O6" s="803"/>
    </row>
    <row r="35" spans="2:15">
      <c r="B35" s="61"/>
      <c r="C35" s="61"/>
      <c r="D35" s="61"/>
      <c r="E35" s="61"/>
      <c r="F35" s="61"/>
      <c r="G35" s="61"/>
      <c r="H35" s="61"/>
      <c r="I35" s="61"/>
      <c r="J35" s="61"/>
      <c r="K35" s="61"/>
      <c r="L35" s="61"/>
      <c r="M35" s="61"/>
      <c r="N35" s="61"/>
      <c r="O35" s="61"/>
    </row>
    <row r="36" spans="2:15">
      <c r="B36" s="61"/>
      <c r="C36" s="61"/>
      <c r="D36" s="61"/>
      <c r="E36" s="61"/>
      <c r="F36" s="61"/>
      <c r="G36" s="61"/>
      <c r="H36" s="61"/>
      <c r="I36" s="61"/>
      <c r="J36" s="61"/>
      <c r="K36" s="61"/>
      <c r="L36" s="61"/>
      <c r="M36" s="61"/>
      <c r="N36" s="61"/>
      <c r="O36" s="61"/>
    </row>
    <row r="37" spans="2:15">
      <c r="B37" s="61"/>
      <c r="C37" s="61"/>
      <c r="D37" s="61"/>
      <c r="E37" s="61"/>
      <c r="F37" s="61"/>
      <c r="G37" s="61"/>
      <c r="H37" s="61"/>
      <c r="I37" s="61"/>
      <c r="J37" s="61"/>
      <c r="K37" s="61"/>
      <c r="L37" s="61"/>
      <c r="M37" s="61"/>
      <c r="N37" s="61"/>
      <c r="O37" s="61"/>
    </row>
    <row r="38" spans="2:15">
      <c r="B38" s="61"/>
      <c r="C38" s="61"/>
      <c r="D38" s="61"/>
      <c r="E38" s="61"/>
      <c r="F38" s="61"/>
      <c r="G38" s="61"/>
      <c r="H38" s="61"/>
      <c r="I38" s="61"/>
      <c r="J38" s="61"/>
      <c r="K38" s="61"/>
      <c r="L38" s="61"/>
      <c r="M38" s="61"/>
      <c r="N38" s="61"/>
      <c r="O38" s="61"/>
    </row>
    <row r="39" spans="2:15">
      <c r="B39" s="61"/>
      <c r="C39" s="61"/>
      <c r="D39" s="61"/>
      <c r="E39" s="61"/>
      <c r="F39" s="61"/>
      <c r="G39" s="61"/>
      <c r="H39" s="61"/>
      <c r="I39" s="61"/>
      <c r="J39" s="61"/>
      <c r="K39" s="61"/>
      <c r="L39" s="61"/>
      <c r="M39" s="61"/>
      <c r="N39" s="61"/>
      <c r="O39" s="61"/>
    </row>
    <row r="40" spans="2:15">
      <c r="B40" s="61"/>
      <c r="C40" s="61"/>
      <c r="D40" s="61"/>
      <c r="E40" s="61"/>
      <c r="F40" s="61"/>
      <c r="G40" s="61"/>
      <c r="H40" s="61"/>
      <c r="I40" s="61"/>
      <c r="J40" s="61"/>
      <c r="K40" s="61"/>
      <c r="L40" s="61"/>
      <c r="M40" s="61"/>
      <c r="N40" s="61"/>
      <c r="O40" s="61"/>
    </row>
    <row r="41" spans="2:15">
      <c r="B41" s="61"/>
      <c r="C41" s="61"/>
      <c r="D41" s="61"/>
      <c r="E41" s="61"/>
      <c r="F41" s="61"/>
      <c r="G41" s="61"/>
      <c r="H41" s="61"/>
      <c r="I41" s="61"/>
      <c r="J41" s="61"/>
      <c r="K41" s="61"/>
      <c r="L41" s="61"/>
      <c r="M41" s="61"/>
      <c r="N41" s="61"/>
      <c r="O41" s="61"/>
    </row>
    <row r="42" spans="2:15">
      <c r="B42" s="61"/>
      <c r="C42" s="61"/>
      <c r="D42" s="61"/>
      <c r="E42" s="61"/>
      <c r="F42" s="61"/>
      <c r="G42" s="61"/>
      <c r="H42" s="61"/>
      <c r="I42" s="61"/>
      <c r="J42" s="61"/>
      <c r="K42" s="61"/>
      <c r="L42" s="61"/>
      <c r="M42" s="61"/>
      <c r="N42" s="61"/>
      <c r="O42" s="61"/>
    </row>
    <row r="43" spans="2:15">
      <c r="B43" s="61"/>
      <c r="C43" s="61"/>
      <c r="D43" s="61"/>
      <c r="E43" s="61"/>
      <c r="F43" s="61"/>
      <c r="G43" s="61"/>
      <c r="H43" s="61"/>
      <c r="I43" s="61"/>
      <c r="J43" s="61"/>
      <c r="K43" s="61"/>
      <c r="L43" s="61"/>
      <c r="M43" s="61"/>
      <c r="N43" s="61"/>
      <c r="O43" s="61"/>
    </row>
    <row r="44" spans="2:15">
      <c r="B44" s="61"/>
      <c r="C44" s="61"/>
      <c r="D44" s="61"/>
      <c r="E44" s="61"/>
      <c r="F44" s="61"/>
      <c r="G44" s="61"/>
      <c r="H44" s="61"/>
      <c r="I44" s="61"/>
      <c r="J44" s="61"/>
      <c r="K44" s="61"/>
      <c r="L44" s="61"/>
      <c r="M44" s="61"/>
      <c r="N44" s="61"/>
      <c r="O44" s="61"/>
    </row>
    <row r="45" spans="2:15">
      <c r="B45" s="61"/>
      <c r="C45" s="61"/>
      <c r="D45" s="61"/>
      <c r="E45" s="61"/>
      <c r="F45" s="61"/>
      <c r="G45" s="61"/>
      <c r="H45" s="61"/>
      <c r="I45" s="61"/>
      <c r="J45" s="61"/>
      <c r="K45" s="61"/>
      <c r="L45" s="61"/>
      <c r="M45" s="61"/>
      <c r="N45" s="61"/>
      <c r="O45" s="61"/>
    </row>
    <row r="46" spans="2:15">
      <c r="B46" s="61"/>
      <c r="C46" s="61"/>
      <c r="D46" s="61"/>
      <c r="E46" s="61"/>
      <c r="F46" s="61"/>
      <c r="G46" s="61"/>
      <c r="H46" s="61"/>
      <c r="I46" s="61"/>
      <c r="J46" s="61"/>
      <c r="K46" s="61"/>
      <c r="L46" s="61"/>
      <c r="M46" s="61"/>
      <c r="N46" s="61"/>
      <c r="O46" s="61"/>
    </row>
    <row r="47" spans="2:15">
      <c r="B47" s="61"/>
      <c r="C47" s="61"/>
      <c r="D47" s="61"/>
      <c r="E47" s="61"/>
      <c r="F47" s="61"/>
      <c r="G47" s="61"/>
      <c r="H47" s="61"/>
      <c r="I47" s="61"/>
      <c r="J47" s="61"/>
      <c r="K47" s="61"/>
      <c r="L47" s="61"/>
      <c r="M47" s="61"/>
      <c r="N47" s="61"/>
      <c r="O47" s="61"/>
    </row>
    <row r="48" spans="2:15">
      <c r="B48" s="61"/>
      <c r="C48" s="61"/>
      <c r="D48" s="61"/>
      <c r="E48" s="61"/>
      <c r="F48" s="61"/>
      <c r="G48" s="61"/>
      <c r="H48" s="61"/>
      <c r="I48" s="61"/>
      <c r="J48" s="61"/>
      <c r="K48" s="61"/>
      <c r="L48" s="61"/>
      <c r="M48" s="61"/>
      <c r="N48" s="61"/>
      <c r="O48" s="61"/>
    </row>
  </sheetData>
  <sheetProtection password="B8D9" sheet="1" objects="1" scenarios="1"/>
  <mergeCells count="4">
    <mergeCell ref="B1:N3"/>
    <mergeCell ref="O1:O4"/>
    <mergeCell ref="B5:M6"/>
    <mergeCell ref="N6:O6"/>
  </mergeCells>
  <hyperlinks>
    <hyperlink ref="O1" location="'List of Tables &amp; Charts'!A1" display="return to List of Tables &amp; Charts"/>
    <hyperlink ref="N6:O6" location="'Chart 1b DATA'!A1" display="view Chart 1a data"/>
  </hyperlinks>
  <pageMargins left="0" right="0" top="0.74803149606299213" bottom="0.74803149606299213" header="0.31496062992125984" footer="0.31496062992125984"/>
  <pageSetup paperSize="9" orientation="landscape" r:id="rId1"/>
  <headerFooter>
    <oddFooter>&amp;L&amp;8Scottish Stroke Care Audit 2016 National Report
Stroke Services in Scottish Hospitals, Data relating to 2015&amp;R&amp;8© NHS National Services Scotland/Crown Copyright</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sheetPr codeName="Sheet3">
    <pageSetUpPr fitToPage="1"/>
  </sheetPr>
  <dimension ref="A1:T17"/>
  <sheetViews>
    <sheetView zoomScaleNormal="100" workbookViewId="0">
      <selection sqref="A1:A2"/>
    </sheetView>
  </sheetViews>
  <sheetFormatPr defaultRowHeight="11.25"/>
  <cols>
    <col min="1" max="1" width="19" style="211" bestFit="1" customWidth="1"/>
    <col min="2" max="8" width="9.140625" style="211"/>
    <col min="9" max="14" width="9.7109375" style="211" customWidth="1"/>
    <col min="15" max="15" width="19" style="211" bestFit="1" customWidth="1"/>
    <col min="16" max="16" width="45.7109375" style="211" customWidth="1"/>
    <col min="17" max="20" width="11.7109375" style="315" customWidth="1"/>
    <col min="21" max="16384" width="9.140625" style="211"/>
  </cols>
  <sheetData>
    <row r="1" spans="1:20" ht="30" customHeight="1">
      <c r="A1" s="811" t="s">
        <v>19</v>
      </c>
      <c r="B1" s="813" t="s">
        <v>490</v>
      </c>
      <c r="C1" s="814"/>
      <c r="D1" s="814"/>
      <c r="E1" s="814"/>
      <c r="F1" s="814"/>
      <c r="G1" s="814"/>
      <c r="H1" s="814"/>
      <c r="I1" s="295"/>
      <c r="J1" s="296"/>
      <c r="K1" s="296"/>
      <c r="L1" s="296"/>
      <c r="M1" s="296"/>
      <c r="N1" s="296"/>
      <c r="O1" s="815" t="s">
        <v>20</v>
      </c>
      <c r="P1" s="816"/>
      <c r="Q1" s="815">
        <v>2014</v>
      </c>
      <c r="R1" s="815"/>
      <c r="S1" s="815">
        <v>2015</v>
      </c>
      <c r="T1" s="815"/>
    </row>
    <row r="2" spans="1:20" ht="23.25" customHeight="1">
      <c r="A2" s="812"/>
      <c r="B2" s="297" t="s">
        <v>298</v>
      </c>
      <c r="C2" s="297" t="s">
        <v>491</v>
      </c>
      <c r="D2" s="298" t="s">
        <v>299</v>
      </c>
      <c r="E2" s="817" t="s">
        <v>492</v>
      </c>
      <c r="F2" s="817"/>
      <c r="G2" s="817" t="s">
        <v>493</v>
      </c>
      <c r="H2" s="818"/>
      <c r="I2" s="299" t="s">
        <v>300</v>
      </c>
      <c r="J2" s="300" t="s">
        <v>502</v>
      </c>
      <c r="K2" s="301" t="s">
        <v>24</v>
      </c>
      <c r="L2" s="302" t="s">
        <v>16</v>
      </c>
      <c r="M2" s="302" t="s">
        <v>15</v>
      </c>
      <c r="N2" s="303" t="s">
        <v>25</v>
      </c>
      <c r="O2" s="304" t="s">
        <v>26</v>
      </c>
      <c r="P2" s="305" t="s">
        <v>27</v>
      </c>
      <c r="Q2" s="305" t="s">
        <v>28</v>
      </c>
      <c r="R2" s="305" t="s">
        <v>29</v>
      </c>
      <c r="S2" s="305" t="s">
        <v>28</v>
      </c>
      <c r="T2" s="305" t="s">
        <v>29</v>
      </c>
    </row>
    <row r="3" spans="1:20">
      <c r="A3" s="306" t="s">
        <v>137</v>
      </c>
      <c r="B3" s="307">
        <f t="shared" ref="B3" si="0">Q3/R3*100</f>
        <v>66.340575588670234</v>
      </c>
      <c r="C3" s="307">
        <f t="shared" ref="C3" si="1">S3/T3*100</f>
        <v>68.759794045220502</v>
      </c>
      <c r="D3" s="307" t="s">
        <v>268</v>
      </c>
      <c r="E3" s="16">
        <f t="shared" ref="E3" si="2">SUM(1*MID(I3,1,FIND(" - ",I3)-1))</f>
        <v>65</v>
      </c>
      <c r="F3" s="308">
        <f t="shared" ref="F3" si="3">SUM(1*MID(I3,FIND(" - ",I3)+2,LEN(I3)))</f>
        <v>67</v>
      </c>
      <c r="G3" s="308">
        <f t="shared" ref="G3" si="4">SUM(1*MID(J3,1,FIND(" - ",J3)-1))</f>
        <v>68</v>
      </c>
      <c r="H3" s="308">
        <f t="shared" ref="H3" si="5">SUM(1*MID(J3,FIND(" - ",J3)+2,LEN(J3)))</f>
        <v>70</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65 - 67</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68 - 70</v>
      </c>
      <c r="K3" s="311">
        <f t="shared" ref="K3" si="8">C3-B3</f>
        <v>2.4192184565502686</v>
      </c>
      <c r="L3" s="312">
        <f t="shared" ref="L3" si="9">((S3/T3)-(Q3/R3))-(NORMSINV(1-(0.05/COUNTA($O$3:$O$34)))*(SQRT((((Q3/R3)*(1-(Q3/R3)))/R3)+(((S3/T3)*(1-(S3/T3)))/T3))))</f>
        <v>5.1148607613545095E-3</v>
      </c>
      <c r="M3" s="312">
        <f t="shared" ref="M3" si="10">((S3/T3)-(Q3/R3))+(NORMSINV(1-(0.05/COUNTA($O$3:$O$34)))*(SQRT((((Q3/R3)*(1-(Q3/R3)))/R3)+(((S3/T3)*(1-(S3/T3)))/T3))))</f>
        <v>4.3269508369650794E-2</v>
      </c>
      <c r="N3" s="313">
        <f t="shared" ref="N3" si="11">IF(ISERR(IF(AND(((S3/T3)-(Q3/R3))-(NORMSINV(1-(0.05/COUNTA($P$3:$P$17)))*(SQRT((((Q3/R3)*(1-(Q3/R3)))/R3)+(((S3/T3)*(1-(S3/T3)))/T3))))&gt;0,((S3/T3)-(Q3/R3))+(NORMSINV(1-(0.05/COUNTA($P$3:$P$17)))*(SQRT((((Q3/R3)*(1-(Q3/R3)))/R3)+(((S3/T3)*(1-(S3/T3)))/T3))))&gt;0),1,IF(AND(((S3/T3)-(Q3/R3))-(NORMSINV(1-(0.05/COUNTA($P$3:$P$17)))*(SQRT((((Q3/R3)*(1-(Q3/R3)))/R3)+(((S3/T3)*(1-(S3/T3)))/T3))))&lt;0,((S3/T3)-(Q3/R3))+(NORMSINV(1-(0.05/COUNTA($P$3:$P$17)))*(SQRT((((Q3/R3)*(1-(Q3/R3)))/R3)+(((S3/T3)*(1-(S3/T3)))/T3))))&lt;0),-1,0))),"",IF(AND(((S3/T3)-(Q3/R3))-(NORMSINV(1-(0.05/COUNTA($P$3:$P$17)))*(SQRT((((Q3/R3)*(1-(Q3/R3)))/R3)+(((S3/T3)*(1-(S3/T3)))/T3))))&gt;0,((S3/T3)-(Q3/R3))+(NORMSINV(1-(0.05/COUNTA($P$3:$P$17)))*(SQRT((((Q3/R3)*(1-(Q3/R3)))/R3)+(((S3/T3)*(1-(S3/T3)))/T3))))&gt;0),1,IF(AND(((S3/T3)-(Q3/R3))-(NORMSINV(1-(0.05/COUNTA($P$3:$P$17)))*(SQRT((((Q3/R3)*(1-(Q3/R3)))/R3)+(((S3/T3)*(1-(S3/T3)))/T3))))&lt;0,((S3/T3)-(Q3/R3))+(NORMSINV(1-(0.05/COUNTA($P$3:$P$17)))*(SQRT((((Q3/R3)*(1-(Q3/R3)))/R3)+(((S3/T3)*(1-(S3/T3)))/T3))))&lt;0),-1,0)))</f>
        <v>1</v>
      </c>
      <c r="O3" s="306" t="s">
        <v>137</v>
      </c>
      <c r="P3" s="306" t="s">
        <v>286</v>
      </c>
      <c r="Q3" s="425">
        <v>5832</v>
      </c>
      <c r="R3" s="425">
        <v>8791</v>
      </c>
      <c r="S3" s="425">
        <v>6143</v>
      </c>
      <c r="T3" s="425">
        <v>8934</v>
      </c>
    </row>
    <row r="4" spans="1:20">
      <c r="A4" s="306" t="s">
        <v>476</v>
      </c>
      <c r="B4" s="307">
        <f t="shared" ref="B4:B17" si="12">Q4/R4*100</f>
        <v>87.684729064039416</v>
      </c>
      <c r="C4" s="307">
        <f t="shared" ref="C4:C17" si="13">S4/T4*100</f>
        <v>84.210526315789465</v>
      </c>
      <c r="D4" s="308">
        <v>90</v>
      </c>
      <c r="E4" s="308">
        <f t="shared" ref="E4:E17" si="14">SUM(1*MID(I4,1,FIND(" - ",I4)-1))</f>
        <v>82</v>
      </c>
      <c r="F4" s="308">
        <f t="shared" ref="F4:F17" si="15">SUM(1*MID(I4,FIND(" - ",I4)+2,LEN(I4)))</f>
        <v>92</v>
      </c>
      <c r="G4" s="308">
        <f t="shared" ref="G4:G17" si="16">SUM(1*MID(J4,1,FIND(" - ",J4)-1))</f>
        <v>79</v>
      </c>
      <c r="H4" s="308">
        <f t="shared" ref="H4:H17" si="17">SUM(1*MID(J4,FIND(" - ",J4)+2,LEN(J4)))</f>
        <v>89</v>
      </c>
      <c r="I4" s="314" t="str">
        <f t="shared" ref="I4:I17" si="18">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82 - 92</v>
      </c>
      <c r="J4" s="310" t="str">
        <f t="shared" ref="J4:J17" si="19">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79 - 89</v>
      </c>
      <c r="K4" s="311">
        <f t="shared" ref="K4:K17" si="20">C4-B4</f>
        <v>-3.4742027482499509</v>
      </c>
      <c r="L4" s="312">
        <f t="shared" ref="L4:L17" si="21">((S4/T4)-(Q4/R4))-(NORMSINV(1-(0.05/COUNTA($O$3:$O$34)))*(SQRT((((Q4/R4)*(1-(Q4/R4)))/R4)+(((S4/T4)*(1-(S4/T4)))/T4))))</f>
        <v>-0.12746899189575134</v>
      </c>
      <c r="M4" s="312">
        <f t="shared" ref="M4:M17" si="22">((S4/T4)-(Q4/R4))+(NORMSINV(1-(0.05/COUNTA($O$3:$O$34)))*(SQRT((((Q4/R4)*(1-(Q4/R4)))/R4)+(((S4/T4)*(1-(S4/T4)))/T4))))</f>
        <v>5.7984936930752476E-2</v>
      </c>
      <c r="N4" s="313">
        <f t="shared" ref="N4:N17" si="23">IF(ISERR(IF(AND(((S4/T4)-(Q4/R4))-(NORMSINV(1-(0.05/COUNTA($P$3:$P$17)))*(SQRT((((Q4/R4)*(1-(Q4/R4)))/R4)+(((S4/T4)*(1-(S4/T4)))/T4))))&gt;0,((S4/T4)-(Q4/R4))+(NORMSINV(1-(0.05/COUNTA($P$3:$P$17)))*(SQRT((((Q4/R4)*(1-(Q4/R4)))/R4)+(((S4/T4)*(1-(S4/T4)))/T4))))&gt;0),1,IF(AND(((S4/T4)-(Q4/R4))-(NORMSINV(1-(0.05/COUNTA($P$3:$P$17)))*(SQRT((((Q4/R4)*(1-(Q4/R4)))/R4)+(((S4/T4)*(1-(S4/T4)))/T4))))&lt;0,((S4/T4)-(Q4/R4))+(NORMSINV(1-(0.05/COUNTA($P$3:$P$17)))*(SQRT((((Q4/R4)*(1-(Q4/R4)))/R4)+(((S4/T4)*(1-(S4/T4)))/T4))))&lt;0),-1,0))),"",IF(AND(((S4/T4)-(Q4/R4))-(NORMSINV(1-(0.05/COUNTA($P$3:$P$17)))*(SQRT((((Q4/R4)*(1-(Q4/R4)))/R4)+(((S4/T4)*(1-(S4/T4)))/T4))))&gt;0,((S4/T4)-(Q4/R4))+(NORMSINV(1-(0.05/COUNTA($P$3:$P$17)))*(SQRT((((Q4/R4)*(1-(Q4/R4)))/R4)+(((S4/T4)*(1-(S4/T4)))/T4))))&gt;0),1,IF(AND(((S4/T4)-(Q4/R4))-(NORMSINV(1-(0.05/COUNTA($P$3:$P$17)))*(SQRT((((Q4/R4)*(1-(Q4/R4)))/R4)+(((S4/T4)*(1-(S4/T4)))/T4))))&lt;0,((S4/T4)-(Q4/R4))+(NORMSINV(1-(0.05/COUNTA($P$3:$P$17)))*(SQRT((((Q4/R4)*(1-(Q4/R4)))/R4)+(((S4/T4)*(1-(S4/T4)))/T4))))&lt;0),-1,0)))</f>
        <v>0</v>
      </c>
      <c r="O4" s="306" t="str">
        <f t="shared" ref="O4:O17" si="24">P4</f>
        <v xml:space="preserve"> Borders</v>
      </c>
      <c r="P4" s="306" t="s">
        <v>476</v>
      </c>
      <c r="Q4" s="425">
        <v>178</v>
      </c>
      <c r="R4" s="425">
        <v>203</v>
      </c>
      <c r="S4" s="425">
        <v>176</v>
      </c>
      <c r="T4" s="425">
        <v>209</v>
      </c>
    </row>
    <row r="5" spans="1:20">
      <c r="A5" s="306" t="s">
        <v>496</v>
      </c>
      <c r="B5" s="307">
        <f t="shared" si="12"/>
        <v>85.714285714285708</v>
      </c>
      <c r="C5" s="307">
        <f t="shared" si="13"/>
        <v>82.35294117647058</v>
      </c>
      <c r="D5" s="308">
        <v>70</v>
      </c>
      <c r="E5" s="308">
        <f t="shared" si="14"/>
        <v>69</v>
      </c>
      <c r="F5" s="308">
        <f t="shared" si="15"/>
        <v>94</v>
      </c>
      <c r="G5" s="308">
        <f t="shared" si="16"/>
        <v>66</v>
      </c>
      <c r="H5" s="308">
        <f t="shared" si="17"/>
        <v>92</v>
      </c>
      <c r="I5" s="314" t="str">
        <f t="shared" si="18"/>
        <v>69 - 94</v>
      </c>
      <c r="J5" s="310" t="str">
        <f t="shared" si="19"/>
        <v>66 - 92</v>
      </c>
      <c r="K5" s="311">
        <f t="shared" si="20"/>
        <v>-3.3613445378151283</v>
      </c>
      <c r="L5" s="312">
        <f t="shared" si="21"/>
        <v>-0.28590614845977719</v>
      </c>
      <c r="M5" s="312">
        <f t="shared" si="22"/>
        <v>0.21867925770347468</v>
      </c>
      <c r="N5" s="313">
        <f t="shared" si="23"/>
        <v>0</v>
      </c>
      <c r="O5" s="306" t="str">
        <f t="shared" si="24"/>
        <v xml:space="preserve"> Western Isles</v>
      </c>
      <c r="P5" s="306" t="s">
        <v>477</v>
      </c>
      <c r="Q5" s="425">
        <v>24</v>
      </c>
      <c r="R5" s="425">
        <v>28</v>
      </c>
      <c r="S5" s="425">
        <v>28</v>
      </c>
      <c r="T5" s="425">
        <v>34</v>
      </c>
    </row>
    <row r="6" spans="1:20">
      <c r="A6" s="306" t="s">
        <v>497</v>
      </c>
      <c r="B6" s="307">
        <f t="shared" si="12"/>
        <v>73.646209386281598</v>
      </c>
      <c r="C6" s="307">
        <f t="shared" si="13"/>
        <v>80.859375</v>
      </c>
      <c r="D6" s="308">
        <v>78</v>
      </c>
      <c r="E6" s="308">
        <f t="shared" si="14"/>
        <v>68</v>
      </c>
      <c r="F6" s="308">
        <f t="shared" si="15"/>
        <v>78</v>
      </c>
      <c r="G6" s="308">
        <f t="shared" si="16"/>
        <v>76</v>
      </c>
      <c r="H6" s="308">
        <f t="shared" si="17"/>
        <v>85</v>
      </c>
      <c r="I6" s="314" t="str">
        <f t="shared" si="18"/>
        <v>68 - 78</v>
      </c>
      <c r="J6" s="310" t="str">
        <f t="shared" si="19"/>
        <v>76 - 85</v>
      </c>
      <c r="K6" s="311">
        <f t="shared" si="20"/>
        <v>7.2131656137184024</v>
      </c>
      <c r="L6" s="312">
        <f t="shared" si="21"/>
        <v>-2.588577709816596E-2</v>
      </c>
      <c r="M6" s="312">
        <f t="shared" si="22"/>
        <v>0.17014908937253415</v>
      </c>
      <c r="N6" s="313">
        <f t="shared" si="23"/>
        <v>0</v>
      </c>
      <c r="O6" s="306" t="str">
        <f t="shared" si="24"/>
        <v xml:space="preserve"> Dumfries &amp; Galloway</v>
      </c>
      <c r="P6" s="306" t="s">
        <v>479</v>
      </c>
      <c r="Q6" s="425">
        <v>204</v>
      </c>
      <c r="R6" s="425">
        <v>277</v>
      </c>
      <c r="S6" s="425">
        <v>207</v>
      </c>
      <c r="T6" s="425">
        <v>256</v>
      </c>
    </row>
    <row r="7" spans="1:20">
      <c r="A7" s="306" t="s">
        <v>498</v>
      </c>
      <c r="B7" s="307">
        <f t="shared" si="12"/>
        <v>71.875</v>
      </c>
      <c r="C7" s="307">
        <f t="shared" si="13"/>
        <v>80</v>
      </c>
      <c r="D7" s="308">
        <v>70</v>
      </c>
      <c r="E7" s="308">
        <f t="shared" si="14"/>
        <v>55</v>
      </c>
      <c r="F7" s="308">
        <f t="shared" si="15"/>
        <v>84</v>
      </c>
      <c r="G7" s="308">
        <f t="shared" si="16"/>
        <v>64</v>
      </c>
      <c r="H7" s="308">
        <f t="shared" si="17"/>
        <v>90</v>
      </c>
      <c r="I7" s="314" t="str">
        <f t="shared" si="18"/>
        <v>55 - 84</v>
      </c>
      <c r="J7" s="310" t="str">
        <f t="shared" si="19"/>
        <v>64 - 90</v>
      </c>
      <c r="K7" s="311">
        <f t="shared" si="20"/>
        <v>8.125</v>
      </c>
      <c r="L7" s="312">
        <f t="shared" si="21"/>
        <v>-0.20185234626930249</v>
      </c>
      <c r="M7" s="312">
        <f t="shared" si="22"/>
        <v>0.36435234626930257</v>
      </c>
      <c r="N7" s="313">
        <f t="shared" si="23"/>
        <v>0</v>
      </c>
      <c r="O7" s="306" t="str">
        <f t="shared" si="24"/>
        <v xml:space="preserve"> Shetland</v>
      </c>
      <c r="P7" s="306" t="s">
        <v>478</v>
      </c>
      <c r="Q7" s="425">
        <v>23</v>
      </c>
      <c r="R7" s="425">
        <v>32</v>
      </c>
      <c r="S7" s="425">
        <v>28</v>
      </c>
      <c r="T7" s="425">
        <v>35</v>
      </c>
    </row>
    <row r="8" spans="1:20">
      <c r="A8" s="306" t="s">
        <v>480</v>
      </c>
      <c r="B8" s="307">
        <f t="shared" si="12"/>
        <v>77.172061328790463</v>
      </c>
      <c r="C8" s="307">
        <f t="shared" si="13"/>
        <v>78.13455657492355</v>
      </c>
      <c r="D8" s="308">
        <v>83</v>
      </c>
      <c r="E8" s="308">
        <f t="shared" si="14"/>
        <v>74</v>
      </c>
      <c r="F8" s="308">
        <f t="shared" si="15"/>
        <v>80</v>
      </c>
      <c r="G8" s="308">
        <f t="shared" si="16"/>
        <v>75</v>
      </c>
      <c r="H8" s="308">
        <f t="shared" si="17"/>
        <v>81</v>
      </c>
      <c r="I8" s="314" t="str">
        <f t="shared" si="18"/>
        <v>74 - 80</v>
      </c>
      <c r="J8" s="310" t="str">
        <f t="shared" si="19"/>
        <v>75 - 81</v>
      </c>
      <c r="K8" s="311">
        <f t="shared" si="20"/>
        <v>0.96249524613308779</v>
      </c>
      <c r="L8" s="312">
        <f t="shared" si="21"/>
        <v>-5.4654688821211522E-2</v>
      </c>
      <c r="M8" s="312">
        <f t="shared" si="22"/>
        <v>7.3904593743873287E-2</v>
      </c>
      <c r="N8" s="313">
        <f t="shared" si="23"/>
        <v>0</v>
      </c>
      <c r="O8" s="306" t="str">
        <f t="shared" si="24"/>
        <v xml:space="preserve"> Fife</v>
      </c>
      <c r="P8" s="306" t="s">
        <v>480</v>
      </c>
      <c r="Q8" s="425">
        <v>453</v>
      </c>
      <c r="R8" s="425">
        <v>587</v>
      </c>
      <c r="S8" s="425">
        <v>511</v>
      </c>
      <c r="T8" s="425">
        <v>654</v>
      </c>
    </row>
    <row r="9" spans="1:20">
      <c r="A9" s="306" t="s">
        <v>481</v>
      </c>
      <c r="B9" s="307">
        <f t="shared" si="12"/>
        <v>83.085250338294998</v>
      </c>
      <c r="C9" s="307">
        <f t="shared" si="13"/>
        <v>77.906976744186053</v>
      </c>
      <c r="D9" s="308">
        <v>85</v>
      </c>
      <c r="E9" s="308">
        <f t="shared" si="14"/>
        <v>80</v>
      </c>
      <c r="F9" s="308">
        <f t="shared" si="15"/>
        <v>86</v>
      </c>
      <c r="G9" s="308">
        <f t="shared" si="16"/>
        <v>75</v>
      </c>
      <c r="H9" s="308">
        <f t="shared" si="17"/>
        <v>81</v>
      </c>
      <c r="I9" s="314" t="str">
        <f t="shared" si="18"/>
        <v>80 - 86</v>
      </c>
      <c r="J9" s="310" t="str">
        <f t="shared" si="19"/>
        <v>75 - 81</v>
      </c>
      <c r="K9" s="311">
        <f t="shared" si="20"/>
        <v>-5.1782735941089442</v>
      </c>
      <c r="L9" s="312">
        <f t="shared" si="21"/>
        <v>-0.10688833194680757</v>
      </c>
      <c r="M9" s="312">
        <f t="shared" si="22"/>
        <v>3.3228600646287715E-3</v>
      </c>
      <c r="N9" s="313">
        <f t="shared" si="23"/>
        <v>0</v>
      </c>
      <c r="O9" s="306" t="str">
        <f t="shared" si="24"/>
        <v xml:space="preserve"> Lanarkshire</v>
      </c>
      <c r="P9" s="306" t="s">
        <v>481</v>
      </c>
      <c r="Q9" s="425">
        <v>614</v>
      </c>
      <c r="R9" s="425">
        <v>739</v>
      </c>
      <c r="S9" s="425">
        <v>603</v>
      </c>
      <c r="T9" s="425">
        <v>774</v>
      </c>
    </row>
    <row r="10" spans="1:20">
      <c r="A10" s="306" t="s">
        <v>482</v>
      </c>
      <c r="B10" s="307">
        <f t="shared" si="12"/>
        <v>77.354260089686093</v>
      </c>
      <c r="C10" s="307">
        <f t="shared" si="13"/>
        <v>73.040152963671119</v>
      </c>
      <c r="D10" s="308">
        <v>90</v>
      </c>
      <c r="E10" s="308">
        <f t="shared" si="14"/>
        <v>73</v>
      </c>
      <c r="F10" s="308">
        <f t="shared" si="15"/>
        <v>81</v>
      </c>
      <c r="G10" s="308">
        <f t="shared" si="16"/>
        <v>69</v>
      </c>
      <c r="H10" s="308">
        <f t="shared" si="17"/>
        <v>77</v>
      </c>
      <c r="I10" s="314" t="str">
        <f t="shared" si="18"/>
        <v>73 - 81</v>
      </c>
      <c r="J10" s="310" t="str">
        <f t="shared" si="19"/>
        <v>69 - 77</v>
      </c>
      <c r="K10" s="311">
        <f t="shared" si="20"/>
        <v>-4.3141071260149744</v>
      </c>
      <c r="L10" s="312">
        <f t="shared" si="21"/>
        <v>-0.11838993087758104</v>
      </c>
      <c r="M10" s="312">
        <f t="shared" si="22"/>
        <v>3.2107788357281508E-2</v>
      </c>
      <c r="N10" s="313">
        <f t="shared" si="23"/>
        <v>0</v>
      </c>
      <c r="O10" s="306" t="str">
        <f t="shared" si="24"/>
        <v xml:space="preserve"> Forth Valley</v>
      </c>
      <c r="P10" s="306" t="s">
        <v>482</v>
      </c>
      <c r="Q10" s="425">
        <v>345</v>
      </c>
      <c r="R10" s="425">
        <v>446</v>
      </c>
      <c r="S10" s="425">
        <v>382</v>
      </c>
      <c r="T10" s="425">
        <v>523</v>
      </c>
    </row>
    <row r="11" spans="1:20">
      <c r="A11" s="306" t="s">
        <v>483</v>
      </c>
      <c r="B11" s="307">
        <f t="shared" si="12"/>
        <v>72.077922077922068</v>
      </c>
      <c r="C11" s="307">
        <f t="shared" si="13"/>
        <v>72.186287192755501</v>
      </c>
      <c r="D11" s="308">
        <v>80</v>
      </c>
      <c r="E11" s="308">
        <f t="shared" si="14"/>
        <v>69</v>
      </c>
      <c r="F11" s="308">
        <f t="shared" si="15"/>
        <v>75</v>
      </c>
      <c r="G11" s="308">
        <f t="shared" si="16"/>
        <v>69</v>
      </c>
      <c r="H11" s="308">
        <f t="shared" si="17"/>
        <v>75</v>
      </c>
      <c r="I11" s="314" t="str">
        <f t="shared" si="18"/>
        <v>69 - 75</v>
      </c>
      <c r="J11" s="310" t="str">
        <f t="shared" si="19"/>
        <v>69 - 75</v>
      </c>
      <c r="K11" s="311">
        <f t="shared" si="20"/>
        <v>0.10836511483343259</v>
      </c>
      <c r="L11" s="312">
        <f t="shared" si="21"/>
        <v>-6.0849407338333224E-2</v>
      </c>
      <c r="M11" s="312">
        <f t="shared" si="22"/>
        <v>6.3016709635001611E-2</v>
      </c>
      <c r="N11" s="313">
        <f t="shared" si="23"/>
        <v>0</v>
      </c>
      <c r="O11" s="306" t="str">
        <f t="shared" si="24"/>
        <v xml:space="preserve"> Ayrshire &amp; Arran</v>
      </c>
      <c r="P11" s="306" t="s">
        <v>483</v>
      </c>
      <c r="Q11" s="425">
        <v>555</v>
      </c>
      <c r="R11" s="425">
        <v>770</v>
      </c>
      <c r="S11" s="425">
        <v>558</v>
      </c>
      <c r="T11" s="425">
        <v>773</v>
      </c>
    </row>
    <row r="12" spans="1:20">
      <c r="A12" s="306" t="s">
        <v>484</v>
      </c>
      <c r="B12" s="307">
        <f t="shared" si="12"/>
        <v>69.716088328075713</v>
      </c>
      <c r="C12" s="307">
        <f t="shared" si="13"/>
        <v>70</v>
      </c>
      <c r="D12" s="308">
        <v>75</v>
      </c>
      <c r="E12" s="308">
        <f t="shared" si="14"/>
        <v>66</v>
      </c>
      <c r="F12" s="308">
        <f t="shared" si="15"/>
        <v>73</v>
      </c>
      <c r="G12" s="308">
        <f t="shared" si="16"/>
        <v>67</v>
      </c>
      <c r="H12" s="308">
        <f t="shared" si="17"/>
        <v>73</v>
      </c>
      <c r="I12" s="314" t="str">
        <f t="shared" si="18"/>
        <v>66 - 73</v>
      </c>
      <c r="J12" s="310" t="str">
        <f t="shared" si="19"/>
        <v>67 - 73</v>
      </c>
      <c r="K12" s="311">
        <f t="shared" si="20"/>
        <v>0.28391167192428668</v>
      </c>
      <c r="L12" s="312">
        <f t="shared" si="21"/>
        <v>-6.4333374977507893E-2</v>
      </c>
      <c r="M12" s="312">
        <f t="shared" si="22"/>
        <v>7.0011608415993618E-2</v>
      </c>
      <c r="N12" s="313">
        <f t="shared" si="23"/>
        <v>0</v>
      </c>
      <c r="O12" s="306" t="str">
        <f t="shared" si="24"/>
        <v xml:space="preserve"> Grampian</v>
      </c>
      <c r="P12" s="306" t="s">
        <v>484</v>
      </c>
      <c r="Q12" s="425">
        <v>442</v>
      </c>
      <c r="R12" s="425">
        <v>634</v>
      </c>
      <c r="S12" s="425">
        <v>525</v>
      </c>
      <c r="T12" s="425">
        <v>750</v>
      </c>
    </row>
    <row r="13" spans="1:20">
      <c r="A13" s="306" t="s">
        <v>485</v>
      </c>
      <c r="B13" s="307">
        <f t="shared" si="12"/>
        <v>59.090909090909093</v>
      </c>
      <c r="C13" s="307">
        <f t="shared" si="13"/>
        <v>67.020408163265316</v>
      </c>
      <c r="D13" s="308">
        <v>70</v>
      </c>
      <c r="E13" s="308">
        <f t="shared" si="14"/>
        <v>57</v>
      </c>
      <c r="F13" s="308">
        <f t="shared" si="15"/>
        <v>61</v>
      </c>
      <c r="G13" s="308">
        <f t="shared" si="16"/>
        <v>65</v>
      </c>
      <c r="H13" s="308">
        <f t="shared" si="17"/>
        <v>69</v>
      </c>
      <c r="I13" s="314" t="str">
        <f t="shared" si="18"/>
        <v>57 - 61</v>
      </c>
      <c r="J13" s="310" t="str">
        <f t="shared" si="19"/>
        <v>65 - 69</v>
      </c>
      <c r="K13" s="311">
        <f t="shared" si="20"/>
        <v>7.9294990723562222</v>
      </c>
      <c r="L13" s="312">
        <f t="shared" si="21"/>
        <v>4.2559924994608034E-2</v>
      </c>
      <c r="M13" s="312">
        <f t="shared" si="22"/>
        <v>0.11603005645251629</v>
      </c>
      <c r="N13" s="313">
        <f t="shared" si="23"/>
        <v>1</v>
      </c>
      <c r="O13" s="306" t="str">
        <f t="shared" si="24"/>
        <v xml:space="preserve"> Greater Glasgow &amp; Clyde</v>
      </c>
      <c r="P13" s="306" t="s">
        <v>485</v>
      </c>
      <c r="Q13" s="425">
        <v>1534</v>
      </c>
      <c r="R13" s="425">
        <v>2596</v>
      </c>
      <c r="S13" s="425">
        <v>1642</v>
      </c>
      <c r="T13" s="425">
        <v>2450</v>
      </c>
    </row>
    <row r="14" spans="1:20">
      <c r="A14" s="306" t="s">
        <v>486</v>
      </c>
      <c r="B14" s="307">
        <f t="shared" si="12"/>
        <v>68.222621184919205</v>
      </c>
      <c r="C14" s="307">
        <f t="shared" si="13"/>
        <v>64.768683274021356</v>
      </c>
      <c r="D14" s="308">
        <v>75</v>
      </c>
      <c r="E14" s="308">
        <f t="shared" si="14"/>
        <v>64</v>
      </c>
      <c r="F14" s="308">
        <f t="shared" si="15"/>
        <v>72</v>
      </c>
      <c r="G14" s="308">
        <f t="shared" si="16"/>
        <v>61</v>
      </c>
      <c r="H14" s="308">
        <f t="shared" si="17"/>
        <v>69</v>
      </c>
      <c r="I14" s="314" t="str">
        <f t="shared" si="18"/>
        <v>64 - 72</v>
      </c>
      <c r="J14" s="310" t="str">
        <f t="shared" si="19"/>
        <v>61 - 69</v>
      </c>
      <c r="K14" s="311">
        <f t="shared" si="20"/>
        <v>-3.4539379108978494</v>
      </c>
      <c r="L14" s="312">
        <f t="shared" si="21"/>
        <v>-0.11104773422175229</v>
      </c>
      <c r="M14" s="312">
        <f t="shared" si="22"/>
        <v>4.1968976003795233E-2</v>
      </c>
      <c r="N14" s="313">
        <f t="shared" si="23"/>
        <v>0</v>
      </c>
      <c r="O14" s="306" t="str">
        <f t="shared" si="24"/>
        <v xml:space="preserve"> Tayside</v>
      </c>
      <c r="P14" s="306" t="s">
        <v>486</v>
      </c>
      <c r="Q14" s="425">
        <v>380</v>
      </c>
      <c r="R14" s="425">
        <v>557</v>
      </c>
      <c r="S14" s="425">
        <v>364</v>
      </c>
      <c r="T14" s="425">
        <v>562</v>
      </c>
    </row>
    <row r="15" spans="1:20">
      <c r="A15" s="306" t="s">
        <v>487</v>
      </c>
      <c r="B15" s="307">
        <f t="shared" si="12"/>
        <v>55.057803468208085</v>
      </c>
      <c r="C15" s="307">
        <f t="shared" si="13"/>
        <v>61.059907834101381</v>
      </c>
      <c r="D15" s="308">
        <v>70</v>
      </c>
      <c r="E15" s="308">
        <f t="shared" si="14"/>
        <v>52</v>
      </c>
      <c r="F15" s="308">
        <f t="shared" si="15"/>
        <v>58</v>
      </c>
      <c r="G15" s="308">
        <f t="shared" si="16"/>
        <v>58</v>
      </c>
      <c r="H15" s="308">
        <f t="shared" si="17"/>
        <v>64</v>
      </c>
      <c r="I15" s="314" t="str">
        <f t="shared" si="18"/>
        <v>52 - 58</v>
      </c>
      <c r="J15" s="310" t="str">
        <f t="shared" si="19"/>
        <v>58 - 64</v>
      </c>
      <c r="K15" s="311">
        <f t="shared" si="20"/>
        <v>6.0021043658932953</v>
      </c>
      <c r="L15" s="312">
        <f t="shared" si="21"/>
        <v>8.4441601346975023E-3</v>
      </c>
      <c r="M15" s="312">
        <f t="shared" si="22"/>
        <v>0.1115979271831683</v>
      </c>
      <c r="N15" s="313">
        <f t="shared" si="23"/>
        <v>1</v>
      </c>
      <c r="O15" s="306" t="str">
        <f t="shared" si="24"/>
        <v xml:space="preserve"> Lothian</v>
      </c>
      <c r="P15" s="306" t="s">
        <v>487</v>
      </c>
      <c r="Q15" s="425">
        <v>762</v>
      </c>
      <c r="R15" s="425">
        <v>1384</v>
      </c>
      <c r="S15" s="425">
        <v>795</v>
      </c>
      <c r="T15" s="425">
        <v>1302</v>
      </c>
    </row>
    <row r="16" spans="1:20">
      <c r="A16" s="306" t="s">
        <v>499</v>
      </c>
      <c r="B16" s="307">
        <f t="shared" si="12"/>
        <v>63.374485596707821</v>
      </c>
      <c r="C16" s="307">
        <f t="shared" si="13"/>
        <v>54.379562043795616</v>
      </c>
      <c r="D16" s="308">
        <v>75</v>
      </c>
      <c r="E16" s="308">
        <f t="shared" si="14"/>
        <v>59</v>
      </c>
      <c r="F16" s="308">
        <f t="shared" si="15"/>
        <v>68</v>
      </c>
      <c r="G16" s="308">
        <f t="shared" si="16"/>
        <v>50</v>
      </c>
      <c r="H16" s="308">
        <f t="shared" si="17"/>
        <v>59</v>
      </c>
      <c r="I16" s="314" t="str">
        <f t="shared" si="18"/>
        <v>59 - 68</v>
      </c>
      <c r="J16" s="310" t="str">
        <f t="shared" si="19"/>
        <v>50 - 59</v>
      </c>
      <c r="K16" s="311">
        <f t="shared" si="20"/>
        <v>-8.9949235529122049</v>
      </c>
      <c r="L16" s="312">
        <f t="shared" si="21"/>
        <v>-0.1726996143864781</v>
      </c>
      <c r="M16" s="312">
        <f t="shared" si="22"/>
        <v>-7.1988566717659797E-3</v>
      </c>
      <c r="N16" s="313">
        <f t="shared" si="23"/>
        <v>-1</v>
      </c>
      <c r="O16" s="306" t="str">
        <f t="shared" si="24"/>
        <v xml:space="preserve"> Highland</v>
      </c>
      <c r="P16" s="306" t="s">
        <v>488</v>
      </c>
      <c r="Q16" s="425">
        <v>308</v>
      </c>
      <c r="R16" s="425">
        <v>486</v>
      </c>
      <c r="S16" s="425">
        <v>298</v>
      </c>
      <c r="T16" s="425">
        <v>548</v>
      </c>
    </row>
    <row r="17" spans="1:20">
      <c r="A17" s="306" t="s">
        <v>500</v>
      </c>
      <c r="B17" s="307">
        <f t="shared" si="12"/>
        <v>19.230769230769234</v>
      </c>
      <c r="C17" s="307">
        <f t="shared" si="13"/>
        <v>40.625</v>
      </c>
      <c r="D17" s="308">
        <v>50</v>
      </c>
      <c r="E17" s="308">
        <f t="shared" si="14"/>
        <v>11</v>
      </c>
      <c r="F17" s="308">
        <f t="shared" si="15"/>
        <v>32</v>
      </c>
      <c r="G17" s="308">
        <f t="shared" si="16"/>
        <v>29</v>
      </c>
      <c r="H17" s="308">
        <f t="shared" si="17"/>
        <v>53</v>
      </c>
      <c r="I17" s="314" t="str">
        <f t="shared" si="18"/>
        <v>11 - 32</v>
      </c>
      <c r="J17" s="310" t="str">
        <f t="shared" si="19"/>
        <v>29 - 53</v>
      </c>
      <c r="K17" s="311">
        <f t="shared" si="20"/>
        <v>21.394230769230766</v>
      </c>
      <c r="L17" s="312">
        <f t="shared" si="21"/>
        <v>-9.0558475539181948E-3</v>
      </c>
      <c r="M17" s="312">
        <f t="shared" si="22"/>
        <v>0.43694046293853356</v>
      </c>
      <c r="N17" s="313">
        <f t="shared" si="23"/>
        <v>0</v>
      </c>
      <c r="O17" s="306" t="str">
        <f t="shared" si="24"/>
        <v xml:space="preserve"> Orkney</v>
      </c>
      <c r="P17" s="306" t="s">
        <v>489</v>
      </c>
      <c r="Q17" s="425">
        <v>10</v>
      </c>
      <c r="R17" s="425">
        <v>52</v>
      </c>
      <c r="S17" s="425">
        <v>26</v>
      </c>
      <c r="T17" s="425">
        <v>64</v>
      </c>
    </row>
  </sheetData>
  <sheetProtection password="B8D9" sheet="1" objects="1" scenarios="1"/>
  <sortState ref="A4:T17">
    <sortCondition descending="1" ref="C4:C17"/>
  </sortState>
  <mergeCells count="7">
    <mergeCell ref="A1:A2"/>
    <mergeCell ref="B1:H1"/>
    <mergeCell ref="O1:P1"/>
    <mergeCell ref="Q1:R1"/>
    <mergeCell ref="S1:T1"/>
    <mergeCell ref="E2:F2"/>
    <mergeCell ref="G2:H2"/>
  </mergeCells>
  <printOptions horizontalCentered="1"/>
  <pageMargins left="0" right="0" top="0.74803149606299213" bottom="0.74803149606299213" header="0.31496062992125984" footer="0.31496062992125984"/>
  <pageSetup paperSize="9" scale="57" orientation="landscape" r:id="rId1"/>
  <headerFooter alignWithMargins="0">
    <oddHeader>&amp;LChart 1b DATA
Percentage of stroke patients receiving an 'appropriate' Stroke Care Bundle (i.e. Stroke Unit admission, swallow screen, brain scan and aspirin), 2015 data (based on initial diagnosis).</oddHeader>
    <oddFooter>&amp;L&amp;8Scottish Stroke Care Audit 2016 National Report
Stroke Services in Scottish Hospitals, Data relating to 2015&amp;R&amp;8© NHS National Services Scotland/Crown Copyright</oddFooter>
  </headerFooter>
</worksheet>
</file>

<file path=xl/worksheets/sheet17.xml><?xml version="1.0" encoding="utf-8"?>
<worksheet xmlns="http://schemas.openxmlformats.org/spreadsheetml/2006/main" xmlns:r="http://schemas.openxmlformats.org/officeDocument/2006/relationships">
  <sheetPr codeName="Sheet19"/>
  <dimension ref="A1:O48"/>
  <sheetViews>
    <sheetView workbookViewId="0"/>
  </sheetViews>
  <sheetFormatPr defaultRowHeight="12.75"/>
  <cols>
    <col min="1" max="1" width="1.7109375" style="500" customWidth="1"/>
    <col min="2" max="16384" width="9.140625" style="500"/>
  </cols>
  <sheetData>
    <row r="1" spans="1:15" ht="12.75" customHeight="1">
      <c r="A1" s="1"/>
      <c r="B1" s="798" t="s">
        <v>583</v>
      </c>
      <c r="C1" s="798"/>
      <c r="D1" s="798"/>
      <c r="E1" s="798"/>
      <c r="F1" s="798"/>
      <c r="G1" s="798"/>
      <c r="H1" s="798"/>
      <c r="I1" s="798"/>
      <c r="J1" s="798"/>
      <c r="K1" s="798"/>
      <c r="L1" s="798"/>
      <c r="M1" s="798"/>
      <c r="N1" s="798"/>
      <c r="O1" s="802" t="s">
        <v>48</v>
      </c>
    </row>
    <row r="2" spans="1:15">
      <c r="B2" s="798"/>
      <c r="C2" s="798"/>
      <c r="D2" s="798"/>
      <c r="E2" s="798"/>
      <c r="F2" s="798"/>
      <c r="G2" s="798"/>
      <c r="H2" s="798"/>
      <c r="I2" s="798"/>
      <c r="J2" s="798"/>
      <c r="K2" s="798"/>
      <c r="L2" s="798"/>
      <c r="M2" s="798"/>
      <c r="N2" s="798"/>
      <c r="O2" s="802"/>
    </row>
    <row r="3" spans="1:15">
      <c r="B3" s="798"/>
      <c r="C3" s="798"/>
      <c r="D3" s="798"/>
      <c r="E3" s="798"/>
      <c r="F3" s="798"/>
      <c r="G3" s="798"/>
      <c r="H3" s="798"/>
      <c r="I3" s="798"/>
      <c r="J3" s="798"/>
      <c r="K3" s="798"/>
      <c r="L3" s="798"/>
      <c r="M3" s="798"/>
      <c r="N3" s="798"/>
      <c r="O3" s="802"/>
    </row>
    <row r="4" spans="1:15" s="114" customFormat="1" ht="18" customHeight="1">
      <c r="B4" s="285"/>
      <c r="C4" s="285"/>
      <c r="D4" s="285"/>
      <c r="E4" s="285"/>
      <c r="F4" s="285"/>
      <c r="G4" s="285"/>
      <c r="H4" s="285"/>
      <c r="I4" s="285"/>
      <c r="J4" s="285"/>
      <c r="K4" s="285"/>
      <c r="L4" s="285"/>
      <c r="M4" s="285"/>
      <c r="N4" s="285"/>
      <c r="O4" s="802"/>
    </row>
    <row r="5" spans="1:15" ht="12.75" customHeight="1">
      <c r="B5" s="810" t="s">
        <v>501</v>
      </c>
      <c r="C5" s="810"/>
      <c r="D5" s="810"/>
      <c r="E5" s="810"/>
      <c r="F5" s="810"/>
      <c r="G5" s="810"/>
      <c r="H5" s="810"/>
      <c r="I5" s="810"/>
      <c r="J5" s="810"/>
      <c r="K5" s="810"/>
      <c r="L5" s="810"/>
      <c r="M5" s="284"/>
      <c r="N5" s="294"/>
      <c r="O5" s="498"/>
    </row>
    <row r="6" spans="1:15" ht="15" customHeight="1">
      <c r="B6" s="810"/>
      <c r="C6" s="810"/>
      <c r="D6" s="810"/>
      <c r="E6" s="810"/>
      <c r="F6" s="810"/>
      <c r="G6" s="810"/>
      <c r="H6" s="810"/>
      <c r="I6" s="810"/>
      <c r="J6" s="810"/>
      <c r="K6" s="810"/>
      <c r="L6" s="810"/>
      <c r="M6" s="803" t="s">
        <v>584</v>
      </c>
      <c r="N6" s="803"/>
      <c r="O6" s="803"/>
    </row>
    <row r="35" spans="2:15">
      <c r="B35" s="61"/>
      <c r="C35" s="61"/>
      <c r="D35" s="61"/>
      <c r="E35" s="61"/>
      <c r="F35" s="61"/>
      <c r="G35" s="61"/>
      <c r="H35" s="61"/>
      <c r="I35" s="61"/>
      <c r="J35" s="61"/>
      <c r="K35" s="61"/>
      <c r="L35" s="61"/>
      <c r="M35" s="61"/>
      <c r="N35" s="61"/>
      <c r="O35" s="61"/>
    </row>
    <row r="36" spans="2:15">
      <c r="B36" s="61"/>
      <c r="C36" s="61"/>
      <c r="D36" s="61"/>
      <c r="E36" s="61"/>
      <c r="F36" s="61"/>
      <c r="G36" s="61"/>
      <c r="H36" s="61"/>
      <c r="I36" s="61"/>
      <c r="J36" s="61"/>
      <c r="K36" s="61"/>
      <c r="L36" s="61"/>
      <c r="M36" s="61"/>
      <c r="N36" s="61"/>
      <c r="O36" s="61"/>
    </row>
    <row r="37" spans="2:15">
      <c r="B37" s="61"/>
      <c r="C37" s="61"/>
      <c r="D37" s="61"/>
      <c r="E37" s="61"/>
      <c r="F37" s="61"/>
      <c r="G37" s="61"/>
      <c r="H37" s="61"/>
      <c r="I37" s="61"/>
      <c r="J37" s="61"/>
      <c r="K37" s="61"/>
      <c r="L37" s="61"/>
      <c r="M37" s="61"/>
      <c r="N37" s="61"/>
      <c r="O37" s="61"/>
    </row>
    <row r="38" spans="2:15">
      <c r="B38" s="61"/>
      <c r="C38" s="61"/>
      <c r="D38" s="61"/>
      <c r="E38" s="61"/>
      <c r="F38" s="61"/>
      <c r="G38" s="61"/>
      <c r="H38" s="61"/>
      <c r="I38" s="61"/>
      <c r="J38" s="61"/>
      <c r="K38" s="61"/>
      <c r="L38" s="61"/>
      <c r="M38" s="61"/>
      <c r="N38" s="61"/>
      <c r="O38" s="61"/>
    </row>
    <row r="39" spans="2:15">
      <c r="B39" s="61"/>
      <c r="C39" s="61"/>
      <c r="D39" s="61"/>
      <c r="E39" s="61"/>
      <c r="F39" s="61"/>
      <c r="G39" s="61"/>
      <c r="H39" s="61"/>
      <c r="I39" s="61"/>
      <c r="J39" s="61"/>
      <c r="K39" s="61"/>
      <c r="L39" s="61"/>
      <c r="M39" s="61"/>
      <c r="N39" s="61"/>
      <c r="O39" s="61"/>
    </row>
    <row r="40" spans="2:15">
      <c r="B40" s="61"/>
      <c r="C40" s="61"/>
      <c r="D40" s="61"/>
      <c r="E40" s="61"/>
      <c r="F40" s="61"/>
      <c r="G40" s="61"/>
      <c r="H40" s="61"/>
      <c r="I40" s="61"/>
      <c r="J40" s="61"/>
      <c r="K40" s="61"/>
      <c r="L40" s="61"/>
      <c r="M40" s="61"/>
      <c r="N40" s="61"/>
      <c r="O40" s="61"/>
    </row>
    <row r="41" spans="2:15">
      <c r="B41" s="61"/>
      <c r="C41" s="61"/>
      <c r="D41" s="61"/>
      <c r="E41" s="61"/>
      <c r="F41" s="61"/>
      <c r="G41" s="61"/>
      <c r="H41" s="61"/>
      <c r="I41" s="61"/>
      <c r="J41" s="61"/>
      <c r="K41" s="61"/>
      <c r="L41" s="61"/>
      <c r="M41" s="61"/>
      <c r="N41" s="61"/>
      <c r="O41" s="61"/>
    </row>
    <row r="42" spans="2:15">
      <c r="B42" s="61"/>
      <c r="C42" s="61"/>
      <c r="D42" s="61"/>
      <c r="E42" s="61"/>
      <c r="F42" s="61"/>
      <c r="G42" s="61"/>
      <c r="H42" s="61"/>
      <c r="I42" s="61"/>
      <c r="J42" s="61"/>
      <c r="K42" s="61"/>
      <c r="L42" s="61"/>
      <c r="M42" s="61"/>
      <c r="N42" s="61"/>
      <c r="O42" s="61"/>
    </row>
    <row r="43" spans="2:15">
      <c r="B43" s="61"/>
      <c r="C43" s="61"/>
      <c r="D43" s="61"/>
      <c r="E43" s="61"/>
      <c r="F43" s="61"/>
      <c r="G43" s="61"/>
      <c r="H43" s="61"/>
      <c r="I43" s="61"/>
      <c r="J43" s="61"/>
      <c r="K43" s="61"/>
      <c r="L43" s="61"/>
      <c r="M43" s="61"/>
      <c r="N43" s="61"/>
      <c r="O43" s="61"/>
    </row>
    <row r="44" spans="2:15">
      <c r="B44" s="61"/>
      <c r="C44" s="61"/>
      <c r="D44" s="61"/>
      <c r="E44" s="61"/>
      <c r="F44" s="61"/>
      <c r="G44" s="61"/>
      <c r="H44" s="61"/>
      <c r="I44" s="61"/>
      <c r="J44" s="61"/>
      <c r="K44" s="61"/>
      <c r="L44" s="61"/>
      <c r="M44" s="61"/>
      <c r="N44" s="61"/>
      <c r="O44" s="61"/>
    </row>
    <row r="45" spans="2:15">
      <c r="B45" s="61"/>
      <c r="C45" s="61"/>
      <c r="D45" s="61"/>
      <c r="E45" s="61"/>
      <c r="F45" s="61"/>
      <c r="G45" s="61"/>
      <c r="H45" s="61"/>
      <c r="I45" s="61"/>
      <c r="J45" s="61"/>
      <c r="K45" s="61"/>
      <c r="L45" s="61"/>
      <c r="M45" s="61"/>
      <c r="N45" s="61"/>
      <c r="O45" s="61"/>
    </row>
    <row r="46" spans="2:15">
      <c r="B46" s="61"/>
      <c r="C46" s="61"/>
      <c r="D46" s="61"/>
      <c r="E46" s="61"/>
      <c r="F46" s="61"/>
      <c r="G46" s="61"/>
      <c r="H46" s="61"/>
      <c r="I46" s="61"/>
      <c r="J46" s="61"/>
      <c r="K46" s="61"/>
      <c r="L46" s="61"/>
      <c r="M46" s="61"/>
      <c r="N46" s="61"/>
      <c r="O46" s="61"/>
    </row>
    <row r="47" spans="2:15">
      <c r="B47" s="61"/>
      <c r="C47" s="61"/>
      <c r="D47" s="61"/>
      <c r="E47" s="61"/>
      <c r="F47" s="61"/>
      <c r="G47" s="61"/>
      <c r="H47" s="61"/>
      <c r="I47" s="61"/>
      <c r="J47" s="61"/>
      <c r="K47" s="61"/>
      <c r="L47" s="61"/>
      <c r="M47" s="61"/>
      <c r="N47" s="61"/>
      <c r="O47" s="61"/>
    </row>
    <row r="48" spans="2:15">
      <c r="B48" s="61"/>
      <c r="C48" s="61"/>
      <c r="D48" s="61"/>
      <c r="E48" s="61"/>
      <c r="F48" s="61"/>
      <c r="G48" s="61"/>
      <c r="H48" s="61"/>
      <c r="I48" s="61"/>
      <c r="J48" s="61"/>
      <c r="K48" s="61"/>
      <c r="L48" s="61"/>
      <c r="M48" s="61"/>
      <c r="N48" s="61"/>
      <c r="O48" s="61"/>
    </row>
  </sheetData>
  <sheetProtection password="B8D9" sheet="1" objects="1" scenarios="1"/>
  <mergeCells count="4">
    <mergeCell ref="B1:N3"/>
    <mergeCell ref="O1:O4"/>
    <mergeCell ref="B5:L6"/>
    <mergeCell ref="M6:O6"/>
  </mergeCells>
  <hyperlinks>
    <hyperlink ref="O1" location="'List of Tables &amp; Charts'!A1" display="return to List of Tables &amp; Charts"/>
    <hyperlink ref="M6" location="'Chart 1b DATA (final diag)'!A1" display="view Chart 1b data"/>
  </hyperlinks>
  <pageMargins left="0" right="0" top="0.74803149606299213" bottom="0.74803149606299213" header="0.31496062992125984" footer="0.31496062992125984"/>
  <pageSetup paperSize="9" orientation="landscape" r:id="rId1"/>
  <headerFooter>
    <oddFooter>&amp;L&amp;8Scottish Stroke Care Audit 2016 National Report
Stroke Services in Scottish Hospitals, Data relating to 2015&amp;R&amp;8© NHS National Services Scotland/Crown Copyright</oddFooter>
  </headerFooter>
  <rowBreaks count="1" manualBreakCount="1">
    <brk id="34" max="16383" man="1"/>
  </rowBreaks>
  <drawing r:id="rId2"/>
</worksheet>
</file>

<file path=xl/worksheets/sheet18.xml><?xml version="1.0" encoding="utf-8"?>
<worksheet xmlns="http://schemas.openxmlformats.org/spreadsheetml/2006/main" xmlns:r="http://schemas.openxmlformats.org/officeDocument/2006/relationships">
  <sheetPr codeName="Sheet23">
    <pageSetUpPr fitToPage="1"/>
  </sheetPr>
  <dimension ref="A1:T17"/>
  <sheetViews>
    <sheetView zoomScaleNormal="100" workbookViewId="0">
      <selection sqref="A1:A2"/>
    </sheetView>
  </sheetViews>
  <sheetFormatPr defaultRowHeight="11.25"/>
  <cols>
    <col min="1" max="1" width="19" style="211" bestFit="1" customWidth="1"/>
    <col min="2" max="8" width="9.140625" style="211"/>
    <col min="9" max="14" width="9.7109375" style="211" customWidth="1"/>
    <col min="15" max="15" width="19" style="211" bestFit="1" customWidth="1"/>
    <col min="16" max="16" width="45.7109375" style="211" customWidth="1"/>
    <col min="17" max="20" width="11.7109375" style="315" customWidth="1"/>
    <col min="21" max="16384" width="9.140625" style="211"/>
  </cols>
  <sheetData>
    <row r="1" spans="1:20" ht="30" customHeight="1">
      <c r="A1" s="811" t="s">
        <v>19</v>
      </c>
      <c r="B1" s="813" t="s">
        <v>490</v>
      </c>
      <c r="C1" s="814"/>
      <c r="D1" s="814"/>
      <c r="E1" s="814"/>
      <c r="F1" s="814"/>
      <c r="G1" s="814"/>
      <c r="H1" s="814"/>
      <c r="I1" s="295"/>
      <c r="J1" s="296"/>
      <c r="K1" s="296"/>
      <c r="L1" s="296"/>
      <c r="M1" s="296"/>
      <c r="N1" s="296"/>
      <c r="O1" s="815" t="s">
        <v>20</v>
      </c>
      <c r="P1" s="816"/>
      <c r="Q1" s="815">
        <v>2014</v>
      </c>
      <c r="R1" s="815"/>
      <c r="S1" s="815">
        <v>2015</v>
      </c>
      <c r="T1" s="815"/>
    </row>
    <row r="2" spans="1:20" ht="23.25" customHeight="1">
      <c r="A2" s="812"/>
      <c r="B2" s="297" t="s">
        <v>298</v>
      </c>
      <c r="C2" s="297" t="s">
        <v>491</v>
      </c>
      <c r="D2" s="499" t="s">
        <v>299</v>
      </c>
      <c r="E2" s="817" t="s">
        <v>492</v>
      </c>
      <c r="F2" s="817"/>
      <c r="G2" s="817" t="s">
        <v>493</v>
      </c>
      <c r="H2" s="818"/>
      <c r="I2" s="299" t="s">
        <v>300</v>
      </c>
      <c r="J2" s="300" t="s">
        <v>502</v>
      </c>
      <c r="K2" s="301" t="s">
        <v>24</v>
      </c>
      <c r="L2" s="302" t="s">
        <v>16</v>
      </c>
      <c r="M2" s="302" t="s">
        <v>15</v>
      </c>
      <c r="N2" s="303" t="s">
        <v>25</v>
      </c>
      <c r="O2" s="304" t="s">
        <v>26</v>
      </c>
      <c r="P2" s="305" t="s">
        <v>27</v>
      </c>
      <c r="Q2" s="305" t="s">
        <v>28</v>
      </c>
      <c r="R2" s="305" t="s">
        <v>29</v>
      </c>
      <c r="S2" s="305" t="s">
        <v>28</v>
      </c>
      <c r="T2" s="305" t="s">
        <v>29</v>
      </c>
    </row>
    <row r="3" spans="1:20">
      <c r="A3" s="306" t="s">
        <v>137</v>
      </c>
      <c r="B3" s="307">
        <f t="shared" ref="B3" si="0">Q3/R3*100</f>
        <v>61.920567700583732</v>
      </c>
      <c r="C3" s="307">
        <f t="shared" ref="C3" si="1">S3/T3*100</f>
        <v>63.738089962331046</v>
      </c>
      <c r="D3" s="307" t="s">
        <v>268</v>
      </c>
      <c r="E3" s="16">
        <f t="shared" ref="E3" si="2">SUM(1*MID(I3,1,FIND(" - ",I3)-1))</f>
        <v>61</v>
      </c>
      <c r="F3" s="308">
        <f t="shared" ref="F3" si="3">SUM(1*MID(I3,FIND(" - ",I3)+2,LEN(I3)))</f>
        <v>63</v>
      </c>
      <c r="G3" s="308">
        <f t="shared" ref="G3" si="4">SUM(1*MID(J3,1,FIND(" - ",J3)-1))</f>
        <v>63</v>
      </c>
      <c r="H3" s="308">
        <f t="shared" ref="H3" si="5">SUM(1*MID(J3,FIND(" - ",J3)+2,LEN(J3)))</f>
        <v>65</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61 - 63</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63 - 65</v>
      </c>
      <c r="K3" s="311">
        <f t="shared" ref="K3" si="8">C3-B3</f>
        <v>1.8175222617473139</v>
      </c>
      <c r="L3" s="312">
        <f t="shared" ref="L3" si="9">((S3/T3)-(Q3/R3))-(NORMSINV(1-(0.05/COUNTA($O$3:$O$34)))*(SQRT((((Q3/R3)*(1-(Q3/R3)))/R3)+(((S3/T3)*(1-(S3/T3)))/T3))))</f>
        <v>-1.5003472468315369E-3</v>
      </c>
      <c r="M3" s="312">
        <f t="shared" ref="M3" si="10">((S3/T3)-(Q3/R3))+(NORMSINV(1-(0.05/COUNTA($O$3:$O$34)))*(SQRT((((Q3/R3)*(1-(Q3/R3)))/R3)+(((S3/T3)*(1-(S3/T3)))/T3))))</f>
        <v>3.785079248177789E-2</v>
      </c>
      <c r="N3" s="313">
        <f t="shared" ref="N3" si="11">IF(ISERR(IF(AND(((S3/T3)-(Q3/R3))-(NORMSINV(1-(0.05/COUNTA($P$3:$P$17)))*(SQRT((((Q3/R3)*(1-(Q3/R3)))/R3)+(((S3/T3)*(1-(S3/T3)))/T3))))&gt;0,((S3/T3)-(Q3/R3))+(NORMSINV(1-(0.05/COUNTA($P$3:$P$17)))*(SQRT((((Q3/R3)*(1-(Q3/R3)))/R3)+(((S3/T3)*(1-(S3/T3)))/T3))))&gt;0),1,IF(AND(((S3/T3)-(Q3/R3))-(NORMSINV(1-(0.05/COUNTA($P$3:$P$17)))*(SQRT((((Q3/R3)*(1-(Q3/R3)))/R3)+(((S3/T3)*(1-(S3/T3)))/T3))))&lt;0,((S3/T3)-(Q3/R3))+(NORMSINV(1-(0.05/COUNTA($P$3:$P$17)))*(SQRT((((Q3/R3)*(1-(Q3/R3)))/R3)+(((S3/T3)*(1-(S3/T3)))/T3))))&lt;0),-1,0))),"",IF(AND(((S3/T3)-(Q3/R3))-(NORMSINV(1-(0.05/COUNTA($P$3:$P$17)))*(SQRT((((Q3/R3)*(1-(Q3/R3)))/R3)+(((S3/T3)*(1-(S3/T3)))/T3))))&gt;0,((S3/T3)-(Q3/R3))+(NORMSINV(1-(0.05/COUNTA($P$3:$P$17)))*(SQRT((((Q3/R3)*(1-(Q3/R3)))/R3)+(((S3/T3)*(1-(S3/T3)))/T3))))&gt;0),1,IF(AND(((S3/T3)-(Q3/R3))-(NORMSINV(1-(0.05/COUNTA($P$3:$P$17)))*(SQRT((((Q3/R3)*(1-(Q3/R3)))/R3)+(((S3/T3)*(1-(S3/T3)))/T3))))&lt;0,((S3/T3)-(Q3/R3))+(NORMSINV(1-(0.05/COUNTA($P$3:$P$17)))*(SQRT((((Q3/R3)*(1-(Q3/R3)))/R3)+(((S3/T3)*(1-(S3/T3)))/T3))))&lt;0),-1,0)))</f>
        <v>0</v>
      </c>
      <c r="O3" s="306" t="s">
        <v>137</v>
      </c>
      <c r="P3" s="306" t="s">
        <v>286</v>
      </c>
      <c r="Q3" s="425">
        <f>SUM(Q4:Q17)</f>
        <v>5410</v>
      </c>
      <c r="R3" s="425">
        <f t="shared" ref="R3:T3" si="12">SUM(R4:R17)</f>
        <v>8737</v>
      </c>
      <c r="S3" s="425">
        <f t="shared" si="12"/>
        <v>5753</v>
      </c>
      <c r="T3" s="425">
        <f t="shared" si="12"/>
        <v>9026</v>
      </c>
    </row>
    <row r="4" spans="1:20">
      <c r="A4" s="306" t="str">
        <f t="shared" ref="A4:A17" si="13">IF(OR(P4="Western Isles",P4="Dumfries &amp; Galloway",P4="Shetland",P4="Highland",P4="Orkney"),CONCATENATE(P4,"*"),P4)</f>
        <v>Western Isles*</v>
      </c>
      <c r="B4" s="307">
        <f t="shared" ref="B4:B17" si="14">Q4/R4*100</f>
        <v>81.818181818181827</v>
      </c>
      <c r="C4" s="307">
        <f t="shared" ref="C4:C17" si="15">S4/T4*100</f>
        <v>80</v>
      </c>
      <c r="D4" s="308" t="s">
        <v>268</v>
      </c>
      <c r="E4" s="308">
        <f t="shared" ref="E4:E17" si="16">SUM(1*MID(I4,1,FIND(" - ",I4)-1))</f>
        <v>61</v>
      </c>
      <c r="F4" s="308">
        <f t="shared" ref="F4:F17" si="17">SUM(1*MID(I4,FIND(" - ",I4)+2,LEN(I4)))</f>
        <v>93</v>
      </c>
      <c r="G4" s="308">
        <f t="shared" ref="G4:G17" si="18">SUM(1*MID(J4,1,FIND(" - ",J4)-1))</f>
        <v>64</v>
      </c>
      <c r="H4" s="308">
        <f t="shared" ref="H4:H17" si="19">SUM(1*MID(J4,FIND(" - ",J4)+2,LEN(J4)))</f>
        <v>90</v>
      </c>
      <c r="I4" s="314" t="str">
        <f t="shared" ref="I4:I17"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61 - 93</v>
      </c>
      <c r="J4" s="310" t="str">
        <f t="shared" ref="J4:J17"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64 - 90</v>
      </c>
      <c r="K4" s="311">
        <f t="shared" ref="K4:K17" si="22">C4-B4</f>
        <v>-1.8181818181818272</v>
      </c>
      <c r="L4" s="312">
        <f t="shared" ref="L4:L17" si="23">((S4/T4)-(Q4/R4))-(NORMSINV(1-(0.05/COUNTA($O$3:$O$34)))*(SQRT((((Q4/R4)*(1-(Q4/R4)))/R4)+(((S4/T4)*(1-(S4/T4)))/T4))))</f>
        <v>-0.30700733565860377</v>
      </c>
      <c r="M4" s="312">
        <f t="shared" ref="M4:M17" si="24">((S4/T4)-(Q4/R4))+(NORMSINV(1-(0.05/COUNTA($O$3:$O$34)))*(SQRT((((Q4/R4)*(1-(Q4/R4)))/R4)+(((S4/T4)*(1-(S4/T4)))/T4))))</f>
        <v>0.2706436992949674</v>
      </c>
      <c r="N4" s="313">
        <f t="shared" ref="N4:N17" si="25">IF(ISERR(IF(AND(((S4/T4)-(Q4/R4))-(NORMSINV(1-(0.05/COUNTA($P$3:$P$17)))*(SQRT((((Q4/R4)*(1-(Q4/R4)))/R4)+(((S4/T4)*(1-(S4/T4)))/T4))))&gt;0,((S4/T4)-(Q4/R4))+(NORMSINV(1-(0.05/COUNTA($P$3:$P$17)))*(SQRT((((Q4/R4)*(1-(Q4/R4)))/R4)+(((S4/T4)*(1-(S4/T4)))/T4))))&gt;0),1,IF(AND(((S4/T4)-(Q4/R4))-(NORMSINV(1-(0.05/COUNTA($P$3:$P$17)))*(SQRT((((Q4/R4)*(1-(Q4/R4)))/R4)+(((S4/T4)*(1-(S4/T4)))/T4))))&lt;0,((S4/T4)-(Q4/R4))+(NORMSINV(1-(0.05/COUNTA($P$3:$P$17)))*(SQRT((((Q4/R4)*(1-(Q4/R4)))/R4)+(((S4/T4)*(1-(S4/T4)))/T4))))&lt;0),-1,0))),"",IF(AND(((S4/T4)-(Q4/R4))-(NORMSINV(1-(0.05/COUNTA($P$3:$P$17)))*(SQRT((((Q4/R4)*(1-(Q4/R4)))/R4)+(((S4/T4)*(1-(S4/T4)))/T4))))&gt;0,((S4/T4)-(Q4/R4))+(NORMSINV(1-(0.05/COUNTA($P$3:$P$17)))*(SQRT((((Q4/R4)*(1-(Q4/R4)))/R4)+(((S4/T4)*(1-(S4/T4)))/T4))))&gt;0),1,IF(AND(((S4/T4)-(Q4/R4))-(NORMSINV(1-(0.05/COUNTA($P$3:$P$17)))*(SQRT((((Q4/R4)*(1-(Q4/R4)))/R4)+(((S4/T4)*(1-(S4/T4)))/T4))))&lt;0,((S4/T4)-(Q4/R4))+(NORMSINV(1-(0.05/COUNTA($P$3:$P$17)))*(SQRT((((Q4/R4)*(1-(Q4/R4)))/R4)+(((S4/T4)*(1-(S4/T4)))/T4))))&lt;0),-1,0)))</f>
        <v>0</v>
      </c>
      <c r="O4" s="306" t="str">
        <f t="shared" ref="O4:O17" si="26">P4</f>
        <v>Western Isles</v>
      </c>
      <c r="P4" s="306" t="s">
        <v>39</v>
      </c>
      <c r="Q4" s="425">
        <v>18</v>
      </c>
      <c r="R4" s="425">
        <v>22</v>
      </c>
      <c r="S4" s="425">
        <v>28</v>
      </c>
      <c r="T4" s="425">
        <v>35</v>
      </c>
    </row>
    <row r="5" spans="1:20">
      <c r="A5" s="306" t="str">
        <f t="shared" si="13"/>
        <v>Borders</v>
      </c>
      <c r="B5" s="307">
        <f t="shared" si="14"/>
        <v>85.436893203883486</v>
      </c>
      <c r="C5" s="307">
        <f t="shared" si="15"/>
        <v>78.995433789954333</v>
      </c>
      <c r="D5" s="308" t="s">
        <v>268</v>
      </c>
      <c r="E5" s="308">
        <f t="shared" si="16"/>
        <v>80</v>
      </c>
      <c r="F5" s="308">
        <f t="shared" si="17"/>
        <v>90</v>
      </c>
      <c r="G5" s="308">
        <f t="shared" si="18"/>
        <v>73</v>
      </c>
      <c r="H5" s="308">
        <f t="shared" si="19"/>
        <v>84</v>
      </c>
      <c r="I5" s="314" t="str">
        <f t="shared" si="20"/>
        <v>80 - 90</v>
      </c>
      <c r="J5" s="310" t="str">
        <f t="shared" si="21"/>
        <v>73 - 84</v>
      </c>
      <c r="K5" s="311">
        <f t="shared" si="22"/>
        <v>-6.4414594139291523</v>
      </c>
      <c r="L5" s="312">
        <f t="shared" si="23"/>
        <v>-0.16452763018165573</v>
      </c>
      <c r="M5" s="312">
        <f t="shared" si="24"/>
        <v>3.5698441903072684E-2</v>
      </c>
      <c r="N5" s="313">
        <f t="shared" si="25"/>
        <v>0</v>
      </c>
      <c r="O5" s="306" t="str">
        <f t="shared" si="26"/>
        <v>Borders</v>
      </c>
      <c r="P5" s="306" t="s">
        <v>30</v>
      </c>
      <c r="Q5" s="425">
        <v>176</v>
      </c>
      <c r="R5" s="425">
        <v>206</v>
      </c>
      <c r="S5" s="425">
        <v>173</v>
      </c>
      <c r="T5" s="425">
        <v>219</v>
      </c>
    </row>
    <row r="6" spans="1:20">
      <c r="A6" s="306" t="str">
        <f t="shared" si="13"/>
        <v>Shetland*</v>
      </c>
      <c r="B6" s="307">
        <f t="shared" si="14"/>
        <v>68.571428571428569</v>
      </c>
      <c r="C6" s="307">
        <f t="shared" si="15"/>
        <v>77.142857142857153</v>
      </c>
      <c r="D6" s="308" t="s">
        <v>268</v>
      </c>
      <c r="E6" s="308">
        <f t="shared" si="16"/>
        <v>52</v>
      </c>
      <c r="F6" s="308">
        <f t="shared" si="17"/>
        <v>81</v>
      </c>
      <c r="G6" s="308">
        <f t="shared" si="18"/>
        <v>61</v>
      </c>
      <c r="H6" s="308">
        <f t="shared" si="19"/>
        <v>88</v>
      </c>
      <c r="I6" s="314" t="str">
        <f t="shared" si="20"/>
        <v>52 - 81</v>
      </c>
      <c r="J6" s="310" t="str">
        <f t="shared" si="21"/>
        <v>61 - 88</v>
      </c>
      <c r="K6" s="311">
        <f t="shared" si="22"/>
        <v>8.5714285714285836</v>
      </c>
      <c r="L6" s="312">
        <f t="shared" si="23"/>
        <v>-0.20134833943701919</v>
      </c>
      <c r="M6" s="312">
        <f t="shared" si="24"/>
        <v>0.37277691086559067</v>
      </c>
      <c r="N6" s="313">
        <f t="shared" si="25"/>
        <v>0</v>
      </c>
      <c r="O6" s="306" t="str">
        <f t="shared" si="26"/>
        <v>Shetland</v>
      </c>
      <c r="P6" s="306" t="s">
        <v>41</v>
      </c>
      <c r="Q6" s="425">
        <v>24</v>
      </c>
      <c r="R6" s="425">
        <v>35</v>
      </c>
      <c r="S6" s="425">
        <v>27</v>
      </c>
      <c r="T6" s="425">
        <v>35</v>
      </c>
    </row>
    <row r="7" spans="1:20">
      <c r="A7" s="306" t="str">
        <f t="shared" si="13"/>
        <v>Fife</v>
      </c>
      <c r="B7" s="307">
        <f t="shared" si="14"/>
        <v>70.588235294117652</v>
      </c>
      <c r="C7" s="307">
        <f t="shared" si="15"/>
        <v>73.65930599369085</v>
      </c>
      <c r="D7" s="308" t="s">
        <v>268</v>
      </c>
      <c r="E7" s="308">
        <f t="shared" si="16"/>
        <v>67</v>
      </c>
      <c r="F7" s="308">
        <f t="shared" si="17"/>
        <v>74</v>
      </c>
      <c r="G7" s="308">
        <f t="shared" si="18"/>
        <v>70</v>
      </c>
      <c r="H7" s="308">
        <f t="shared" si="19"/>
        <v>77</v>
      </c>
      <c r="I7" s="314" t="str">
        <f t="shared" si="20"/>
        <v>67 - 74</v>
      </c>
      <c r="J7" s="310" t="str">
        <f t="shared" si="21"/>
        <v>70 - 77</v>
      </c>
      <c r="K7" s="311">
        <f t="shared" si="22"/>
        <v>3.0710706995731982</v>
      </c>
      <c r="L7" s="312">
        <f t="shared" si="23"/>
        <v>-3.7715162215798209E-2</v>
      </c>
      <c r="M7" s="312">
        <f t="shared" si="24"/>
        <v>9.9136576207262156E-2</v>
      </c>
      <c r="N7" s="313">
        <f t="shared" si="25"/>
        <v>0</v>
      </c>
      <c r="O7" s="306" t="str">
        <f t="shared" si="26"/>
        <v>Fife</v>
      </c>
      <c r="P7" s="306" t="s">
        <v>32</v>
      </c>
      <c r="Q7" s="425">
        <v>444</v>
      </c>
      <c r="R7" s="425">
        <v>629</v>
      </c>
      <c r="S7" s="425">
        <v>467</v>
      </c>
      <c r="T7" s="425">
        <v>634</v>
      </c>
    </row>
    <row r="8" spans="1:20">
      <c r="A8" s="306" t="str">
        <f t="shared" si="13"/>
        <v>Dumfries &amp; Galloway*</v>
      </c>
      <c r="B8" s="307">
        <f t="shared" si="14"/>
        <v>71.134020618556704</v>
      </c>
      <c r="C8" s="307">
        <f t="shared" si="15"/>
        <v>71.378091872791515</v>
      </c>
      <c r="D8" s="308" t="s">
        <v>268</v>
      </c>
      <c r="E8" s="308">
        <f t="shared" si="16"/>
        <v>66</v>
      </c>
      <c r="F8" s="308">
        <f t="shared" si="17"/>
        <v>76</v>
      </c>
      <c r="G8" s="308">
        <f t="shared" si="18"/>
        <v>66</v>
      </c>
      <c r="H8" s="308">
        <f t="shared" si="19"/>
        <v>76</v>
      </c>
      <c r="I8" s="314" t="str">
        <f t="shared" si="20"/>
        <v>66 - 76</v>
      </c>
      <c r="J8" s="310" t="str">
        <f t="shared" si="21"/>
        <v>66 - 76</v>
      </c>
      <c r="K8" s="311">
        <f t="shared" si="22"/>
        <v>0.24407125423481091</v>
      </c>
      <c r="L8" s="312">
        <f t="shared" si="23"/>
        <v>-0.10006525685524512</v>
      </c>
      <c r="M8" s="312">
        <f t="shared" si="24"/>
        <v>0.10494668193994136</v>
      </c>
      <c r="N8" s="313">
        <f t="shared" si="25"/>
        <v>0</v>
      </c>
      <c r="O8" s="306" t="str">
        <f t="shared" si="26"/>
        <v>Dumfries &amp; Galloway</v>
      </c>
      <c r="P8" s="306" t="s">
        <v>33</v>
      </c>
      <c r="Q8" s="425">
        <v>207</v>
      </c>
      <c r="R8" s="425">
        <v>291</v>
      </c>
      <c r="S8" s="425">
        <v>202</v>
      </c>
      <c r="T8" s="425">
        <v>283</v>
      </c>
    </row>
    <row r="9" spans="1:20">
      <c r="A9" s="306" t="str">
        <f t="shared" si="13"/>
        <v>Lanarkshire</v>
      </c>
      <c r="B9" s="307">
        <f t="shared" si="14"/>
        <v>76.19047619047619</v>
      </c>
      <c r="C9" s="307">
        <f t="shared" si="15"/>
        <v>68.795811518324612</v>
      </c>
      <c r="D9" s="308" t="s">
        <v>268</v>
      </c>
      <c r="E9" s="308">
        <f t="shared" si="16"/>
        <v>73</v>
      </c>
      <c r="F9" s="308">
        <f t="shared" si="17"/>
        <v>79</v>
      </c>
      <c r="G9" s="308">
        <f t="shared" si="18"/>
        <v>66</v>
      </c>
      <c r="H9" s="308">
        <f t="shared" si="19"/>
        <v>72</v>
      </c>
      <c r="I9" s="314" t="str">
        <f t="shared" si="20"/>
        <v>73 - 79</v>
      </c>
      <c r="J9" s="310" t="str">
        <f t="shared" si="21"/>
        <v>66 - 72</v>
      </c>
      <c r="K9" s="311">
        <f t="shared" si="22"/>
        <v>-7.3946646721515776</v>
      </c>
      <c r="L9" s="312">
        <f t="shared" si="23"/>
        <v>-0.12962134684410287</v>
      </c>
      <c r="M9" s="312">
        <f t="shared" si="24"/>
        <v>-1.8271946598928605E-2</v>
      </c>
      <c r="N9" s="313">
        <f t="shared" si="25"/>
        <v>-1</v>
      </c>
      <c r="O9" s="306" t="str">
        <f t="shared" si="26"/>
        <v>Lanarkshire</v>
      </c>
      <c r="P9" s="306" t="s">
        <v>31</v>
      </c>
      <c r="Q9" s="425">
        <v>704</v>
      </c>
      <c r="R9" s="425">
        <v>924</v>
      </c>
      <c r="S9" s="425">
        <v>657</v>
      </c>
      <c r="T9" s="425">
        <v>955</v>
      </c>
    </row>
    <row r="10" spans="1:20">
      <c r="A10" s="306" t="str">
        <f t="shared" si="13"/>
        <v>Forth Valley</v>
      </c>
      <c r="B10" s="307">
        <f t="shared" si="14"/>
        <v>67.786561264822126</v>
      </c>
      <c r="C10" s="307">
        <f t="shared" si="15"/>
        <v>67.095588235294116</v>
      </c>
      <c r="D10" s="308" t="s">
        <v>268</v>
      </c>
      <c r="E10" s="308">
        <f t="shared" si="16"/>
        <v>64</v>
      </c>
      <c r="F10" s="308">
        <f t="shared" si="17"/>
        <v>72</v>
      </c>
      <c r="G10" s="308">
        <f t="shared" si="18"/>
        <v>63</v>
      </c>
      <c r="H10" s="308">
        <f t="shared" si="19"/>
        <v>71</v>
      </c>
      <c r="I10" s="314" t="str">
        <f t="shared" si="20"/>
        <v>64 - 72</v>
      </c>
      <c r="J10" s="310" t="str">
        <f t="shared" si="21"/>
        <v>63 - 71</v>
      </c>
      <c r="K10" s="311">
        <f t="shared" si="22"/>
        <v>-0.69097302952800987</v>
      </c>
      <c r="L10" s="312">
        <f t="shared" si="23"/>
        <v>-8.5418897619939427E-2</v>
      </c>
      <c r="M10" s="312">
        <f t="shared" si="24"/>
        <v>7.1599437029379043E-2</v>
      </c>
      <c r="N10" s="313">
        <f t="shared" si="25"/>
        <v>0</v>
      </c>
      <c r="O10" s="306" t="str">
        <f t="shared" si="26"/>
        <v>Forth Valley</v>
      </c>
      <c r="P10" s="306" t="s">
        <v>37</v>
      </c>
      <c r="Q10" s="425">
        <v>343</v>
      </c>
      <c r="R10" s="425">
        <v>506</v>
      </c>
      <c r="S10" s="425">
        <v>365</v>
      </c>
      <c r="T10" s="425">
        <v>544</v>
      </c>
    </row>
    <row r="11" spans="1:20">
      <c r="A11" s="306" t="str">
        <f t="shared" si="13"/>
        <v>Ayrshire &amp; Arran</v>
      </c>
      <c r="B11" s="307">
        <f t="shared" si="14"/>
        <v>62.677165354330711</v>
      </c>
      <c r="C11" s="307">
        <f t="shared" si="15"/>
        <v>64.769230769230774</v>
      </c>
      <c r="D11" s="308" t="s">
        <v>268</v>
      </c>
      <c r="E11" s="308">
        <f t="shared" si="16"/>
        <v>59</v>
      </c>
      <c r="F11" s="308">
        <f t="shared" si="17"/>
        <v>66</v>
      </c>
      <c r="G11" s="308">
        <f t="shared" si="18"/>
        <v>61</v>
      </c>
      <c r="H11" s="308">
        <f t="shared" si="19"/>
        <v>68</v>
      </c>
      <c r="I11" s="314" t="str">
        <f t="shared" si="20"/>
        <v>59 - 66</v>
      </c>
      <c r="J11" s="310" t="str">
        <f t="shared" si="21"/>
        <v>61 - 68</v>
      </c>
      <c r="K11" s="311">
        <f t="shared" si="22"/>
        <v>2.0920654149000626</v>
      </c>
      <c r="L11" s="312">
        <f t="shared" si="23"/>
        <v>-5.185030319604024E-2</v>
      </c>
      <c r="M11" s="312">
        <f t="shared" si="24"/>
        <v>9.3691611494041385E-2</v>
      </c>
      <c r="N11" s="313">
        <f t="shared" si="25"/>
        <v>0</v>
      </c>
      <c r="O11" s="306" t="str">
        <f t="shared" si="26"/>
        <v>Ayrshire &amp; Arran</v>
      </c>
      <c r="P11" s="306" t="s">
        <v>35</v>
      </c>
      <c r="Q11" s="425">
        <v>398</v>
      </c>
      <c r="R11" s="425">
        <v>635</v>
      </c>
      <c r="S11" s="425">
        <v>421</v>
      </c>
      <c r="T11" s="425">
        <v>650</v>
      </c>
    </row>
    <row r="12" spans="1:20">
      <c r="A12" s="306" t="str">
        <f t="shared" si="13"/>
        <v>Grampian</v>
      </c>
      <c r="B12" s="307">
        <f t="shared" si="14"/>
        <v>61.294765840220386</v>
      </c>
      <c r="C12" s="307">
        <f t="shared" si="15"/>
        <v>64.277035236938033</v>
      </c>
      <c r="D12" s="308" t="s">
        <v>268</v>
      </c>
      <c r="E12" s="308">
        <f t="shared" si="16"/>
        <v>58</v>
      </c>
      <c r="F12" s="308">
        <f t="shared" si="17"/>
        <v>65</v>
      </c>
      <c r="G12" s="308">
        <f t="shared" si="18"/>
        <v>61</v>
      </c>
      <c r="H12" s="308">
        <f t="shared" si="19"/>
        <v>67</v>
      </c>
      <c r="I12" s="314" t="str">
        <f t="shared" si="20"/>
        <v>58 - 65</v>
      </c>
      <c r="J12" s="310" t="str">
        <f t="shared" si="21"/>
        <v>61 - 67</v>
      </c>
      <c r="K12" s="311">
        <f t="shared" si="22"/>
        <v>2.9822693967176477</v>
      </c>
      <c r="L12" s="312">
        <f t="shared" si="23"/>
        <v>-3.6952579073616681E-2</v>
      </c>
      <c r="M12" s="312">
        <f t="shared" si="24"/>
        <v>9.6597967007969493E-2</v>
      </c>
      <c r="N12" s="313">
        <f t="shared" si="25"/>
        <v>0</v>
      </c>
      <c r="O12" s="306" t="str">
        <f t="shared" si="26"/>
        <v>Grampian</v>
      </c>
      <c r="P12" s="306" t="s">
        <v>36</v>
      </c>
      <c r="Q12" s="425">
        <v>445</v>
      </c>
      <c r="R12" s="425">
        <v>726</v>
      </c>
      <c r="S12" s="425">
        <v>529</v>
      </c>
      <c r="T12" s="425">
        <v>823</v>
      </c>
    </row>
    <row r="13" spans="1:20">
      <c r="A13" s="306" t="str">
        <f t="shared" si="13"/>
        <v>Greater Glasgow &amp; Clyde</v>
      </c>
      <c r="B13" s="307">
        <f t="shared" si="14"/>
        <v>57.104795737122558</v>
      </c>
      <c r="C13" s="307">
        <f t="shared" si="15"/>
        <v>64.055505819158469</v>
      </c>
      <c r="D13" s="308" t="s">
        <v>268</v>
      </c>
      <c r="E13" s="308">
        <f t="shared" si="16"/>
        <v>55</v>
      </c>
      <c r="F13" s="308">
        <f t="shared" si="17"/>
        <v>59</v>
      </c>
      <c r="G13" s="308">
        <f t="shared" si="18"/>
        <v>62</v>
      </c>
      <c r="H13" s="308">
        <f t="shared" si="19"/>
        <v>66</v>
      </c>
      <c r="I13" s="314" t="str">
        <f t="shared" si="20"/>
        <v>55 - 59</v>
      </c>
      <c r="J13" s="310" t="str">
        <f t="shared" si="21"/>
        <v>62 - 66</v>
      </c>
      <c r="K13" s="311">
        <f t="shared" si="22"/>
        <v>6.9507100820359113</v>
      </c>
      <c r="L13" s="312">
        <f t="shared" si="23"/>
        <v>3.0019878066795201E-2</v>
      </c>
      <c r="M13" s="312">
        <f t="shared" si="24"/>
        <v>0.10899432357392289</v>
      </c>
      <c r="N13" s="313">
        <f t="shared" si="25"/>
        <v>1</v>
      </c>
      <c r="O13" s="306" t="str">
        <f t="shared" si="26"/>
        <v>Greater Glasgow &amp; Clyde</v>
      </c>
      <c r="P13" s="306" t="s">
        <v>42</v>
      </c>
      <c r="Q13" s="425">
        <v>1286</v>
      </c>
      <c r="R13" s="425">
        <v>2252</v>
      </c>
      <c r="S13" s="425">
        <v>1431</v>
      </c>
      <c r="T13" s="425">
        <v>2234</v>
      </c>
    </row>
    <row r="14" spans="1:20">
      <c r="A14" s="306" t="str">
        <f t="shared" si="13"/>
        <v>Tayside</v>
      </c>
      <c r="B14" s="307">
        <f t="shared" si="14"/>
        <v>64.137931034482747</v>
      </c>
      <c r="C14" s="307">
        <f t="shared" si="15"/>
        <v>59.905660377358494</v>
      </c>
      <c r="D14" s="308" t="s">
        <v>268</v>
      </c>
      <c r="E14" s="308">
        <f t="shared" si="16"/>
        <v>60</v>
      </c>
      <c r="F14" s="308">
        <f t="shared" si="17"/>
        <v>68</v>
      </c>
      <c r="G14" s="308">
        <f t="shared" si="18"/>
        <v>56</v>
      </c>
      <c r="H14" s="308">
        <f t="shared" si="19"/>
        <v>64</v>
      </c>
      <c r="I14" s="314" t="str">
        <f t="shared" si="20"/>
        <v>60 - 68</v>
      </c>
      <c r="J14" s="310" t="str">
        <f t="shared" si="21"/>
        <v>56 - 64</v>
      </c>
      <c r="K14" s="311">
        <f t="shared" si="22"/>
        <v>-4.2322706571242534</v>
      </c>
      <c r="L14" s="312">
        <f t="shared" si="23"/>
        <v>-0.11781314900523525</v>
      </c>
      <c r="M14" s="312">
        <f t="shared" si="24"/>
        <v>3.3167735862750056E-2</v>
      </c>
      <c r="N14" s="313">
        <f t="shared" si="25"/>
        <v>0</v>
      </c>
      <c r="O14" s="306" t="str">
        <f t="shared" si="26"/>
        <v>Tayside</v>
      </c>
      <c r="P14" s="306" t="s">
        <v>34</v>
      </c>
      <c r="Q14" s="425">
        <v>372</v>
      </c>
      <c r="R14" s="425">
        <v>580</v>
      </c>
      <c r="S14" s="425">
        <v>381</v>
      </c>
      <c r="T14" s="425">
        <v>636</v>
      </c>
    </row>
    <row r="15" spans="1:20">
      <c r="A15" s="306" t="str">
        <f t="shared" si="13"/>
        <v>Highland*</v>
      </c>
      <c r="B15" s="307">
        <f t="shared" si="14"/>
        <v>63.16916488222698</v>
      </c>
      <c r="C15" s="307">
        <f t="shared" si="15"/>
        <v>55.511022044088179</v>
      </c>
      <c r="D15" s="308" t="s">
        <v>268</v>
      </c>
      <c r="E15" s="308">
        <f t="shared" si="16"/>
        <v>59</v>
      </c>
      <c r="F15" s="308">
        <f t="shared" si="17"/>
        <v>67</v>
      </c>
      <c r="G15" s="308">
        <f t="shared" si="18"/>
        <v>51</v>
      </c>
      <c r="H15" s="308">
        <f t="shared" si="19"/>
        <v>60</v>
      </c>
      <c r="I15" s="314" t="str">
        <f t="shared" si="20"/>
        <v>59 - 67</v>
      </c>
      <c r="J15" s="310" t="str">
        <f t="shared" si="21"/>
        <v>51 - 60</v>
      </c>
      <c r="K15" s="311">
        <f t="shared" si="22"/>
        <v>-7.6581428381388008</v>
      </c>
      <c r="L15" s="312">
        <f t="shared" si="23"/>
        <v>-0.16207963674059975</v>
      </c>
      <c r="M15" s="312">
        <f t="shared" si="24"/>
        <v>8.9167799778236689E-3</v>
      </c>
      <c r="N15" s="313">
        <f t="shared" si="25"/>
        <v>0</v>
      </c>
      <c r="O15" s="306" t="str">
        <f t="shared" si="26"/>
        <v>Highland</v>
      </c>
      <c r="P15" s="306" t="s">
        <v>38</v>
      </c>
      <c r="Q15" s="425">
        <v>295</v>
      </c>
      <c r="R15" s="425">
        <v>467</v>
      </c>
      <c r="S15" s="425">
        <v>277</v>
      </c>
      <c r="T15" s="425">
        <v>499</v>
      </c>
    </row>
    <row r="16" spans="1:20">
      <c r="A16" s="306" t="str">
        <f t="shared" si="13"/>
        <v>Lothian</v>
      </c>
      <c r="B16" s="307">
        <f t="shared" si="14"/>
        <v>48.525280898876403</v>
      </c>
      <c r="C16" s="307">
        <f t="shared" si="15"/>
        <v>53.995830437804024</v>
      </c>
      <c r="D16" s="308" t="s">
        <v>268</v>
      </c>
      <c r="E16" s="308">
        <f t="shared" si="16"/>
        <v>46</v>
      </c>
      <c r="F16" s="308">
        <f t="shared" si="17"/>
        <v>51</v>
      </c>
      <c r="G16" s="308">
        <f t="shared" si="18"/>
        <v>51</v>
      </c>
      <c r="H16" s="308">
        <f t="shared" si="19"/>
        <v>57</v>
      </c>
      <c r="I16" s="314" t="str">
        <f t="shared" si="20"/>
        <v>46 - 51</v>
      </c>
      <c r="J16" s="310" t="str">
        <f t="shared" si="21"/>
        <v>51 - 57</v>
      </c>
      <c r="K16" s="311">
        <f t="shared" si="22"/>
        <v>5.4705495389276209</v>
      </c>
      <c r="L16" s="312">
        <f t="shared" si="23"/>
        <v>4.0918952194711825E-3</v>
      </c>
      <c r="M16" s="312">
        <f t="shared" si="24"/>
        <v>0.10531909555908125</v>
      </c>
      <c r="N16" s="313">
        <f t="shared" si="25"/>
        <v>1</v>
      </c>
      <c r="O16" s="306" t="str">
        <f t="shared" si="26"/>
        <v>Lothian</v>
      </c>
      <c r="P16" s="306" t="s">
        <v>40</v>
      </c>
      <c r="Q16" s="425">
        <v>691</v>
      </c>
      <c r="R16" s="425">
        <v>1424</v>
      </c>
      <c r="S16" s="425">
        <v>777</v>
      </c>
      <c r="T16" s="425">
        <v>1439</v>
      </c>
    </row>
    <row r="17" spans="1:20">
      <c r="A17" s="306" t="str">
        <f t="shared" si="13"/>
        <v>Orkney*</v>
      </c>
      <c r="B17" s="307">
        <f t="shared" si="14"/>
        <v>17.5</v>
      </c>
      <c r="C17" s="307">
        <f t="shared" si="15"/>
        <v>45</v>
      </c>
      <c r="D17" s="308" t="s">
        <v>268</v>
      </c>
      <c r="E17" s="308">
        <f t="shared" si="16"/>
        <v>9</v>
      </c>
      <c r="F17" s="308">
        <f t="shared" si="17"/>
        <v>32</v>
      </c>
      <c r="G17" s="308">
        <f t="shared" si="18"/>
        <v>31</v>
      </c>
      <c r="H17" s="308">
        <f t="shared" si="19"/>
        <v>60</v>
      </c>
      <c r="I17" s="314" t="str">
        <f t="shared" si="20"/>
        <v>9 - 32</v>
      </c>
      <c r="J17" s="310" t="str">
        <f t="shared" si="21"/>
        <v>31 - 60</v>
      </c>
      <c r="K17" s="311">
        <f t="shared" si="22"/>
        <v>27.5</v>
      </c>
      <c r="L17" s="312">
        <f t="shared" si="23"/>
        <v>6.4643909039673875E-3</v>
      </c>
      <c r="M17" s="312">
        <f t="shared" si="24"/>
        <v>0.5435356090960326</v>
      </c>
      <c r="N17" s="313">
        <f t="shared" si="25"/>
        <v>1</v>
      </c>
      <c r="O17" s="306" t="str">
        <f t="shared" si="26"/>
        <v>Orkney</v>
      </c>
      <c r="P17" s="306" t="s">
        <v>43</v>
      </c>
      <c r="Q17" s="425">
        <v>7</v>
      </c>
      <c r="R17" s="425">
        <v>40</v>
      </c>
      <c r="S17" s="425">
        <v>18</v>
      </c>
      <c r="T17" s="425">
        <v>40</v>
      </c>
    </row>
  </sheetData>
  <sheetProtection password="B8D9" sheet="1" objects="1" scenarios="1"/>
  <sortState ref="A4:T17">
    <sortCondition descending="1" ref="C4:C17"/>
  </sortState>
  <mergeCells count="7">
    <mergeCell ref="A1:A2"/>
    <mergeCell ref="B1:H1"/>
    <mergeCell ref="O1:P1"/>
    <mergeCell ref="Q1:R1"/>
    <mergeCell ref="S1:T1"/>
    <mergeCell ref="E2:F2"/>
    <mergeCell ref="G2:H2"/>
  </mergeCells>
  <printOptions horizontalCentered="1"/>
  <pageMargins left="0" right="0" top="0.74803149606299213" bottom="0.74803149606299213" header="0.31496062992125984" footer="0.31496062992125984"/>
  <pageSetup paperSize="9" scale="57" orientation="landscape" r:id="rId1"/>
  <headerFooter alignWithMargins="0">
    <oddHeader>&amp;LChart 1b DATA
Percentage of stroke patients receiving an 'appropriate' Stroke Care Bundle (i.e. Stroke Unit admission, swallow screen, brain scan and aspirin),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19.xml><?xml version="1.0" encoding="utf-8"?>
<worksheet xmlns="http://schemas.openxmlformats.org/spreadsheetml/2006/main" xmlns:r="http://schemas.openxmlformats.org/officeDocument/2006/relationships">
  <sheetPr codeName="Sheet4"/>
  <dimension ref="A1:T44"/>
  <sheetViews>
    <sheetView workbookViewId="0"/>
  </sheetViews>
  <sheetFormatPr defaultRowHeight="12.75"/>
  <cols>
    <col min="1" max="1" width="1.7109375" style="2" customWidth="1"/>
    <col min="2" max="16384" width="9.140625" style="2"/>
  </cols>
  <sheetData>
    <row r="1" spans="1:20" ht="12.75" customHeight="1">
      <c r="A1" s="1"/>
      <c r="B1" s="798" t="s">
        <v>506</v>
      </c>
      <c r="C1" s="798"/>
      <c r="D1" s="798"/>
      <c r="E1" s="798"/>
      <c r="F1" s="798"/>
      <c r="G1" s="798"/>
      <c r="H1" s="798"/>
      <c r="I1" s="798"/>
      <c r="J1" s="798"/>
      <c r="K1" s="798"/>
      <c r="L1" s="798"/>
      <c r="M1" s="798"/>
      <c r="N1" s="802" t="s">
        <v>48</v>
      </c>
      <c r="O1" s="802"/>
    </row>
    <row r="2" spans="1:20">
      <c r="B2" s="798"/>
      <c r="C2" s="798"/>
      <c r="D2" s="798"/>
      <c r="E2" s="798"/>
      <c r="F2" s="798"/>
      <c r="G2" s="798"/>
      <c r="H2" s="798"/>
      <c r="I2" s="798"/>
      <c r="J2" s="798"/>
      <c r="K2" s="798"/>
      <c r="L2" s="798"/>
      <c r="M2" s="798"/>
      <c r="N2" s="802"/>
      <c r="O2" s="802"/>
    </row>
    <row r="3" spans="1:20">
      <c r="B3" s="798"/>
      <c r="C3" s="798"/>
      <c r="D3" s="798"/>
      <c r="E3" s="798"/>
      <c r="F3" s="798"/>
      <c r="G3" s="798"/>
      <c r="H3" s="798"/>
      <c r="I3" s="798"/>
      <c r="J3" s="798"/>
      <c r="K3" s="798"/>
      <c r="L3" s="798"/>
      <c r="M3" s="798"/>
      <c r="N3" s="802"/>
      <c r="O3" s="802"/>
    </row>
    <row r="4" spans="1:20">
      <c r="N4" s="803" t="s">
        <v>463</v>
      </c>
      <c r="O4" s="803"/>
    </row>
    <row r="13" spans="1:20" ht="15">
      <c r="O13" s="199"/>
      <c r="P13" s="276" t="s">
        <v>298</v>
      </c>
      <c r="Q13"/>
      <c r="R13"/>
      <c r="S13"/>
      <c r="T13"/>
    </row>
    <row r="14" spans="1:20" ht="15">
      <c r="O14" s="200"/>
      <c r="P14" s="276" t="s">
        <v>507</v>
      </c>
      <c r="Q14"/>
      <c r="R14"/>
      <c r="S14"/>
      <c r="T14"/>
    </row>
    <row r="15" spans="1:20" ht="15">
      <c r="O15" s="201"/>
      <c r="P15" s="276" t="s">
        <v>508</v>
      </c>
      <c r="Q15"/>
      <c r="R15"/>
      <c r="S15"/>
      <c r="T15"/>
    </row>
    <row r="16" spans="1:20" ht="15">
      <c r="O16" s="283"/>
      <c r="P16" s="276" t="s">
        <v>509</v>
      </c>
      <c r="Q16"/>
      <c r="R16"/>
      <c r="S16"/>
      <c r="T16"/>
    </row>
    <row r="17" spans="2:20" ht="15">
      <c r="O17"/>
      <c r="P17" s="276"/>
      <c r="Q17"/>
      <c r="R17"/>
      <c r="S17"/>
      <c r="T17"/>
    </row>
    <row r="31" spans="2:20" ht="15">
      <c r="B31" s="316" t="s">
        <v>448</v>
      </c>
      <c r="C31" s="207"/>
      <c r="D31" s="208"/>
      <c r="E31" s="208"/>
      <c r="F31" s="208"/>
      <c r="G31" s="208"/>
      <c r="H31" s="208"/>
      <c r="I31" s="208"/>
      <c r="J31" s="207"/>
    </row>
    <row r="32" spans="2:20" ht="24" customHeight="1">
      <c r="B32" s="819" t="s">
        <v>301</v>
      </c>
      <c r="C32" s="819"/>
      <c r="D32" s="819"/>
      <c r="E32" s="819"/>
      <c r="F32" s="819"/>
      <c r="G32" s="819"/>
      <c r="H32" s="819"/>
      <c r="I32" s="819"/>
      <c r="J32" s="819"/>
      <c r="K32" s="819"/>
      <c r="L32" s="819"/>
      <c r="M32" s="819"/>
      <c r="N32" s="819"/>
    </row>
    <row r="33" spans="2:14" ht="12.75" customHeight="1">
      <c r="B33" s="317"/>
      <c r="C33" s="317"/>
      <c r="D33" s="317"/>
      <c r="E33" s="317"/>
      <c r="F33" s="317"/>
      <c r="G33" s="317"/>
      <c r="H33" s="317"/>
      <c r="I33" s="317"/>
      <c r="J33" s="317"/>
      <c r="K33" s="317"/>
      <c r="L33" s="317"/>
      <c r="M33" s="317"/>
      <c r="N33" s="317"/>
    </row>
    <row r="34" spans="2:14" ht="33" customHeight="1">
      <c r="B34" s="820" t="s">
        <v>302</v>
      </c>
      <c r="C34" s="820"/>
      <c r="D34" s="820"/>
      <c r="E34" s="820"/>
      <c r="F34" s="820"/>
      <c r="G34" s="820"/>
      <c r="H34" s="820"/>
      <c r="I34" s="820"/>
      <c r="J34" s="820"/>
      <c r="K34" s="820"/>
      <c r="L34" s="820"/>
      <c r="M34" s="820"/>
      <c r="N34" s="820"/>
    </row>
    <row r="35" spans="2:14" ht="12.75" customHeight="1">
      <c r="B35" s="318"/>
      <c r="C35" s="318"/>
      <c r="D35" s="318"/>
      <c r="E35" s="318"/>
      <c r="F35" s="318"/>
      <c r="G35" s="318"/>
      <c r="H35" s="318"/>
      <c r="I35" s="318"/>
      <c r="J35" s="318"/>
      <c r="K35" s="318"/>
      <c r="L35" s="318"/>
      <c r="M35" s="318"/>
      <c r="N35" s="318"/>
    </row>
    <row r="36" spans="2:14" ht="33.75" customHeight="1">
      <c r="B36" s="819" t="s">
        <v>303</v>
      </c>
      <c r="C36" s="819"/>
      <c r="D36" s="819"/>
      <c r="E36" s="819"/>
      <c r="F36" s="819"/>
      <c r="G36" s="819"/>
      <c r="H36" s="819"/>
      <c r="I36" s="819"/>
      <c r="J36" s="819"/>
      <c r="K36" s="819"/>
      <c r="L36" s="819"/>
      <c r="M36" s="819"/>
      <c r="N36" s="819"/>
    </row>
    <row r="37" spans="2:14" ht="12.75" customHeight="1">
      <c r="B37" s="317"/>
      <c r="C37" s="317"/>
      <c r="D37" s="317"/>
      <c r="E37" s="317"/>
      <c r="F37" s="317"/>
      <c r="G37" s="317"/>
      <c r="H37" s="317"/>
      <c r="I37" s="317"/>
      <c r="J37" s="317"/>
      <c r="K37" s="317"/>
      <c r="L37" s="317"/>
      <c r="M37" s="317"/>
      <c r="N37" s="317"/>
    </row>
    <row r="38" spans="2:14" ht="22.5" customHeight="1">
      <c r="B38" s="819" t="s">
        <v>304</v>
      </c>
      <c r="C38" s="819"/>
      <c r="D38" s="819"/>
      <c r="E38" s="819"/>
      <c r="F38" s="819"/>
      <c r="G38" s="819"/>
      <c r="H38" s="819"/>
      <c r="I38" s="819"/>
      <c r="J38" s="819"/>
      <c r="K38" s="819"/>
      <c r="L38" s="819"/>
      <c r="M38" s="819"/>
      <c r="N38" s="819"/>
    </row>
    <row r="39" spans="2:14" ht="12.75" customHeight="1">
      <c r="B39" s="317"/>
      <c r="C39" s="317"/>
      <c r="D39" s="317"/>
      <c r="E39" s="317"/>
      <c r="F39" s="317"/>
      <c r="G39" s="317"/>
      <c r="H39" s="317"/>
      <c r="I39" s="317"/>
      <c r="J39" s="317"/>
      <c r="K39" s="317"/>
      <c r="L39" s="317"/>
      <c r="M39" s="317"/>
      <c r="N39" s="317"/>
    </row>
    <row r="40" spans="2:14" ht="33.75" customHeight="1">
      <c r="B40" s="819" t="s">
        <v>305</v>
      </c>
      <c r="C40" s="819"/>
      <c r="D40" s="819"/>
      <c r="E40" s="819"/>
      <c r="F40" s="819"/>
      <c r="G40" s="819"/>
      <c r="H40" s="819"/>
      <c r="I40" s="819"/>
      <c r="J40" s="819"/>
      <c r="K40" s="819"/>
      <c r="L40" s="819"/>
      <c r="M40" s="819"/>
      <c r="N40" s="819"/>
    </row>
    <row r="41" spans="2:14" ht="12.75" customHeight="1">
      <c r="B41" s="317"/>
      <c r="C41" s="317"/>
      <c r="D41" s="317"/>
      <c r="E41" s="317"/>
      <c r="F41" s="317"/>
      <c r="G41" s="317"/>
      <c r="H41" s="317"/>
      <c r="I41" s="317"/>
      <c r="J41" s="317"/>
      <c r="K41" s="317"/>
      <c r="L41" s="317"/>
      <c r="M41" s="317"/>
      <c r="N41" s="317"/>
    </row>
    <row r="42" spans="2:14" ht="21.75" customHeight="1">
      <c r="B42" s="819" t="s">
        <v>632</v>
      </c>
      <c r="C42" s="819"/>
      <c r="D42" s="819"/>
      <c r="E42" s="819"/>
      <c r="F42" s="819"/>
      <c r="G42" s="819"/>
      <c r="H42" s="819"/>
      <c r="I42" s="819"/>
      <c r="J42" s="819"/>
      <c r="K42" s="819"/>
      <c r="L42" s="819"/>
      <c r="M42" s="819"/>
      <c r="N42" s="819"/>
    </row>
    <row r="43" spans="2:14">
      <c r="B43" s="319"/>
    </row>
    <row r="44" spans="2:14" ht="23.25" customHeight="1">
      <c r="B44" s="819" t="s">
        <v>306</v>
      </c>
      <c r="C44" s="819"/>
      <c r="D44" s="819"/>
      <c r="E44" s="819"/>
      <c r="F44" s="819"/>
      <c r="G44" s="819"/>
      <c r="H44" s="819"/>
      <c r="I44" s="819"/>
      <c r="J44" s="819"/>
      <c r="K44" s="819"/>
      <c r="L44" s="819"/>
      <c r="M44" s="819"/>
      <c r="N44" s="819"/>
    </row>
  </sheetData>
  <sheetProtection password="B8D9" sheet="1" objects="1" scenarios="1"/>
  <mergeCells count="10">
    <mergeCell ref="B40:N40"/>
    <mergeCell ref="B42:N42"/>
    <mergeCell ref="B44:N44"/>
    <mergeCell ref="B1:M3"/>
    <mergeCell ref="B32:N32"/>
    <mergeCell ref="B34:N34"/>
    <mergeCell ref="B36:N36"/>
    <mergeCell ref="B38:N38"/>
    <mergeCell ref="N4:O4"/>
    <mergeCell ref="N1:O3"/>
  </mergeCells>
  <hyperlinks>
    <hyperlink ref="N1" location="'List of Tables &amp; Charts'!A1" display="return to List of Tables &amp; Charts"/>
    <hyperlink ref="N4:O4" location="'Chart 1c DATA'!A1" display="view Chart 1c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2.xml><?xml version="1.0" encoding="utf-8"?>
<worksheet xmlns="http://schemas.openxmlformats.org/spreadsheetml/2006/main" xmlns:r="http://schemas.openxmlformats.org/officeDocument/2006/relationships">
  <sheetPr codeName="Sheet13">
    <pageSetUpPr fitToPage="1"/>
  </sheetPr>
  <dimension ref="B1:S26"/>
  <sheetViews>
    <sheetView workbookViewId="0">
      <selection activeCell="F15" sqref="F15"/>
    </sheetView>
  </sheetViews>
  <sheetFormatPr defaultRowHeight="12.75"/>
  <cols>
    <col min="1" max="1" width="1.7109375" style="523" customWidth="1"/>
    <col min="2" max="2" width="34.42578125" style="523" bestFit="1" customWidth="1"/>
    <col min="3" max="4" width="10.7109375" style="524" customWidth="1"/>
    <col min="5" max="7" width="9.140625" style="523"/>
    <col min="8" max="8" width="10.7109375" style="523" customWidth="1"/>
    <col min="9" max="19" width="12.7109375" style="523" customWidth="1"/>
    <col min="20" max="16384" width="9.140625" style="523"/>
  </cols>
  <sheetData>
    <row r="1" spans="2:19" s="336" customFormat="1">
      <c r="B1" s="761" t="s">
        <v>665</v>
      </c>
      <c r="C1" s="761"/>
      <c r="D1" s="761"/>
      <c r="E1" s="761"/>
      <c r="F1" s="761"/>
      <c r="G1" s="761"/>
      <c r="H1" s="761"/>
      <c r="I1" s="761"/>
      <c r="J1" s="761"/>
      <c r="K1" s="761"/>
    </row>
    <row r="2" spans="2:19" s="336" customFormat="1">
      <c r="B2" s="761"/>
      <c r="C2" s="761"/>
      <c r="D2" s="761"/>
      <c r="E2" s="761"/>
      <c r="F2" s="761"/>
      <c r="G2" s="761"/>
      <c r="H2" s="761"/>
      <c r="I2" s="761"/>
      <c r="J2" s="761"/>
      <c r="K2" s="761"/>
    </row>
    <row r="3" spans="2:19" s="336" customFormat="1">
      <c r="B3" s="458" t="s">
        <v>48</v>
      </c>
    </row>
    <row r="4" spans="2:19">
      <c r="B4" s="728" t="s">
        <v>728</v>
      </c>
      <c r="O4" s="525"/>
      <c r="P4" s="525"/>
      <c r="Q4" s="525"/>
      <c r="R4" s="525"/>
      <c r="S4" s="525"/>
    </row>
    <row r="5" spans="2:19">
      <c r="B5" s="728" t="s">
        <v>754</v>
      </c>
      <c r="E5" s="732" t="s">
        <v>753</v>
      </c>
      <c r="O5" s="525"/>
      <c r="P5" s="525"/>
      <c r="Q5" s="525"/>
      <c r="R5" s="525"/>
      <c r="S5" s="525"/>
    </row>
    <row r="6" spans="2:19" ht="20.100000000000001" customHeight="1">
      <c r="B6" s="526"/>
      <c r="C6" s="527"/>
      <c r="D6" s="527"/>
      <c r="E6" s="528"/>
      <c r="F6" s="528"/>
      <c r="G6" s="528"/>
      <c r="H6" s="528"/>
      <c r="I6" s="762" t="s">
        <v>334</v>
      </c>
      <c r="J6" s="763"/>
      <c r="K6" s="763"/>
      <c r="L6" s="763"/>
      <c r="M6" s="763"/>
      <c r="N6" s="764"/>
      <c r="O6" s="762" t="s">
        <v>535</v>
      </c>
      <c r="P6" s="763"/>
      <c r="Q6" s="763"/>
      <c r="R6" s="763"/>
      <c r="S6" s="765"/>
    </row>
    <row r="7" spans="2:19" ht="63.75">
      <c r="B7" s="529" t="s">
        <v>338</v>
      </c>
      <c r="C7" s="530" t="s">
        <v>670</v>
      </c>
      <c r="D7" s="565" t="s">
        <v>666</v>
      </c>
      <c r="E7" s="530" t="s">
        <v>658</v>
      </c>
      <c r="F7" s="530" t="s">
        <v>659</v>
      </c>
      <c r="G7" s="531" t="s">
        <v>660</v>
      </c>
      <c r="H7" s="531" t="s">
        <v>661</v>
      </c>
      <c r="I7" s="531" t="s">
        <v>362</v>
      </c>
      <c r="J7" s="531" t="s">
        <v>361</v>
      </c>
      <c r="K7" s="531" t="s">
        <v>360</v>
      </c>
      <c r="L7" s="531" t="s">
        <v>359</v>
      </c>
      <c r="M7" s="531" t="s">
        <v>358</v>
      </c>
      <c r="N7" s="531" t="s">
        <v>357</v>
      </c>
      <c r="O7" s="531" t="s">
        <v>662</v>
      </c>
      <c r="P7" s="531" t="s">
        <v>538</v>
      </c>
      <c r="Q7" s="531" t="s">
        <v>536</v>
      </c>
      <c r="R7" s="531" t="s">
        <v>537</v>
      </c>
      <c r="S7" s="532" t="s">
        <v>663</v>
      </c>
    </row>
    <row r="8" spans="2:19" ht="20.100000000000001" customHeight="1">
      <c r="B8" s="529"/>
      <c r="C8" s="530"/>
      <c r="D8" s="530"/>
      <c r="E8" s="530"/>
      <c r="F8" s="530"/>
      <c r="G8" s="766" t="s">
        <v>664</v>
      </c>
      <c r="H8" s="767"/>
      <c r="I8" s="767"/>
      <c r="J8" s="767"/>
      <c r="K8" s="767"/>
      <c r="L8" s="767"/>
      <c r="M8" s="767"/>
      <c r="N8" s="767"/>
      <c r="O8" s="767"/>
      <c r="P8" s="767"/>
      <c r="Q8" s="767"/>
      <c r="R8" s="767"/>
      <c r="S8" s="768"/>
    </row>
    <row r="9" spans="2:19" ht="24.95" customHeight="1">
      <c r="B9" s="533" t="s">
        <v>181</v>
      </c>
      <c r="C9" s="534">
        <v>9026</v>
      </c>
      <c r="D9" s="566">
        <f>C9/'Table 4 (2015)'!D6*100000</f>
        <v>168.78599745680305</v>
      </c>
      <c r="E9" s="535">
        <v>70.790000000000006</v>
      </c>
      <c r="F9" s="535">
        <v>75.930000000000007</v>
      </c>
      <c r="G9" s="536">
        <v>50.465322401949919</v>
      </c>
      <c r="H9" s="536">
        <v>86.040327941502326</v>
      </c>
      <c r="I9" s="537">
        <v>81.34</v>
      </c>
      <c r="J9" s="538">
        <v>38.83</v>
      </c>
      <c r="K9" s="538">
        <v>71.48</v>
      </c>
      <c r="L9" s="538">
        <v>62.71</v>
      </c>
      <c r="M9" s="538">
        <v>61.63</v>
      </c>
      <c r="N9" s="538">
        <v>47.05</v>
      </c>
      <c r="O9" s="539">
        <v>22.975206611570247</v>
      </c>
      <c r="P9" s="540">
        <v>21.542699724517906</v>
      </c>
      <c r="Q9" s="540">
        <v>18.997245179063359</v>
      </c>
      <c r="R9" s="540">
        <v>17.399449035812673</v>
      </c>
      <c r="S9" s="541">
        <v>16.132231404958677</v>
      </c>
    </row>
    <row r="10" spans="2:19" ht="24.95" customHeight="1">
      <c r="B10" s="542"/>
      <c r="C10" s="543"/>
      <c r="D10" s="543"/>
      <c r="E10" s="535"/>
      <c r="F10" s="535"/>
      <c r="G10" s="536"/>
      <c r="H10" s="536"/>
      <c r="I10" s="539"/>
      <c r="J10" s="540"/>
      <c r="K10" s="540"/>
      <c r="L10" s="540"/>
      <c r="M10" s="540"/>
      <c r="N10" s="540"/>
      <c r="O10" s="539"/>
      <c r="P10" s="540"/>
      <c r="Q10" s="540"/>
      <c r="R10" s="540"/>
      <c r="S10" s="541"/>
    </row>
    <row r="11" spans="2:19" ht="24.95" customHeight="1">
      <c r="B11" s="544" t="s">
        <v>35</v>
      </c>
      <c r="C11" s="545">
        <v>670</v>
      </c>
      <c r="D11" s="567">
        <f>C11/VLOOKUP(B11,'Table 4 (2015)'!$B$7:$D$20,3,FALSE)*100000</f>
        <v>180.53946269300209</v>
      </c>
      <c r="E11" s="546">
        <v>71.400000000000006</v>
      </c>
      <c r="F11" s="546">
        <v>75.400000000000006</v>
      </c>
      <c r="G11" s="547">
        <v>48.805970149253731</v>
      </c>
      <c r="H11" s="547">
        <v>82.68656716417911</v>
      </c>
      <c r="I11" s="548">
        <v>82.99</v>
      </c>
      <c r="J11" s="549">
        <v>37.76</v>
      </c>
      <c r="K11" s="549">
        <v>76.72</v>
      </c>
      <c r="L11" s="549">
        <v>65.37</v>
      </c>
      <c r="M11" s="549">
        <v>65.52</v>
      </c>
      <c r="N11" s="549">
        <v>40.450000000000003</v>
      </c>
      <c r="O11" s="548">
        <v>26.71641791044776</v>
      </c>
      <c r="P11" s="549">
        <v>30</v>
      </c>
      <c r="Q11" s="549">
        <v>15.223880597014924</v>
      </c>
      <c r="R11" s="549">
        <v>13.134328358208954</v>
      </c>
      <c r="S11" s="550">
        <v>14.925373134328357</v>
      </c>
    </row>
    <row r="12" spans="2:19" ht="24.95" customHeight="1">
      <c r="B12" s="551" t="s">
        <v>30</v>
      </c>
      <c r="C12" s="552">
        <v>219</v>
      </c>
      <c r="D12" s="568">
        <f>C12/VLOOKUP(B12,'Table 4 (2015)'!$B$7:$D$20,3,FALSE)*100000</f>
        <v>192.05472244146279</v>
      </c>
      <c r="E12" s="553">
        <v>73.95</v>
      </c>
      <c r="F12" s="553">
        <v>77.5</v>
      </c>
      <c r="G12" s="554">
        <v>53.881278538812779</v>
      </c>
      <c r="H12" s="554">
        <v>83.105022831050221</v>
      </c>
      <c r="I12" s="555">
        <v>80.819999999999993</v>
      </c>
      <c r="J12" s="556">
        <v>36.53</v>
      </c>
      <c r="K12" s="556">
        <v>76.260000000000005</v>
      </c>
      <c r="L12" s="556">
        <v>63.01</v>
      </c>
      <c r="M12" s="556">
        <v>69.86</v>
      </c>
      <c r="N12" s="556">
        <v>54.79</v>
      </c>
      <c r="O12" s="555">
        <v>7.3059360730593603</v>
      </c>
      <c r="P12" s="556">
        <v>16.894977168949772</v>
      </c>
      <c r="Q12" s="556">
        <v>31.963470319634702</v>
      </c>
      <c r="R12" s="556">
        <v>36.529680365296798</v>
      </c>
      <c r="S12" s="557">
        <v>7.3059360730593603</v>
      </c>
    </row>
    <row r="13" spans="2:19" ht="24.95" customHeight="1">
      <c r="B13" s="544" t="s">
        <v>33</v>
      </c>
      <c r="C13" s="545">
        <v>275</v>
      </c>
      <c r="D13" s="567">
        <f>C13/VLOOKUP(B13,'Table 4 (2015)'!$B$7:$D$20,3,FALSE)*100000</f>
        <v>183.40669601173803</v>
      </c>
      <c r="E13" s="546">
        <v>72.19</v>
      </c>
      <c r="F13" s="546">
        <v>77.19</v>
      </c>
      <c r="G13" s="547">
        <v>51.272727272727266</v>
      </c>
      <c r="H13" s="547">
        <v>87.272727272727266</v>
      </c>
      <c r="I13" s="548">
        <v>87.27</v>
      </c>
      <c r="J13" s="549">
        <v>41.09</v>
      </c>
      <c r="K13" s="549">
        <v>67.27</v>
      </c>
      <c r="L13" s="549">
        <v>58.55</v>
      </c>
      <c r="M13" s="549">
        <v>52</v>
      </c>
      <c r="N13" s="549">
        <v>20</v>
      </c>
      <c r="O13" s="548">
        <v>7.6363636363636367</v>
      </c>
      <c r="P13" s="549">
        <v>29.09090909090909</v>
      </c>
      <c r="Q13" s="549">
        <v>31.636363636363633</v>
      </c>
      <c r="R13" s="549">
        <v>24.727272727272727</v>
      </c>
      <c r="S13" s="550">
        <v>6.5454545454545459</v>
      </c>
    </row>
    <row r="14" spans="2:19" ht="24.95" customHeight="1">
      <c r="B14" s="551" t="s">
        <v>32</v>
      </c>
      <c r="C14" s="552">
        <v>685</v>
      </c>
      <c r="D14" s="568">
        <f>C14/VLOOKUP(B14,'Table 4 (2015)'!$B$7:$D$20,3,FALSE)*100000</f>
        <v>186.5163644284703</v>
      </c>
      <c r="E14" s="553">
        <v>72.69</v>
      </c>
      <c r="F14" s="553">
        <v>75.34</v>
      </c>
      <c r="G14" s="554">
        <v>48.321167883211679</v>
      </c>
      <c r="H14" s="554">
        <v>87.737226277372258</v>
      </c>
      <c r="I14" s="555">
        <v>78.98</v>
      </c>
      <c r="J14" s="556">
        <v>43.07</v>
      </c>
      <c r="K14" s="556">
        <v>78.83</v>
      </c>
      <c r="L14" s="556">
        <v>59.71</v>
      </c>
      <c r="M14" s="556">
        <v>61.61</v>
      </c>
      <c r="N14" s="556">
        <v>38.69</v>
      </c>
      <c r="O14" s="555">
        <v>21.897810218978105</v>
      </c>
      <c r="P14" s="556">
        <v>25.401459854014597</v>
      </c>
      <c r="Q14" s="556">
        <v>18.978102189781019</v>
      </c>
      <c r="R14" s="556">
        <v>17.664233576642335</v>
      </c>
      <c r="S14" s="557">
        <v>15.912408759124089</v>
      </c>
    </row>
    <row r="15" spans="2:19" ht="24.95" customHeight="1">
      <c r="B15" s="544" t="s">
        <v>37</v>
      </c>
      <c r="C15" s="545">
        <v>527</v>
      </c>
      <c r="D15" s="567">
        <f>C15/VLOOKUP(B15,'Table 4 (2015)'!$B$7:$D$20,3,FALSE)*100000</f>
        <v>175.42691654738525</v>
      </c>
      <c r="E15" s="546">
        <v>69.56</v>
      </c>
      <c r="F15" s="546">
        <v>77.59</v>
      </c>
      <c r="G15" s="547">
        <v>49.525616698292218</v>
      </c>
      <c r="H15" s="547">
        <v>87.286527514231508</v>
      </c>
      <c r="I15" s="548">
        <v>74.569999999999993</v>
      </c>
      <c r="J15" s="549">
        <v>40.99</v>
      </c>
      <c r="K15" s="549">
        <v>71.73</v>
      </c>
      <c r="L15" s="549">
        <v>61.67</v>
      </c>
      <c r="M15" s="549">
        <v>57.87</v>
      </c>
      <c r="N15" s="549">
        <v>40.229999999999997</v>
      </c>
      <c r="O15" s="548">
        <v>19.924098671726757</v>
      </c>
      <c r="P15" s="549">
        <v>25.047438330170777</v>
      </c>
      <c r="Q15" s="549">
        <v>19.924098671726757</v>
      </c>
      <c r="R15" s="549">
        <v>22.2011385199241</v>
      </c>
      <c r="S15" s="550">
        <v>12.7134724857685</v>
      </c>
    </row>
    <row r="16" spans="2:19" ht="24.95" customHeight="1">
      <c r="B16" s="551" t="s">
        <v>36</v>
      </c>
      <c r="C16" s="552">
        <v>787</v>
      </c>
      <c r="D16" s="568">
        <f>C16/VLOOKUP(B16,'Table 4 (2015)'!$B$7:$D$20,3,FALSE)*100000</f>
        <v>134.70491578803231</v>
      </c>
      <c r="E16" s="553">
        <v>72.2</v>
      </c>
      <c r="F16" s="553">
        <v>77.47</v>
      </c>
      <c r="G16" s="554">
        <v>51.334180432020325</v>
      </c>
      <c r="H16" s="554">
        <v>84.243964421855139</v>
      </c>
      <c r="I16" s="555">
        <v>85.26</v>
      </c>
      <c r="J16" s="556">
        <v>36.340000000000003</v>
      </c>
      <c r="K16" s="556">
        <v>58.2</v>
      </c>
      <c r="L16" s="556">
        <v>54.51</v>
      </c>
      <c r="M16" s="556">
        <v>58.2</v>
      </c>
      <c r="N16" s="556">
        <v>40.15</v>
      </c>
      <c r="O16" s="555">
        <v>7.6142131979695442</v>
      </c>
      <c r="P16" s="556">
        <v>14.593908629441623</v>
      </c>
      <c r="Q16" s="556">
        <v>24.238578680203045</v>
      </c>
      <c r="R16" s="556">
        <v>24.111675126903553</v>
      </c>
      <c r="S16" s="557">
        <v>29.314720812182742</v>
      </c>
    </row>
    <row r="17" spans="2:19" ht="24.95" customHeight="1">
      <c r="B17" s="544" t="s">
        <v>42</v>
      </c>
      <c r="C17" s="545">
        <v>1935</v>
      </c>
      <c r="D17" s="567">
        <f>C17/VLOOKUP(B17,'Table 4 (2015)'!$B$7:$D$20,3,FALSE)*100000</f>
        <v>169.35356824029827</v>
      </c>
      <c r="E17" s="546">
        <v>69.39</v>
      </c>
      <c r="F17" s="546">
        <v>75.069999999999993</v>
      </c>
      <c r="G17" s="547">
        <v>51.36950904392765</v>
      </c>
      <c r="H17" s="547">
        <v>85.99483204134367</v>
      </c>
      <c r="I17" s="548">
        <v>81.81</v>
      </c>
      <c r="J17" s="549">
        <v>39.33</v>
      </c>
      <c r="K17" s="549">
        <v>69.040000000000006</v>
      </c>
      <c r="L17" s="549">
        <v>66.930000000000007</v>
      </c>
      <c r="M17" s="549">
        <v>70.650000000000006</v>
      </c>
      <c r="N17" s="549">
        <v>71.11</v>
      </c>
      <c r="O17" s="548">
        <v>43.851626016260163</v>
      </c>
      <c r="P17" s="549">
        <v>17.632113821138212</v>
      </c>
      <c r="Q17" s="549">
        <v>11.6869918699187</v>
      </c>
      <c r="R17" s="549">
        <v>11.331300813008131</v>
      </c>
      <c r="S17" s="550">
        <v>15.447154471544716</v>
      </c>
    </row>
    <row r="18" spans="2:19" ht="24.95" customHeight="1">
      <c r="B18" s="551" t="s">
        <v>38</v>
      </c>
      <c r="C18" s="552">
        <v>580</v>
      </c>
      <c r="D18" s="568">
        <f>C18/VLOOKUP(B18,'Table 4 (2015)'!$B$7:$D$20,3,FALSE)*100000</f>
        <v>180.82055119092155</v>
      </c>
      <c r="E18" s="553">
        <v>71.98</v>
      </c>
      <c r="F18" s="553">
        <v>74.69</v>
      </c>
      <c r="G18" s="554">
        <v>46.724137931034484</v>
      </c>
      <c r="H18" s="554">
        <v>85</v>
      </c>
      <c r="I18" s="555">
        <v>81.72</v>
      </c>
      <c r="J18" s="556">
        <v>39.14</v>
      </c>
      <c r="K18" s="556">
        <v>75.69</v>
      </c>
      <c r="L18" s="556">
        <v>66.209999999999994</v>
      </c>
      <c r="M18" s="556">
        <v>58.28</v>
      </c>
      <c r="N18" s="556">
        <v>44.48</v>
      </c>
      <c r="O18" s="555">
        <v>10.481099656357388</v>
      </c>
      <c r="P18" s="556">
        <v>20.103092783505154</v>
      </c>
      <c r="Q18" s="556">
        <v>33.848797250859107</v>
      </c>
      <c r="R18" s="556">
        <v>24.914089347079038</v>
      </c>
      <c r="S18" s="557">
        <v>10.652920962199312</v>
      </c>
    </row>
    <row r="19" spans="2:19" ht="24.95" customHeight="1">
      <c r="B19" s="544" t="s">
        <v>31</v>
      </c>
      <c r="C19" s="545">
        <v>1047</v>
      </c>
      <c r="D19" s="567">
        <f>C19/VLOOKUP(B19,'Table 4 (2015)'!$B$7:$D$20,3,FALSE)*100000</f>
        <v>160.26082564173211</v>
      </c>
      <c r="E19" s="546">
        <v>69.14</v>
      </c>
      <c r="F19" s="546">
        <v>75.72</v>
      </c>
      <c r="G19" s="547">
        <v>51.95797516714422</v>
      </c>
      <c r="H19" s="547">
        <v>88.729703915950324</v>
      </c>
      <c r="I19" s="548">
        <v>82.14</v>
      </c>
      <c r="J19" s="549">
        <v>36.49</v>
      </c>
      <c r="K19" s="549">
        <v>70.010000000000005</v>
      </c>
      <c r="L19" s="549">
        <v>64.09</v>
      </c>
      <c r="M19" s="549">
        <v>56.45</v>
      </c>
      <c r="N19" s="549">
        <v>49</v>
      </c>
      <c r="O19" s="548">
        <v>30.085146641438033</v>
      </c>
      <c r="P19" s="549">
        <v>29.61210974456008</v>
      </c>
      <c r="Q19" s="549">
        <v>20.719016083254495</v>
      </c>
      <c r="R19" s="549">
        <v>11.258278145695364</v>
      </c>
      <c r="S19" s="550">
        <v>8.1362346263008511</v>
      </c>
    </row>
    <row r="20" spans="2:19" ht="24.95" customHeight="1">
      <c r="B20" s="551" t="s">
        <v>40</v>
      </c>
      <c r="C20" s="552">
        <v>1360</v>
      </c>
      <c r="D20" s="568">
        <f>C20/VLOOKUP(B20,'Table 4 (2015)'!$B$7:$D$20,3,FALSE)*100000</f>
        <v>158.49153352212471</v>
      </c>
      <c r="E20" s="553">
        <v>71.53</v>
      </c>
      <c r="F20" s="553">
        <v>76.72</v>
      </c>
      <c r="G20" s="554">
        <v>50.955882352941174</v>
      </c>
      <c r="H20" s="554">
        <v>86.176470588235304</v>
      </c>
      <c r="I20" s="555">
        <v>80.81</v>
      </c>
      <c r="J20" s="556">
        <v>41.32</v>
      </c>
      <c r="K20" s="556">
        <v>76.03</v>
      </c>
      <c r="L20" s="556">
        <v>58.09</v>
      </c>
      <c r="M20" s="556">
        <v>63.97</v>
      </c>
      <c r="N20" s="556">
        <v>33.9</v>
      </c>
      <c r="O20" s="555">
        <v>15.27165932452276</v>
      </c>
      <c r="P20" s="556">
        <v>22.540381791483114</v>
      </c>
      <c r="Q20" s="556">
        <v>17.474302496328928</v>
      </c>
      <c r="R20" s="556">
        <v>17.547723935389133</v>
      </c>
      <c r="S20" s="557">
        <v>27.165932452276063</v>
      </c>
    </row>
    <row r="21" spans="2:19" ht="24.95" customHeight="1">
      <c r="B21" s="544" t="s">
        <v>43</v>
      </c>
      <c r="C21" s="545">
        <v>41</v>
      </c>
      <c r="D21" s="567">
        <f>C21/VLOOKUP(B21,'Table 4 (2015)'!$B$7:$D$20,3,FALSE)*100000</f>
        <v>189.90273274664196</v>
      </c>
      <c r="E21" s="546">
        <v>65.44</v>
      </c>
      <c r="F21" s="546">
        <v>78.319999999999993</v>
      </c>
      <c r="G21" s="547">
        <v>39.024390243902438</v>
      </c>
      <c r="H21" s="547">
        <v>75.609756097560975</v>
      </c>
      <c r="I21" s="548">
        <v>90.24</v>
      </c>
      <c r="J21" s="549">
        <v>31.71</v>
      </c>
      <c r="K21" s="549">
        <v>60.98</v>
      </c>
      <c r="L21" s="549">
        <v>60.98</v>
      </c>
      <c r="M21" s="549">
        <v>46.34</v>
      </c>
      <c r="N21" s="549">
        <v>51.22</v>
      </c>
      <c r="O21" s="548">
        <v>0</v>
      </c>
      <c r="P21" s="549">
        <v>39.024390243902438</v>
      </c>
      <c r="Q21" s="549">
        <v>19.512195121951219</v>
      </c>
      <c r="R21" s="549">
        <v>41.463414634146339</v>
      </c>
      <c r="S21" s="550">
        <v>0</v>
      </c>
    </row>
    <row r="22" spans="2:19" ht="24.95" customHeight="1">
      <c r="B22" s="551" t="s">
        <v>41</v>
      </c>
      <c r="C22" s="552">
        <v>36</v>
      </c>
      <c r="D22" s="568">
        <f>C22/VLOOKUP(B22,'Table 4 (2015)'!$B$7:$D$20,3,FALSE)*100000</f>
        <v>154.97201894102454</v>
      </c>
      <c r="E22" s="553">
        <v>69.239999999999995</v>
      </c>
      <c r="F22" s="553">
        <v>78.53</v>
      </c>
      <c r="G22" s="554">
        <v>58.333333333333336</v>
      </c>
      <c r="H22" s="554">
        <v>86.111111111111114</v>
      </c>
      <c r="I22" s="555">
        <v>77.78</v>
      </c>
      <c r="J22" s="556">
        <v>44.44</v>
      </c>
      <c r="K22" s="556">
        <v>72.22</v>
      </c>
      <c r="L22" s="556">
        <v>58.33</v>
      </c>
      <c r="M22" s="556">
        <v>75</v>
      </c>
      <c r="N22" s="556">
        <v>27.78</v>
      </c>
      <c r="O22" s="555">
        <v>0</v>
      </c>
      <c r="P22" s="556">
        <v>5.5555555555555554</v>
      </c>
      <c r="Q22" s="556">
        <v>50</v>
      </c>
      <c r="R22" s="556">
        <v>44.444444444444443</v>
      </c>
      <c r="S22" s="557">
        <v>0</v>
      </c>
    </row>
    <row r="23" spans="2:19" ht="24.95" customHeight="1">
      <c r="B23" s="544" t="s">
        <v>34</v>
      </c>
      <c r="C23" s="545">
        <v>572</v>
      </c>
      <c r="D23" s="567">
        <f>C23/VLOOKUP(B23,'Table 4 (2015)'!$B$7:$D$20,3,FALSE)*100000</f>
        <v>138.23102948284196</v>
      </c>
      <c r="E23" s="546">
        <v>72</v>
      </c>
      <c r="F23" s="546">
        <v>75.150000000000006</v>
      </c>
      <c r="G23" s="547">
        <v>50.17482517482518</v>
      </c>
      <c r="H23" s="547">
        <v>86.888111888111879</v>
      </c>
      <c r="I23" s="548">
        <v>73.78</v>
      </c>
      <c r="J23" s="549">
        <v>33.92</v>
      </c>
      <c r="K23" s="549">
        <v>71.33</v>
      </c>
      <c r="L23" s="549">
        <v>68.180000000000007</v>
      </c>
      <c r="M23" s="549">
        <v>45.45</v>
      </c>
      <c r="N23" s="549">
        <v>42.66</v>
      </c>
      <c r="O23" s="548">
        <v>18.181818181818183</v>
      </c>
      <c r="P23" s="549">
        <v>16.783216783216783</v>
      </c>
      <c r="Q23" s="549">
        <v>19.93006993006993</v>
      </c>
      <c r="R23" s="549">
        <v>27.27272727272727</v>
      </c>
      <c r="S23" s="550">
        <v>17.657342657342657</v>
      </c>
    </row>
    <row r="24" spans="2:19" ht="24.95" customHeight="1">
      <c r="B24" s="551" t="s">
        <v>39</v>
      </c>
      <c r="C24" s="552">
        <v>33</v>
      </c>
      <c r="D24" s="568">
        <f>C24/VLOOKUP(B24,'Table 4 (2015)'!$B$7:$D$20,3,FALSE)*100000</f>
        <v>121.10091743119266</v>
      </c>
      <c r="E24" s="553">
        <v>69.930000000000007</v>
      </c>
      <c r="F24" s="553">
        <v>78.260000000000005</v>
      </c>
      <c r="G24" s="554">
        <v>42.424242424242422</v>
      </c>
      <c r="H24" s="554">
        <v>81.818181818181827</v>
      </c>
      <c r="I24" s="555">
        <v>84.85</v>
      </c>
      <c r="J24" s="556">
        <v>39.39</v>
      </c>
      <c r="K24" s="556">
        <v>51.52</v>
      </c>
      <c r="L24" s="556">
        <v>36.36</v>
      </c>
      <c r="M24" s="556">
        <v>36.36</v>
      </c>
      <c r="N24" s="556">
        <v>12.12</v>
      </c>
      <c r="O24" s="555">
        <v>0</v>
      </c>
      <c r="P24" s="556">
        <v>54.54545454545454</v>
      </c>
      <c r="Q24" s="556">
        <v>45.454545454545453</v>
      </c>
      <c r="R24" s="556">
        <v>0</v>
      </c>
      <c r="S24" s="557">
        <v>0</v>
      </c>
    </row>
    <row r="25" spans="2:19" ht="24.95" customHeight="1">
      <c r="B25" s="551"/>
      <c r="C25" s="552"/>
      <c r="D25" s="552"/>
      <c r="E25" s="553"/>
      <c r="F25" s="553"/>
      <c r="G25" s="554"/>
      <c r="H25" s="554"/>
      <c r="I25" s="555"/>
      <c r="J25" s="556"/>
      <c r="K25" s="556"/>
      <c r="L25" s="556"/>
      <c r="M25" s="556"/>
      <c r="N25" s="556"/>
      <c r="O25" s="555"/>
      <c r="P25" s="556"/>
      <c r="Q25" s="556"/>
      <c r="R25" s="556"/>
      <c r="S25" s="557"/>
    </row>
    <row r="26" spans="2:19" ht="24.95" customHeight="1">
      <c r="B26" s="558" t="s">
        <v>269</v>
      </c>
      <c r="C26" s="559">
        <v>259</v>
      </c>
      <c r="D26" s="559" t="s">
        <v>268</v>
      </c>
      <c r="E26" s="560">
        <v>67.62</v>
      </c>
      <c r="F26" s="560">
        <v>74.849999999999994</v>
      </c>
      <c r="G26" s="561">
        <v>51.351351351351347</v>
      </c>
      <c r="H26" s="561">
        <v>85.714285714285708</v>
      </c>
      <c r="I26" s="562">
        <v>89.96</v>
      </c>
      <c r="J26" s="563">
        <v>36.29</v>
      </c>
      <c r="K26" s="563">
        <v>74.13</v>
      </c>
      <c r="L26" s="563">
        <v>66.41</v>
      </c>
      <c r="M26" s="563">
        <v>61.39</v>
      </c>
      <c r="N26" s="563">
        <v>46.72</v>
      </c>
      <c r="O26" s="562" t="s">
        <v>268</v>
      </c>
      <c r="P26" s="563" t="s">
        <v>268</v>
      </c>
      <c r="Q26" s="563" t="s">
        <v>268</v>
      </c>
      <c r="R26" s="563" t="s">
        <v>268</v>
      </c>
      <c r="S26" s="564" t="s">
        <v>268</v>
      </c>
    </row>
  </sheetData>
  <sheetProtection password="B8D9" sheet="1" objects="1" scenarios="1"/>
  <mergeCells count="4">
    <mergeCell ref="B1:K2"/>
    <mergeCell ref="I6:N6"/>
    <mergeCell ref="O6:S6"/>
    <mergeCell ref="G8:S8"/>
  </mergeCells>
  <hyperlinks>
    <hyperlink ref="B3" location="'List of Tables &amp; Charts'!A1" display="return to List of Tables &amp; Charts"/>
    <hyperlink ref="E5" location="'Tables 1a 1b 1c extra detail'!A1" display="Tables 1a 1b 1c extra detail"/>
  </hyperlinks>
  <pageMargins left="0" right="0" top="0.74803149606299213" bottom="0.74803149606299213" header="0.31496062992125984" footer="0.31496062992125984"/>
  <pageSetup scale="57" orientation="landscape" r:id="rId1"/>
  <headerFooter>
    <oddFooter>&amp;L&amp;8Scottish Stroke Care Audit 2016 National Report
Stroke Services in Scottish Hospitals, Data relating to 2015&amp;R&amp;8© NHS National Services Scotland/Crown Copyright</oddFooter>
  </headerFooter>
</worksheet>
</file>

<file path=xl/worksheets/sheet20.xml><?xml version="1.0" encoding="utf-8"?>
<worksheet xmlns="http://schemas.openxmlformats.org/spreadsheetml/2006/main" xmlns:r="http://schemas.openxmlformats.org/officeDocument/2006/relationships">
  <sheetPr codeName="Sheet5">
    <pageSetUpPr fitToPage="1"/>
  </sheetPr>
  <dimension ref="A1:X98"/>
  <sheetViews>
    <sheetView zoomScaleNormal="100" workbookViewId="0">
      <selection sqref="A1:A2"/>
    </sheetView>
  </sheetViews>
  <sheetFormatPr defaultRowHeight="11.25"/>
  <cols>
    <col min="1" max="1" width="15.7109375" style="211" customWidth="1"/>
    <col min="2" max="3" width="7.28515625" style="211" bestFit="1" customWidth="1"/>
    <col min="4" max="4" width="12.7109375" style="211" bestFit="1" customWidth="1"/>
    <col min="5" max="8" width="9.28515625" style="211" customWidth="1"/>
    <col min="9" max="9" width="13.42578125" style="211" bestFit="1" customWidth="1"/>
    <col min="10" max="14" width="9.7109375" style="211" customWidth="1"/>
    <col min="15" max="15" width="10.42578125" style="211" bestFit="1" customWidth="1"/>
    <col min="16" max="16" width="45.7109375" style="211" customWidth="1"/>
    <col min="17" max="20" width="11.7109375" style="315" customWidth="1"/>
    <col min="21" max="21" width="9.140625" style="211"/>
    <col min="22" max="22" width="33.85546875" style="211" bestFit="1" customWidth="1"/>
    <col min="23" max="24" width="10.42578125" style="211" bestFit="1" customWidth="1"/>
    <col min="25" max="16384" width="9.140625" style="211"/>
  </cols>
  <sheetData>
    <row r="1" spans="1:24" ht="15" customHeight="1">
      <c r="A1" s="811" t="s">
        <v>27</v>
      </c>
      <c r="B1" s="822" t="s">
        <v>44</v>
      </c>
      <c r="C1" s="814"/>
      <c r="D1" s="814"/>
      <c r="E1" s="814"/>
      <c r="F1" s="814"/>
      <c r="G1" s="814"/>
      <c r="H1" s="814"/>
      <c r="I1" s="295"/>
      <c r="J1" s="296"/>
      <c r="K1" s="296"/>
      <c r="L1" s="296"/>
      <c r="M1" s="296"/>
      <c r="N1" s="296"/>
      <c r="O1" s="815" t="s">
        <v>20</v>
      </c>
      <c r="P1" s="816"/>
      <c r="Q1" s="815">
        <v>2014</v>
      </c>
      <c r="R1" s="815"/>
      <c r="S1" s="815">
        <v>2015</v>
      </c>
      <c r="T1" s="815"/>
    </row>
    <row r="2" spans="1:24" ht="23.25" customHeight="1">
      <c r="A2" s="821"/>
      <c r="B2" s="297" t="s">
        <v>298</v>
      </c>
      <c r="C2" s="297" t="s">
        <v>491</v>
      </c>
      <c r="D2" s="298" t="s">
        <v>21</v>
      </c>
      <c r="E2" s="817" t="s">
        <v>492</v>
      </c>
      <c r="F2" s="817"/>
      <c r="G2" s="817" t="s">
        <v>505</v>
      </c>
      <c r="H2" s="818"/>
      <c r="I2" s="299" t="s">
        <v>23</v>
      </c>
      <c r="J2" s="300" t="s">
        <v>300</v>
      </c>
      <c r="K2" s="301" t="s">
        <v>24</v>
      </c>
      <c r="L2" s="302" t="s">
        <v>16</v>
      </c>
      <c r="M2" s="302" t="s">
        <v>15</v>
      </c>
      <c r="N2" s="303" t="s">
        <v>25</v>
      </c>
      <c r="O2" s="304" t="s">
        <v>26</v>
      </c>
      <c r="P2" s="305" t="s">
        <v>27</v>
      </c>
      <c r="Q2" s="305" t="s">
        <v>28</v>
      </c>
      <c r="R2" s="305" t="s">
        <v>29</v>
      </c>
      <c r="S2" s="305" t="s">
        <v>28</v>
      </c>
      <c r="T2" s="305" t="s">
        <v>29</v>
      </c>
    </row>
    <row r="3" spans="1:24" ht="12">
      <c r="A3" s="306" t="str">
        <f>O3</f>
        <v>Scotland</v>
      </c>
      <c r="B3" s="307">
        <f t="shared" ref="B3" si="0">Q3/R3*100</f>
        <v>66.367049721242466</v>
      </c>
      <c r="C3" s="307">
        <f t="shared" ref="C3" si="1">S3/T3*100</f>
        <v>69.334975369458135</v>
      </c>
      <c r="D3" s="307" t="s">
        <v>268</v>
      </c>
      <c r="E3" s="16">
        <f t="shared" ref="E3" si="2">SUM(1*MID(I3,1,FIND(" - ",I3)-1))</f>
        <v>65</v>
      </c>
      <c r="F3" s="308">
        <f t="shared" ref="F3" si="3">SUM(1*MID(I3,FIND(" - ",I3)+2,LEN(I3)))</f>
        <v>67</v>
      </c>
      <c r="G3" s="308">
        <f t="shared" ref="G3" si="4">SUM(1*MID(J3,1,FIND(" - ",J3)-1))</f>
        <v>68</v>
      </c>
      <c r="H3" s="308">
        <f t="shared" ref="H3" si="5">SUM(1*MID(J3,FIND(" - ",J3)+2,LEN(J3)))</f>
        <v>70</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65 - 67</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68 - 70</v>
      </c>
      <c r="K3" s="311">
        <f t="shared" ref="K3" si="8">C3-B3</f>
        <v>2.9679256482156688</v>
      </c>
      <c r="L3" s="320">
        <f t="shared" ref="L3:L32" si="9">((S3/T3)-(Q3/R3))-(NORMSINV(1-(0.05/COUNTA($O$3:$O$32)))*(SQRT((((Q3/R3)*(1-(Q3/R3)))/R3)+(((S3/T3)*(1-(S3/T3)))/T3))))</f>
        <v>9.0908502503955872E-3</v>
      </c>
      <c r="M3" s="320">
        <f t="shared" ref="M3:M32" si="10">((S3/T3)-(Q3/R3))+(NORMSINV(1-(0.05/COUNTA($O$3:$O$32)))*(SQRT((((Q3/R3)*(1-(Q3/R3)))/R3)+(((S3/T3)*(1-(S3/T3)))/T3))))</f>
        <v>5.026766271391768E-2</v>
      </c>
      <c r="N3" s="313">
        <f t="shared" ref="N3:N32" si="11">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6" t="str">
        <f t="shared" ref="O3:O32" si="12">VLOOKUP(P3,Hospitals,2,FALSE)</f>
        <v>Scotland</v>
      </c>
      <c r="P3" s="306" t="s">
        <v>286</v>
      </c>
      <c r="Q3" s="425">
        <v>5833</v>
      </c>
      <c r="R3" s="425">
        <v>8789</v>
      </c>
      <c r="S3" s="425">
        <v>6193</v>
      </c>
      <c r="T3" s="425">
        <v>8932</v>
      </c>
      <c r="V3" s="306" t="s">
        <v>286</v>
      </c>
      <c r="W3" s="468" t="s">
        <v>137</v>
      </c>
      <c r="X3" s="468" t="s">
        <v>137</v>
      </c>
    </row>
    <row r="4" spans="1:24" ht="12">
      <c r="A4" s="306" t="str">
        <f t="shared" ref="A4:A32" si="13">O4</f>
        <v>Borders</v>
      </c>
      <c r="B4" s="307">
        <f t="shared" ref="B4:B32" si="14">Q4/R4*100</f>
        <v>87.684729064039416</v>
      </c>
      <c r="C4" s="307">
        <f t="shared" ref="C4:C32" si="15">S4/T4*100</f>
        <v>85.645933014354071</v>
      </c>
      <c r="D4" s="308" t="s">
        <v>268</v>
      </c>
      <c r="E4" s="308">
        <f t="shared" ref="E4:E32" si="16">SUM(1*MID(I4,1,FIND(" - ",I4)-1))</f>
        <v>82</v>
      </c>
      <c r="F4" s="308">
        <f t="shared" ref="F4:F32" si="17">SUM(1*MID(I4,FIND(" - ",I4)+2,LEN(I4)))</f>
        <v>92</v>
      </c>
      <c r="G4" s="308">
        <f t="shared" ref="G4:G32" si="18">SUM(1*MID(J4,1,FIND(" - ",J4)-1))</f>
        <v>80</v>
      </c>
      <c r="H4" s="308">
        <f t="shared" ref="H4:H32" si="19">SUM(1*MID(J4,FIND(" - ",J4)+2,LEN(J4)))</f>
        <v>90</v>
      </c>
      <c r="I4" s="314" t="str">
        <f t="shared" ref="I4:I32"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82 - 92</v>
      </c>
      <c r="J4" s="310" t="str">
        <f t="shared" ref="J4:J32"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80 - 90</v>
      </c>
      <c r="K4" s="311">
        <f t="shared" ref="K4:K32" si="22">C4-B4</f>
        <v>-2.0387960496853452</v>
      </c>
      <c r="L4" s="320">
        <f t="shared" si="9"/>
        <v>-0.1186257771429364</v>
      </c>
      <c r="M4" s="320">
        <f t="shared" si="10"/>
        <v>7.784985614922954E-2</v>
      </c>
      <c r="N4" s="313">
        <f t="shared" si="11"/>
        <v>0</v>
      </c>
      <c r="O4" s="306" t="str">
        <f t="shared" si="12"/>
        <v>Borders</v>
      </c>
      <c r="P4" s="306" t="s">
        <v>65</v>
      </c>
      <c r="Q4" s="425">
        <v>178</v>
      </c>
      <c r="R4" s="425">
        <v>203</v>
      </c>
      <c r="S4" s="425">
        <v>179</v>
      </c>
      <c r="T4" s="425">
        <v>209</v>
      </c>
      <c r="V4" s="415" t="s">
        <v>77</v>
      </c>
      <c r="W4" s="465" t="s">
        <v>178</v>
      </c>
      <c r="X4" s="465" t="s">
        <v>178</v>
      </c>
    </row>
    <row r="5" spans="1:24" ht="12">
      <c r="A5" s="306" t="str">
        <f t="shared" si="13"/>
        <v>Caithness*</v>
      </c>
      <c r="B5" s="307">
        <f t="shared" si="14"/>
        <v>82.539682539682531</v>
      </c>
      <c r="C5" s="307">
        <f t="shared" si="15"/>
        <v>85.18518518518519</v>
      </c>
      <c r="D5" s="308" t="s">
        <v>268</v>
      </c>
      <c r="E5" s="308">
        <f t="shared" si="16"/>
        <v>71</v>
      </c>
      <c r="F5" s="308">
        <f t="shared" si="17"/>
        <v>90</v>
      </c>
      <c r="G5" s="308">
        <f t="shared" si="18"/>
        <v>76</v>
      </c>
      <c r="H5" s="308">
        <f t="shared" si="19"/>
        <v>91</v>
      </c>
      <c r="I5" s="314" t="str">
        <f t="shared" si="20"/>
        <v>71 - 90</v>
      </c>
      <c r="J5" s="310" t="str">
        <f t="shared" si="21"/>
        <v>76 - 91</v>
      </c>
      <c r="K5" s="311">
        <f t="shared" si="22"/>
        <v>2.6455026455026598</v>
      </c>
      <c r="L5" s="320">
        <f t="shared" si="9"/>
        <v>-0.15556516324429667</v>
      </c>
      <c r="M5" s="320">
        <f t="shared" si="10"/>
        <v>0.20847521615434969</v>
      </c>
      <c r="N5" s="313">
        <f t="shared" si="11"/>
        <v>0</v>
      </c>
      <c r="O5" s="306" t="str">
        <f t="shared" si="12"/>
        <v>Caithness*</v>
      </c>
      <c r="P5" s="306" t="s">
        <v>94</v>
      </c>
      <c r="Q5" s="425">
        <v>52</v>
      </c>
      <c r="R5" s="425">
        <v>63</v>
      </c>
      <c r="S5" s="425">
        <v>69</v>
      </c>
      <c r="T5" s="425">
        <v>81</v>
      </c>
      <c r="V5" s="415" t="s">
        <v>60</v>
      </c>
      <c r="W5" s="415" t="s">
        <v>61</v>
      </c>
      <c r="X5" s="415" t="s">
        <v>61</v>
      </c>
    </row>
    <row r="6" spans="1:24" ht="12">
      <c r="A6" s="306" t="str">
        <f t="shared" si="13"/>
        <v>Western Isles</v>
      </c>
      <c r="B6" s="307">
        <f t="shared" si="14"/>
        <v>88.888888888888886</v>
      </c>
      <c r="C6" s="307">
        <f t="shared" si="15"/>
        <v>84.848484848484844</v>
      </c>
      <c r="D6" s="308" t="s">
        <v>268</v>
      </c>
      <c r="E6" s="308">
        <f t="shared" si="16"/>
        <v>72</v>
      </c>
      <c r="F6" s="308">
        <f t="shared" si="17"/>
        <v>96</v>
      </c>
      <c r="G6" s="308">
        <f t="shared" si="18"/>
        <v>69</v>
      </c>
      <c r="H6" s="308">
        <f t="shared" si="19"/>
        <v>93</v>
      </c>
      <c r="I6" s="314" t="str">
        <f t="shared" si="20"/>
        <v>72 - 96</v>
      </c>
      <c r="J6" s="310" t="str">
        <f t="shared" si="21"/>
        <v>69 - 93</v>
      </c>
      <c r="K6" s="311">
        <f t="shared" si="22"/>
        <v>-4.0404040404040416</v>
      </c>
      <c r="L6" s="320">
        <f t="shared" si="9"/>
        <v>-0.29550792098786888</v>
      </c>
      <c r="M6" s="320">
        <f t="shared" si="10"/>
        <v>0.21469984017978821</v>
      </c>
      <c r="N6" s="313">
        <f t="shared" si="11"/>
        <v>0</v>
      </c>
      <c r="O6" s="306" t="str">
        <f t="shared" si="12"/>
        <v>Western Isles</v>
      </c>
      <c r="P6" s="306" t="s">
        <v>135</v>
      </c>
      <c r="Q6" s="425">
        <v>24</v>
      </c>
      <c r="R6" s="425">
        <v>27</v>
      </c>
      <c r="S6" s="425">
        <v>28</v>
      </c>
      <c r="T6" s="425">
        <v>33</v>
      </c>
      <c r="V6" s="415" t="s">
        <v>120</v>
      </c>
      <c r="W6" s="415" t="s">
        <v>121</v>
      </c>
      <c r="X6" s="415" t="s">
        <v>121</v>
      </c>
    </row>
    <row r="7" spans="1:24" ht="12">
      <c r="A7" s="306" t="str">
        <f t="shared" si="13"/>
        <v>GCH*</v>
      </c>
      <c r="B7" s="307">
        <f t="shared" si="14"/>
        <v>88.372093023255815</v>
      </c>
      <c r="C7" s="307">
        <f t="shared" si="15"/>
        <v>84.210526315789465</v>
      </c>
      <c r="D7" s="308" t="s">
        <v>268</v>
      </c>
      <c r="E7" s="308">
        <f t="shared" si="16"/>
        <v>76</v>
      </c>
      <c r="F7" s="308">
        <f t="shared" si="17"/>
        <v>95</v>
      </c>
      <c r="G7" s="308">
        <f t="shared" si="18"/>
        <v>70</v>
      </c>
      <c r="H7" s="308">
        <f t="shared" si="19"/>
        <v>93</v>
      </c>
      <c r="I7" s="314" t="str">
        <f t="shared" si="20"/>
        <v>76 - 95</v>
      </c>
      <c r="J7" s="310" t="str">
        <f t="shared" si="21"/>
        <v>70 - 93</v>
      </c>
      <c r="K7" s="311">
        <f t="shared" si="22"/>
        <v>-4.1615667074663492</v>
      </c>
      <c r="L7" s="320">
        <f t="shared" si="9"/>
        <v>-0.2668581205488183</v>
      </c>
      <c r="M7" s="320">
        <f t="shared" si="10"/>
        <v>0.18362678639949134</v>
      </c>
      <c r="N7" s="313">
        <f t="shared" si="11"/>
        <v>0</v>
      </c>
      <c r="O7" s="306" t="str">
        <f t="shared" si="12"/>
        <v>GCH*</v>
      </c>
      <c r="P7" s="306" t="s">
        <v>70</v>
      </c>
      <c r="Q7" s="425">
        <v>38</v>
      </c>
      <c r="R7" s="425">
        <v>43</v>
      </c>
      <c r="S7" s="425">
        <v>32</v>
      </c>
      <c r="T7" s="425">
        <v>38</v>
      </c>
      <c r="V7" s="415" t="s">
        <v>91</v>
      </c>
      <c r="W7" s="415" t="s">
        <v>255</v>
      </c>
      <c r="X7" s="415" t="s">
        <v>92</v>
      </c>
    </row>
    <row r="8" spans="1:24" ht="12">
      <c r="A8" s="306" t="str">
        <f t="shared" si="13"/>
        <v>Hairmyres</v>
      </c>
      <c r="B8" s="307">
        <f t="shared" si="14"/>
        <v>88.481675392670155</v>
      </c>
      <c r="C8" s="307">
        <f t="shared" si="15"/>
        <v>83.856502242152459</v>
      </c>
      <c r="D8" s="308" t="s">
        <v>268</v>
      </c>
      <c r="E8" s="308">
        <f t="shared" si="16"/>
        <v>83</v>
      </c>
      <c r="F8" s="308">
        <f t="shared" si="17"/>
        <v>92</v>
      </c>
      <c r="G8" s="308">
        <f t="shared" si="18"/>
        <v>78</v>
      </c>
      <c r="H8" s="308">
        <f t="shared" si="19"/>
        <v>88</v>
      </c>
      <c r="I8" s="314" t="str">
        <f t="shared" si="20"/>
        <v>83 - 92</v>
      </c>
      <c r="J8" s="310" t="str">
        <f t="shared" si="21"/>
        <v>78 - 88</v>
      </c>
      <c r="K8" s="311">
        <f t="shared" si="22"/>
        <v>-4.6251731505176963</v>
      </c>
      <c r="L8" s="320">
        <f t="shared" si="9"/>
        <v>-0.14538367908806737</v>
      </c>
      <c r="M8" s="320">
        <f t="shared" si="10"/>
        <v>5.2880216077713552E-2</v>
      </c>
      <c r="N8" s="313">
        <f t="shared" si="11"/>
        <v>0</v>
      </c>
      <c r="O8" s="306" t="str">
        <f t="shared" si="12"/>
        <v>Hairmyres</v>
      </c>
      <c r="P8" s="306" t="s">
        <v>103</v>
      </c>
      <c r="Q8" s="425">
        <v>169</v>
      </c>
      <c r="R8" s="425">
        <v>191</v>
      </c>
      <c r="S8" s="425">
        <v>187</v>
      </c>
      <c r="T8" s="425">
        <v>223</v>
      </c>
      <c r="V8" s="415" t="s">
        <v>65</v>
      </c>
      <c r="W8" s="415" t="s">
        <v>30</v>
      </c>
      <c r="X8" s="415" t="s">
        <v>30</v>
      </c>
    </row>
    <row r="9" spans="1:24" ht="12">
      <c r="A9" s="306" t="str">
        <f t="shared" si="13"/>
        <v>DGRI</v>
      </c>
      <c r="B9" s="307">
        <f t="shared" si="14"/>
        <v>70.940170940170944</v>
      </c>
      <c r="C9" s="307">
        <f t="shared" si="15"/>
        <v>80.275229357798167</v>
      </c>
      <c r="D9" s="308" t="s">
        <v>268</v>
      </c>
      <c r="E9" s="308">
        <f t="shared" si="16"/>
        <v>65</v>
      </c>
      <c r="F9" s="308">
        <f t="shared" si="17"/>
        <v>76</v>
      </c>
      <c r="G9" s="308">
        <f t="shared" si="18"/>
        <v>74</v>
      </c>
      <c r="H9" s="308">
        <f t="shared" si="19"/>
        <v>85</v>
      </c>
      <c r="I9" s="314" t="str">
        <f t="shared" si="20"/>
        <v>65 - 76</v>
      </c>
      <c r="J9" s="310" t="str">
        <f t="shared" si="21"/>
        <v>74 - 85</v>
      </c>
      <c r="K9" s="311">
        <f t="shared" si="22"/>
        <v>9.3350584176272235</v>
      </c>
      <c r="L9" s="320">
        <f t="shared" si="9"/>
        <v>-2.4325729907737584E-2</v>
      </c>
      <c r="M9" s="320">
        <f t="shared" si="10"/>
        <v>0.21102689826028193</v>
      </c>
      <c r="N9" s="313">
        <f t="shared" si="11"/>
        <v>0</v>
      </c>
      <c r="O9" s="306" t="str">
        <f t="shared" si="12"/>
        <v>DGRI</v>
      </c>
      <c r="P9" s="306" t="s">
        <v>67</v>
      </c>
      <c r="Q9" s="425">
        <v>166</v>
      </c>
      <c r="R9" s="425">
        <v>234</v>
      </c>
      <c r="S9" s="425">
        <v>175</v>
      </c>
      <c r="T9" s="425">
        <v>218</v>
      </c>
      <c r="V9" s="415" t="s">
        <v>94</v>
      </c>
      <c r="W9" s="415" t="s">
        <v>256</v>
      </c>
      <c r="X9" s="415" t="s">
        <v>95</v>
      </c>
    </row>
    <row r="10" spans="1:24" ht="12">
      <c r="A10" s="306" t="str">
        <f t="shared" si="13"/>
        <v>Gilbert Bain*</v>
      </c>
      <c r="B10" s="307">
        <f t="shared" si="14"/>
        <v>71.875</v>
      </c>
      <c r="C10" s="307">
        <f t="shared" si="15"/>
        <v>80</v>
      </c>
      <c r="D10" s="308" t="s">
        <v>268</v>
      </c>
      <c r="E10" s="308">
        <f t="shared" si="16"/>
        <v>55</v>
      </c>
      <c r="F10" s="308">
        <f t="shared" si="17"/>
        <v>84</v>
      </c>
      <c r="G10" s="308">
        <f t="shared" si="18"/>
        <v>64</v>
      </c>
      <c r="H10" s="308">
        <f t="shared" si="19"/>
        <v>90</v>
      </c>
      <c r="I10" s="314" t="str">
        <f t="shared" si="20"/>
        <v>55 - 84</v>
      </c>
      <c r="J10" s="310" t="str">
        <f t="shared" si="21"/>
        <v>64 - 90</v>
      </c>
      <c r="K10" s="311">
        <f t="shared" si="22"/>
        <v>8.125</v>
      </c>
      <c r="L10" s="320">
        <f t="shared" si="9"/>
        <v>-0.22503306813267432</v>
      </c>
      <c r="M10" s="320">
        <f t="shared" si="10"/>
        <v>0.38753306813267441</v>
      </c>
      <c r="N10" s="313">
        <f t="shared" si="11"/>
        <v>0</v>
      </c>
      <c r="O10" s="306" t="str">
        <f t="shared" si="12"/>
        <v>Gilbert Bain*</v>
      </c>
      <c r="P10" s="306" t="s">
        <v>123</v>
      </c>
      <c r="Q10" s="425">
        <v>23</v>
      </c>
      <c r="R10" s="425">
        <v>32</v>
      </c>
      <c r="S10" s="425">
        <v>28</v>
      </c>
      <c r="T10" s="425">
        <v>35</v>
      </c>
      <c r="V10" s="415" t="s">
        <v>62</v>
      </c>
      <c r="W10" s="415" t="s">
        <v>63</v>
      </c>
      <c r="X10" s="415" t="s">
        <v>63</v>
      </c>
    </row>
    <row r="11" spans="1:24" ht="12">
      <c r="A11" s="306" t="str">
        <f t="shared" si="13"/>
        <v>VHK</v>
      </c>
      <c r="B11" s="307">
        <f t="shared" si="14"/>
        <v>77.172061328790463</v>
      </c>
      <c r="C11" s="307">
        <f t="shared" si="15"/>
        <v>78.287461773700301</v>
      </c>
      <c r="D11" s="308" t="s">
        <v>268</v>
      </c>
      <c r="E11" s="308">
        <f t="shared" si="16"/>
        <v>74</v>
      </c>
      <c r="F11" s="308">
        <f t="shared" si="17"/>
        <v>80</v>
      </c>
      <c r="G11" s="308">
        <f t="shared" si="18"/>
        <v>75</v>
      </c>
      <c r="H11" s="308">
        <f t="shared" si="19"/>
        <v>81</v>
      </c>
      <c r="I11" s="314" t="str">
        <f t="shared" si="20"/>
        <v>74 - 80</v>
      </c>
      <c r="J11" s="310" t="str">
        <f t="shared" si="21"/>
        <v>75 - 81</v>
      </c>
      <c r="K11" s="311">
        <f t="shared" si="22"/>
        <v>1.115400444909838</v>
      </c>
      <c r="L11" s="320">
        <f t="shared" si="9"/>
        <v>-5.8307162396551093E-2</v>
      </c>
      <c r="M11" s="320">
        <f t="shared" si="10"/>
        <v>8.0615171294747934E-2</v>
      </c>
      <c r="N11" s="313">
        <f t="shared" si="11"/>
        <v>0</v>
      </c>
      <c r="O11" s="306" t="str">
        <f t="shared" si="12"/>
        <v>VHK</v>
      </c>
      <c r="P11" s="306" t="s">
        <v>287</v>
      </c>
      <c r="Q11" s="425">
        <v>453</v>
      </c>
      <c r="R11" s="425">
        <v>587</v>
      </c>
      <c r="S11" s="425">
        <v>512</v>
      </c>
      <c r="T11" s="425">
        <v>654</v>
      </c>
      <c r="V11" s="415" t="s">
        <v>79</v>
      </c>
      <c r="W11" s="415" t="s">
        <v>80</v>
      </c>
      <c r="X11" s="415" t="s">
        <v>80</v>
      </c>
    </row>
    <row r="12" spans="1:24" ht="12">
      <c r="A12" s="306" t="str">
        <f t="shared" si="13"/>
        <v>Crosshouse</v>
      </c>
      <c r="B12" s="307">
        <f t="shared" si="14"/>
        <v>77.545691906005217</v>
      </c>
      <c r="C12" s="307">
        <f t="shared" si="15"/>
        <v>76.987447698744774</v>
      </c>
      <c r="D12" s="308" t="s">
        <v>268</v>
      </c>
      <c r="E12" s="308">
        <f t="shared" si="16"/>
        <v>73</v>
      </c>
      <c r="F12" s="308">
        <f t="shared" si="17"/>
        <v>81</v>
      </c>
      <c r="G12" s="308">
        <f t="shared" si="18"/>
        <v>73</v>
      </c>
      <c r="H12" s="308">
        <f t="shared" si="19"/>
        <v>81</v>
      </c>
      <c r="I12" s="314" t="str">
        <f t="shared" si="20"/>
        <v>73 - 81</v>
      </c>
      <c r="J12" s="310" t="str">
        <f t="shared" si="21"/>
        <v>73 - 81</v>
      </c>
      <c r="K12" s="311">
        <f t="shared" si="22"/>
        <v>-0.55824420726044366</v>
      </c>
      <c r="L12" s="320">
        <f t="shared" si="9"/>
        <v>-8.9903646284808181E-2</v>
      </c>
      <c r="M12" s="320">
        <f t="shared" si="10"/>
        <v>7.8738762139599183E-2</v>
      </c>
      <c r="N12" s="313">
        <f t="shared" si="11"/>
        <v>0</v>
      </c>
      <c r="O12" s="306" t="str">
        <f t="shared" si="12"/>
        <v>Crosshouse</v>
      </c>
      <c r="P12" s="306" t="s">
        <v>62</v>
      </c>
      <c r="Q12" s="425">
        <v>297</v>
      </c>
      <c r="R12" s="425">
        <v>383</v>
      </c>
      <c r="S12" s="425">
        <v>368</v>
      </c>
      <c r="T12" s="425">
        <v>478</v>
      </c>
      <c r="V12" s="415" t="s">
        <v>67</v>
      </c>
      <c r="W12" s="415" t="s">
        <v>68</v>
      </c>
      <c r="X12" s="415" t="s">
        <v>68</v>
      </c>
    </row>
    <row r="13" spans="1:24" ht="12">
      <c r="A13" s="306" t="str">
        <f t="shared" si="13"/>
        <v>Wishaw</v>
      </c>
      <c r="B13" s="307">
        <f t="shared" si="14"/>
        <v>82.389937106918239</v>
      </c>
      <c r="C13" s="307">
        <f t="shared" si="15"/>
        <v>76.530612244897952</v>
      </c>
      <c r="D13" s="308" t="s">
        <v>268</v>
      </c>
      <c r="E13" s="308">
        <f t="shared" si="16"/>
        <v>78</v>
      </c>
      <c r="F13" s="308">
        <f t="shared" si="17"/>
        <v>86</v>
      </c>
      <c r="G13" s="308">
        <f t="shared" si="18"/>
        <v>71</v>
      </c>
      <c r="H13" s="308">
        <f t="shared" si="19"/>
        <v>81</v>
      </c>
      <c r="I13" s="314" t="str">
        <f t="shared" si="20"/>
        <v>78 - 86</v>
      </c>
      <c r="J13" s="310" t="str">
        <f t="shared" si="21"/>
        <v>71 - 81</v>
      </c>
      <c r="K13" s="311">
        <f t="shared" si="22"/>
        <v>-5.8593248620202871</v>
      </c>
      <c r="L13" s="320">
        <f t="shared" si="9"/>
        <v>-0.15447965003889674</v>
      </c>
      <c r="M13" s="320">
        <f t="shared" si="10"/>
        <v>3.7293152798491006E-2</v>
      </c>
      <c r="N13" s="313">
        <f t="shared" si="11"/>
        <v>0</v>
      </c>
      <c r="O13" s="306" t="str">
        <f t="shared" si="12"/>
        <v>Wishaw</v>
      </c>
      <c r="P13" s="306" t="s">
        <v>109</v>
      </c>
      <c r="Q13" s="425">
        <v>262</v>
      </c>
      <c r="R13" s="425">
        <v>318</v>
      </c>
      <c r="S13" s="425">
        <v>225</v>
      </c>
      <c r="T13" s="425">
        <v>294</v>
      </c>
      <c r="V13" s="415" t="s">
        <v>75</v>
      </c>
      <c r="W13" s="415" t="s">
        <v>186</v>
      </c>
      <c r="X13" s="415" t="s">
        <v>186</v>
      </c>
    </row>
    <row r="14" spans="1:24" ht="12">
      <c r="A14" s="306" t="str">
        <f t="shared" si="13"/>
        <v>Monklands</v>
      </c>
      <c r="B14" s="307">
        <f t="shared" si="14"/>
        <v>79.565217391304344</v>
      </c>
      <c r="C14" s="307">
        <f t="shared" si="15"/>
        <v>75.4863813229572</v>
      </c>
      <c r="D14" s="308" t="s">
        <v>268</v>
      </c>
      <c r="E14" s="308">
        <f t="shared" si="16"/>
        <v>74</v>
      </c>
      <c r="F14" s="308">
        <f t="shared" si="17"/>
        <v>84</v>
      </c>
      <c r="G14" s="308">
        <f t="shared" si="18"/>
        <v>70</v>
      </c>
      <c r="H14" s="308">
        <f t="shared" si="19"/>
        <v>80</v>
      </c>
      <c r="I14" s="314" t="str">
        <f t="shared" si="20"/>
        <v>74 - 84</v>
      </c>
      <c r="J14" s="310" t="str">
        <f t="shared" si="21"/>
        <v>70 - 80</v>
      </c>
      <c r="K14" s="311">
        <f t="shared" si="22"/>
        <v>-4.0788360683471439</v>
      </c>
      <c r="L14" s="320">
        <f t="shared" si="9"/>
        <v>-0.15166469611295152</v>
      </c>
      <c r="M14" s="320">
        <f t="shared" si="10"/>
        <v>7.0087974746008572E-2</v>
      </c>
      <c r="N14" s="313">
        <f t="shared" si="11"/>
        <v>0</v>
      </c>
      <c r="O14" s="306" t="str">
        <f t="shared" si="12"/>
        <v>Monklands</v>
      </c>
      <c r="P14" s="306" t="s">
        <v>106</v>
      </c>
      <c r="Q14" s="425">
        <v>183</v>
      </c>
      <c r="R14" s="425">
        <v>230</v>
      </c>
      <c r="S14" s="425">
        <v>194</v>
      </c>
      <c r="T14" s="425">
        <v>257</v>
      </c>
      <c r="V14" s="415" t="s">
        <v>70</v>
      </c>
      <c r="W14" s="415" t="s">
        <v>254</v>
      </c>
      <c r="X14" s="415" t="s">
        <v>71</v>
      </c>
    </row>
    <row r="15" spans="1:24" ht="12">
      <c r="A15" s="306" t="str">
        <f t="shared" si="13"/>
        <v>IRH</v>
      </c>
      <c r="B15" s="307">
        <f t="shared" si="14"/>
        <v>65.116279069767444</v>
      </c>
      <c r="C15" s="307">
        <f t="shared" si="15"/>
        <v>75</v>
      </c>
      <c r="D15" s="308" t="s">
        <v>268</v>
      </c>
      <c r="E15" s="308">
        <f t="shared" si="16"/>
        <v>59</v>
      </c>
      <c r="F15" s="308">
        <f t="shared" si="17"/>
        <v>71</v>
      </c>
      <c r="G15" s="308">
        <f t="shared" si="18"/>
        <v>69</v>
      </c>
      <c r="H15" s="308">
        <f t="shared" si="19"/>
        <v>80</v>
      </c>
      <c r="I15" s="314" t="str">
        <f t="shared" si="20"/>
        <v>59 - 71</v>
      </c>
      <c r="J15" s="310" t="str">
        <f t="shared" si="21"/>
        <v>69 - 80</v>
      </c>
      <c r="K15" s="311">
        <f t="shared" si="22"/>
        <v>9.8837209302325562</v>
      </c>
      <c r="L15" s="320">
        <f t="shared" si="9"/>
        <v>-2.9400559566462203E-2</v>
      </c>
      <c r="M15" s="320">
        <f t="shared" si="10"/>
        <v>0.22707497817111327</v>
      </c>
      <c r="N15" s="313">
        <f t="shared" si="11"/>
        <v>0</v>
      </c>
      <c r="O15" s="306" t="str">
        <f t="shared" si="12"/>
        <v>IRH</v>
      </c>
      <c r="P15" s="306" t="s">
        <v>84</v>
      </c>
      <c r="Q15" s="425">
        <v>140</v>
      </c>
      <c r="R15" s="425">
        <v>215</v>
      </c>
      <c r="S15" s="425">
        <v>165</v>
      </c>
      <c r="T15" s="425">
        <v>220</v>
      </c>
      <c r="V15" s="415" t="s">
        <v>123</v>
      </c>
      <c r="W15" s="415" t="s">
        <v>295</v>
      </c>
      <c r="X15" s="415" t="s">
        <v>124</v>
      </c>
    </row>
    <row r="16" spans="1:24" ht="12">
      <c r="A16" s="306" t="str">
        <f t="shared" si="13"/>
        <v>FVRH</v>
      </c>
      <c r="B16" s="307">
        <f t="shared" si="14"/>
        <v>77.354260089686093</v>
      </c>
      <c r="C16" s="307">
        <f t="shared" si="15"/>
        <v>73.040152963671119</v>
      </c>
      <c r="D16" s="308" t="s">
        <v>268</v>
      </c>
      <c r="E16" s="308">
        <f t="shared" si="16"/>
        <v>73</v>
      </c>
      <c r="F16" s="308">
        <f t="shared" si="17"/>
        <v>81</v>
      </c>
      <c r="G16" s="308">
        <f t="shared" si="18"/>
        <v>69</v>
      </c>
      <c r="H16" s="308">
        <f t="shared" si="19"/>
        <v>77</v>
      </c>
      <c r="I16" s="314" t="str">
        <f t="shared" si="20"/>
        <v>73 - 81</v>
      </c>
      <c r="J16" s="310" t="str">
        <f t="shared" si="21"/>
        <v>69 - 77</v>
      </c>
      <c r="K16" s="311">
        <f t="shared" si="22"/>
        <v>-4.3141071260149744</v>
      </c>
      <c r="L16" s="320">
        <f t="shared" si="9"/>
        <v>-0.12455138770870278</v>
      </c>
      <c r="M16" s="320">
        <f t="shared" si="10"/>
        <v>3.8269245188403245E-2</v>
      </c>
      <c r="N16" s="313">
        <f t="shared" si="11"/>
        <v>0</v>
      </c>
      <c r="O16" s="306" t="str">
        <f t="shared" si="12"/>
        <v>FVRH</v>
      </c>
      <c r="P16" s="306" t="s">
        <v>75</v>
      </c>
      <c r="Q16" s="425">
        <v>345</v>
      </c>
      <c r="R16" s="425">
        <v>446</v>
      </c>
      <c r="S16" s="425">
        <v>382</v>
      </c>
      <c r="T16" s="425">
        <v>523</v>
      </c>
      <c r="V16" s="415" t="s">
        <v>82</v>
      </c>
      <c r="W16" s="415" t="s">
        <v>187</v>
      </c>
      <c r="X16" s="415" t="s">
        <v>187</v>
      </c>
    </row>
    <row r="17" spans="1:24" ht="12">
      <c r="A17" s="306" t="str">
        <f t="shared" si="13"/>
        <v>Dr Grays</v>
      </c>
      <c r="B17" s="307">
        <f t="shared" si="14"/>
        <v>65.420560747663544</v>
      </c>
      <c r="C17" s="307">
        <f t="shared" si="15"/>
        <v>72.972972972972968</v>
      </c>
      <c r="D17" s="308" t="s">
        <v>268</v>
      </c>
      <c r="E17" s="308">
        <f t="shared" si="16"/>
        <v>56</v>
      </c>
      <c r="F17" s="308">
        <f t="shared" si="17"/>
        <v>74</v>
      </c>
      <c r="G17" s="308">
        <f t="shared" si="18"/>
        <v>64</v>
      </c>
      <c r="H17" s="308">
        <f t="shared" si="19"/>
        <v>80</v>
      </c>
      <c r="I17" s="314" t="str">
        <f t="shared" si="20"/>
        <v>56 - 74</v>
      </c>
      <c r="J17" s="310" t="str">
        <f t="shared" si="21"/>
        <v>64 - 80</v>
      </c>
      <c r="K17" s="311">
        <f t="shared" si="22"/>
        <v>7.5524122253094248</v>
      </c>
      <c r="L17" s="320">
        <f t="shared" si="9"/>
        <v>-0.10756755431876777</v>
      </c>
      <c r="M17" s="320">
        <f t="shared" si="10"/>
        <v>0.25861579882495622</v>
      </c>
      <c r="N17" s="313">
        <f t="shared" si="11"/>
        <v>0</v>
      </c>
      <c r="O17" s="306" t="str">
        <f t="shared" si="12"/>
        <v>Dr Grays</v>
      </c>
      <c r="P17" s="306" t="s">
        <v>79</v>
      </c>
      <c r="Q17" s="425">
        <v>70</v>
      </c>
      <c r="R17" s="425">
        <v>107</v>
      </c>
      <c r="S17" s="425">
        <v>81</v>
      </c>
      <c r="T17" s="425">
        <v>111</v>
      </c>
      <c r="V17" s="415" t="s">
        <v>103</v>
      </c>
      <c r="W17" s="415" t="s">
        <v>104</v>
      </c>
      <c r="X17" s="415" t="s">
        <v>104</v>
      </c>
    </row>
    <row r="18" spans="1:24" ht="12">
      <c r="A18" s="306" t="str">
        <f t="shared" si="13"/>
        <v>QEUH</v>
      </c>
      <c r="B18" s="307">
        <f t="shared" si="14"/>
        <v>62.693156732891829</v>
      </c>
      <c r="C18" s="307">
        <f t="shared" si="15"/>
        <v>71.931196247068016</v>
      </c>
      <c r="D18" s="308" t="s">
        <v>268</v>
      </c>
      <c r="E18" s="308">
        <f t="shared" si="16"/>
        <v>60</v>
      </c>
      <c r="F18" s="308">
        <f t="shared" si="17"/>
        <v>65</v>
      </c>
      <c r="G18" s="308">
        <f t="shared" si="18"/>
        <v>69</v>
      </c>
      <c r="H18" s="308">
        <f t="shared" si="19"/>
        <v>74</v>
      </c>
      <c r="I18" s="314" t="str">
        <f t="shared" si="20"/>
        <v>60 - 65</v>
      </c>
      <c r="J18" s="310" t="str">
        <f t="shared" si="21"/>
        <v>69 - 74</v>
      </c>
      <c r="K18" s="311">
        <f t="shared" si="22"/>
        <v>9.2380395141761866</v>
      </c>
      <c r="L18" s="320">
        <f t="shared" si="9"/>
        <v>3.9062857105172766E-2</v>
      </c>
      <c r="M18" s="320">
        <f t="shared" si="10"/>
        <v>0.145697933178351</v>
      </c>
      <c r="N18" s="313">
        <f t="shared" si="11"/>
        <v>1</v>
      </c>
      <c r="O18" s="306" t="str">
        <f t="shared" si="12"/>
        <v>QEUH</v>
      </c>
      <c r="P18" s="306" t="s">
        <v>503</v>
      </c>
      <c r="Q18" s="425">
        <v>852</v>
      </c>
      <c r="R18" s="425">
        <v>1359</v>
      </c>
      <c r="S18" s="425">
        <v>920</v>
      </c>
      <c r="T18" s="425">
        <v>1279</v>
      </c>
      <c r="V18" s="415" t="s">
        <v>84</v>
      </c>
      <c r="W18" s="466" t="s">
        <v>85</v>
      </c>
      <c r="X18" s="466" t="s">
        <v>85</v>
      </c>
    </row>
    <row r="19" spans="1:24" ht="12">
      <c r="A19" s="306" t="str">
        <f t="shared" si="13"/>
        <v>Belford*</v>
      </c>
      <c r="B19" s="307">
        <f t="shared" si="14"/>
        <v>82.142857142857139</v>
      </c>
      <c r="C19" s="307">
        <f t="shared" si="15"/>
        <v>71.875</v>
      </c>
      <c r="D19" s="308" t="s">
        <v>268</v>
      </c>
      <c r="E19" s="308">
        <f t="shared" si="16"/>
        <v>64</v>
      </c>
      <c r="F19" s="308">
        <f t="shared" si="17"/>
        <v>92</v>
      </c>
      <c r="G19" s="308">
        <f t="shared" si="18"/>
        <v>55</v>
      </c>
      <c r="H19" s="308">
        <f t="shared" si="19"/>
        <v>84</v>
      </c>
      <c r="I19" s="314" t="str">
        <f t="shared" si="20"/>
        <v>64 - 92</v>
      </c>
      <c r="J19" s="310" t="str">
        <f t="shared" si="21"/>
        <v>55 - 84</v>
      </c>
      <c r="K19" s="311">
        <f t="shared" si="22"/>
        <v>-10.267857142857139</v>
      </c>
      <c r="L19" s="320">
        <f t="shared" si="9"/>
        <v>-0.41820693461540842</v>
      </c>
      <c r="M19" s="320">
        <f t="shared" si="10"/>
        <v>0.21284979175826563</v>
      </c>
      <c r="N19" s="313">
        <f t="shared" si="11"/>
        <v>0</v>
      </c>
      <c r="O19" s="306" t="str">
        <f t="shared" si="12"/>
        <v>Belford*</v>
      </c>
      <c r="P19" s="306" t="s">
        <v>91</v>
      </c>
      <c r="Q19" s="425">
        <v>23</v>
      </c>
      <c r="R19" s="425">
        <v>28</v>
      </c>
      <c r="S19" s="425">
        <v>23</v>
      </c>
      <c r="T19" s="425">
        <v>32</v>
      </c>
      <c r="V19" s="415" t="s">
        <v>97</v>
      </c>
      <c r="W19" s="415" t="s">
        <v>98</v>
      </c>
      <c r="X19" s="415" t="s">
        <v>98</v>
      </c>
    </row>
    <row r="20" spans="1:24" ht="12">
      <c r="A20" s="306" t="str">
        <f t="shared" si="13"/>
        <v>ARI</v>
      </c>
      <c r="B20" s="307">
        <f t="shared" si="14"/>
        <v>70.588235294117652</v>
      </c>
      <c r="C20" s="307">
        <f t="shared" si="15"/>
        <v>71.048513302034436</v>
      </c>
      <c r="D20" s="308" t="s">
        <v>268</v>
      </c>
      <c r="E20" s="308">
        <f t="shared" si="16"/>
        <v>67</v>
      </c>
      <c r="F20" s="308">
        <f t="shared" si="17"/>
        <v>74</v>
      </c>
      <c r="G20" s="308">
        <f t="shared" si="18"/>
        <v>67</v>
      </c>
      <c r="H20" s="308">
        <f t="shared" si="19"/>
        <v>74</v>
      </c>
      <c r="I20" s="314" t="str">
        <f t="shared" si="20"/>
        <v>67 - 74</v>
      </c>
      <c r="J20" s="310" t="str">
        <f t="shared" si="21"/>
        <v>67 - 74</v>
      </c>
      <c r="K20" s="311">
        <f t="shared" si="22"/>
        <v>0.4602780079167843</v>
      </c>
      <c r="L20" s="320">
        <f t="shared" si="9"/>
        <v>-7.3929825218384024E-2</v>
      </c>
      <c r="M20" s="320">
        <f t="shared" si="10"/>
        <v>8.3135385376719648E-2</v>
      </c>
      <c r="N20" s="313">
        <f t="shared" si="11"/>
        <v>0</v>
      </c>
      <c r="O20" s="306" t="str">
        <f t="shared" si="12"/>
        <v>ARI</v>
      </c>
      <c r="P20" s="306" t="s">
        <v>77</v>
      </c>
      <c r="Q20" s="425">
        <v>372</v>
      </c>
      <c r="R20" s="425">
        <v>527</v>
      </c>
      <c r="S20" s="425">
        <v>454</v>
      </c>
      <c r="T20" s="425">
        <v>639</v>
      </c>
      <c r="V20" s="415" t="s">
        <v>106</v>
      </c>
      <c r="W20" s="415" t="s">
        <v>107</v>
      </c>
      <c r="X20" s="415" t="s">
        <v>107</v>
      </c>
    </row>
    <row r="21" spans="1:24" ht="12">
      <c r="A21" s="306" t="str">
        <f t="shared" si="13"/>
        <v>L&amp;I</v>
      </c>
      <c r="B21" s="307">
        <f t="shared" si="14"/>
        <v>70.833333333333343</v>
      </c>
      <c r="C21" s="307">
        <f t="shared" si="15"/>
        <v>69.565217391304344</v>
      </c>
      <c r="D21" s="308" t="s">
        <v>268</v>
      </c>
      <c r="E21" s="308">
        <f t="shared" si="16"/>
        <v>57</v>
      </c>
      <c r="F21" s="308">
        <f t="shared" si="17"/>
        <v>82</v>
      </c>
      <c r="G21" s="308">
        <f t="shared" si="18"/>
        <v>55</v>
      </c>
      <c r="H21" s="308">
        <f t="shared" si="19"/>
        <v>81</v>
      </c>
      <c r="I21" s="314" t="str">
        <f t="shared" si="20"/>
        <v>57 - 82</v>
      </c>
      <c r="J21" s="310" t="str">
        <f t="shared" si="21"/>
        <v>55 - 81</v>
      </c>
      <c r="K21" s="311">
        <f t="shared" si="22"/>
        <v>-1.2681159420289987</v>
      </c>
      <c r="L21" s="320">
        <f t="shared" si="9"/>
        <v>-0.2896918813149002</v>
      </c>
      <c r="M21" s="320">
        <f t="shared" si="10"/>
        <v>0.26432956247432038</v>
      </c>
      <c r="N21" s="313">
        <f t="shared" si="11"/>
        <v>0</v>
      </c>
      <c r="O21" s="306" t="str">
        <f t="shared" si="12"/>
        <v>L&amp;I</v>
      </c>
      <c r="P21" s="306" t="s">
        <v>97</v>
      </c>
      <c r="Q21" s="425">
        <v>34</v>
      </c>
      <c r="R21" s="425">
        <v>48</v>
      </c>
      <c r="S21" s="425">
        <v>32</v>
      </c>
      <c r="T21" s="425">
        <v>46</v>
      </c>
      <c r="V21" s="415" t="s">
        <v>126</v>
      </c>
      <c r="W21" s="415" t="s">
        <v>127</v>
      </c>
      <c r="X21" s="415" t="s">
        <v>127</v>
      </c>
    </row>
    <row r="22" spans="1:24" ht="12">
      <c r="A22" s="306" t="str">
        <f t="shared" si="13"/>
        <v>Ninewells</v>
      </c>
      <c r="B22" s="307">
        <f t="shared" si="14"/>
        <v>65.968586387434556</v>
      </c>
      <c r="C22" s="307">
        <f t="shared" si="15"/>
        <v>67.067307692307693</v>
      </c>
      <c r="D22" s="308" t="s">
        <v>268</v>
      </c>
      <c r="E22" s="308">
        <f t="shared" si="16"/>
        <v>61</v>
      </c>
      <c r="F22" s="308">
        <f t="shared" si="17"/>
        <v>71</v>
      </c>
      <c r="G22" s="308">
        <f t="shared" si="18"/>
        <v>62</v>
      </c>
      <c r="H22" s="308">
        <f t="shared" si="19"/>
        <v>71</v>
      </c>
      <c r="I22" s="314" t="str">
        <f t="shared" si="20"/>
        <v>61 - 71</v>
      </c>
      <c r="J22" s="310" t="str">
        <f t="shared" si="21"/>
        <v>62 - 71</v>
      </c>
      <c r="K22" s="311">
        <f t="shared" si="22"/>
        <v>1.0987213048731377</v>
      </c>
      <c r="L22" s="320">
        <f t="shared" si="9"/>
        <v>-8.7183543683366949E-2</v>
      </c>
      <c r="M22" s="320">
        <f t="shared" si="10"/>
        <v>0.10915796978082953</v>
      </c>
      <c r="N22" s="313">
        <f t="shared" si="11"/>
        <v>0</v>
      </c>
      <c r="O22" s="306" t="str">
        <f t="shared" si="12"/>
        <v>Ninewells</v>
      </c>
      <c r="P22" s="306" t="s">
        <v>126</v>
      </c>
      <c r="Q22" s="425">
        <v>252</v>
      </c>
      <c r="R22" s="425">
        <v>382</v>
      </c>
      <c r="S22" s="425">
        <v>279</v>
      </c>
      <c r="T22" s="425">
        <v>416</v>
      </c>
      <c r="V22" s="415" t="s">
        <v>129</v>
      </c>
      <c r="W22" s="415" t="s">
        <v>130</v>
      </c>
      <c r="X22" s="415" t="s">
        <v>130</v>
      </c>
    </row>
    <row r="23" spans="1:24" ht="12">
      <c r="A23" s="306" t="str">
        <f t="shared" si="13"/>
        <v>Ayr</v>
      </c>
      <c r="B23" s="307">
        <f t="shared" si="14"/>
        <v>66.666666666666657</v>
      </c>
      <c r="C23" s="307">
        <f t="shared" si="15"/>
        <v>64.745762711864401</v>
      </c>
      <c r="D23" s="308" t="s">
        <v>268</v>
      </c>
      <c r="E23" s="308">
        <f t="shared" si="16"/>
        <v>62</v>
      </c>
      <c r="F23" s="308">
        <f t="shared" si="17"/>
        <v>71</v>
      </c>
      <c r="G23" s="308">
        <f t="shared" si="18"/>
        <v>59</v>
      </c>
      <c r="H23" s="308">
        <f t="shared" si="19"/>
        <v>70</v>
      </c>
      <c r="I23" s="314" t="str">
        <f t="shared" si="20"/>
        <v>62 - 71</v>
      </c>
      <c r="J23" s="310" t="str">
        <f t="shared" si="21"/>
        <v>59 - 70</v>
      </c>
      <c r="K23" s="311">
        <f t="shared" si="22"/>
        <v>-1.920903954802256</v>
      </c>
      <c r="L23" s="320">
        <f t="shared" si="9"/>
        <v>-0.12697394458215916</v>
      </c>
      <c r="M23" s="320">
        <f t="shared" si="10"/>
        <v>8.8555865486114049E-2</v>
      </c>
      <c r="N23" s="313">
        <f t="shared" si="11"/>
        <v>0</v>
      </c>
      <c r="O23" s="306" t="str">
        <f t="shared" si="12"/>
        <v>Ayr</v>
      </c>
      <c r="P23" s="306" t="s">
        <v>60</v>
      </c>
      <c r="Q23" s="425">
        <v>258</v>
      </c>
      <c r="R23" s="425">
        <v>387</v>
      </c>
      <c r="S23" s="425">
        <v>191</v>
      </c>
      <c r="T23" s="425">
        <v>295</v>
      </c>
      <c r="V23" s="415" t="s">
        <v>503</v>
      </c>
      <c r="W23" s="467" t="s">
        <v>532</v>
      </c>
      <c r="X23" s="467" t="s">
        <v>532</v>
      </c>
    </row>
    <row r="24" spans="1:24" ht="12">
      <c r="A24" s="306" t="str">
        <f t="shared" si="13"/>
        <v>GRI</v>
      </c>
      <c r="B24" s="307">
        <f t="shared" si="14"/>
        <v>54.606365159128977</v>
      </c>
      <c r="C24" s="307">
        <f t="shared" si="15"/>
        <v>63.464837049742705</v>
      </c>
      <c r="D24" s="308" t="s">
        <v>268</v>
      </c>
      <c r="E24" s="308">
        <f t="shared" si="16"/>
        <v>51</v>
      </c>
      <c r="F24" s="308">
        <f t="shared" si="17"/>
        <v>59</v>
      </c>
      <c r="G24" s="308">
        <f t="shared" si="18"/>
        <v>59</v>
      </c>
      <c r="H24" s="308">
        <f t="shared" si="19"/>
        <v>67</v>
      </c>
      <c r="I24" s="314" t="str">
        <f t="shared" si="20"/>
        <v>51 - 59</v>
      </c>
      <c r="J24" s="310" t="str">
        <f t="shared" si="21"/>
        <v>59 - 67</v>
      </c>
      <c r="K24" s="311">
        <f t="shared" si="22"/>
        <v>8.8584718906137283</v>
      </c>
      <c r="L24" s="320">
        <f t="shared" si="9"/>
        <v>4.8968005422035527E-3</v>
      </c>
      <c r="M24" s="320">
        <f t="shared" si="10"/>
        <v>0.17227263727007103</v>
      </c>
      <c r="N24" s="313">
        <f t="shared" si="11"/>
        <v>1</v>
      </c>
      <c r="O24" s="306" t="str">
        <f t="shared" si="12"/>
        <v>GRI</v>
      </c>
      <c r="P24" s="306" t="s">
        <v>82</v>
      </c>
      <c r="Q24" s="425">
        <v>326</v>
      </c>
      <c r="R24" s="425">
        <v>597</v>
      </c>
      <c r="S24" s="425">
        <v>370</v>
      </c>
      <c r="T24" s="425">
        <v>583</v>
      </c>
      <c r="V24" s="415" t="s">
        <v>100</v>
      </c>
      <c r="W24" s="415" t="s">
        <v>101</v>
      </c>
      <c r="X24" s="415" t="s">
        <v>101</v>
      </c>
    </row>
    <row r="25" spans="1:24" ht="12">
      <c r="A25" s="306" t="str">
        <f t="shared" si="13"/>
        <v>SJH</v>
      </c>
      <c r="B25" s="307">
        <f t="shared" si="14"/>
        <v>54.589371980676326</v>
      </c>
      <c r="C25" s="307">
        <f t="shared" si="15"/>
        <v>63.157894736842103</v>
      </c>
      <c r="D25" s="308" t="s">
        <v>268</v>
      </c>
      <c r="E25" s="308">
        <f t="shared" si="16"/>
        <v>48</v>
      </c>
      <c r="F25" s="308">
        <f t="shared" si="17"/>
        <v>61</v>
      </c>
      <c r="G25" s="308">
        <f t="shared" si="18"/>
        <v>56</v>
      </c>
      <c r="H25" s="308">
        <f t="shared" si="19"/>
        <v>69</v>
      </c>
      <c r="I25" s="314" t="str">
        <f t="shared" si="20"/>
        <v>48 - 61</v>
      </c>
      <c r="J25" s="310" t="str">
        <f t="shared" si="21"/>
        <v>56 - 69</v>
      </c>
      <c r="K25" s="311">
        <f t="shared" si="22"/>
        <v>8.5685227561657769</v>
      </c>
      <c r="L25" s="320">
        <f t="shared" si="9"/>
        <v>-5.5414828894337742E-2</v>
      </c>
      <c r="M25" s="320">
        <f t="shared" si="10"/>
        <v>0.22678528401765324</v>
      </c>
      <c r="N25" s="313">
        <f t="shared" si="11"/>
        <v>0</v>
      </c>
      <c r="O25" s="306" t="str">
        <f t="shared" si="12"/>
        <v>SJH</v>
      </c>
      <c r="P25" s="306" t="s">
        <v>114</v>
      </c>
      <c r="Q25" s="425">
        <v>113</v>
      </c>
      <c r="R25" s="425">
        <v>207</v>
      </c>
      <c r="S25" s="425">
        <v>132</v>
      </c>
      <c r="T25" s="425">
        <v>209</v>
      </c>
      <c r="V25" s="415" t="s">
        <v>87</v>
      </c>
      <c r="W25" s="415" t="s">
        <v>188</v>
      </c>
      <c r="X25" s="415" t="s">
        <v>188</v>
      </c>
    </row>
    <row r="26" spans="1:24" ht="12">
      <c r="A26" s="306" t="str">
        <f t="shared" si="13"/>
        <v>WGH</v>
      </c>
      <c r="B26" s="307">
        <f t="shared" si="14"/>
        <v>57.947019867549663</v>
      </c>
      <c r="C26" s="307">
        <f t="shared" si="15"/>
        <v>61.693548387096776</v>
      </c>
      <c r="D26" s="308" t="s">
        <v>268</v>
      </c>
      <c r="E26" s="308">
        <f t="shared" si="16"/>
        <v>52</v>
      </c>
      <c r="F26" s="308">
        <f t="shared" si="17"/>
        <v>63</v>
      </c>
      <c r="G26" s="308">
        <f t="shared" si="18"/>
        <v>56</v>
      </c>
      <c r="H26" s="308">
        <f t="shared" si="19"/>
        <v>68</v>
      </c>
      <c r="I26" s="314" t="str">
        <f t="shared" si="20"/>
        <v>52 - 63</v>
      </c>
      <c r="J26" s="310" t="str">
        <f t="shared" si="21"/>
        <v>56 - 68</v>
      </c>
      <c r="K26" s="311">
        <f t="shared" si="22"/>
        <v>3.7465285195471125</v>
      </c>
      <c r="L26" s="320">
        <f t="shared" si="9"/>
        <v>-8.5667297019756436E-2</v>
      </c>
      <c r="M26" s="320">
        <f t="shared" si="10"/>
        <v>0.16059786741069865</v>
      </c>
      <c r="N26" s="313">
        <f t="shared" si="11"/>
        <v>0</v>
      </c>
      <c r="O26" s="306" t="str">
        <f t="shared" si="12"/>
        <v>WGH</v>
      </c>
      <c r="P26" s="306" t="s">
        <v>117</v>
      </c>
      <c r="Q26" s="425">
        <v>175</v>
      </c>
      <c r="R26" s="425">
        <v>302</v>
      </c>
      <c r="S26" s="425">
        <v>153</v>
      </c>
      <c r="T26" s="425">
        <v>248</v>
      </c>
      <c r="V26" s="415" t="s">
        <v>111</v>
      </c>
      <c r="W26" s="415" t="s">
        <v>112</v>
      </c>
      <c r="X26" s="415" t="s">
        <v>112</v>
      </c>
    </row>
    <row r="27" spans="1:24" ht="12">
      <c r="A27" s="306" t="str">
        <f t="shared" si="13"/>
        <v>PRI</v>
      </c>
      <c r="B27" s="307">
        <f t="shared" si="14"/>
        <v>73.714285714285708</v>
      </c>
      <c r="C27" s="307">
        <f t="shared" si="15"/>
        <v>61.643835616438359</v>
      </c>
      <c r="D27" s="308" t="s">
        <v>268</v>
      </c>
      <c r="E27" s="308">
        <f t="shared" si="16"/>
        <v>67</v>
      </c>
      <c r="F27" s="308">
        <f t="shared" si="17"/>
        <v>80</v>
      </c>
      <c r="G27" s="308">
        <f t="shared" si="18"/>
        <v>54</v>
      </c>
      <c r="H27" s="308">
        <f t="shared" si="19"/>
        <v>69</v>
      </c>
      <c r="I27" s="314" t="str">
        <f t="shared" si="20"/>
        <v>67 - 80</v>
      </c>
      <c r="J27" s="310" t="str">
        <f t="shared" si="21"/>
        <v>54 - 69</v>
      </c>
      <c r="K27" s="311">
        <f t="shared" si="22"/>
        <v>-12.070450097847349</v>
      </c>
      <c r="L27" s="320">
        <f t="shared" si="9"/>
        <v>-0.27397378104204606</v>
      </c>
      <c r="M27" s="320">
        <f t="shared" si="10"/>
        <v>3.2564779085098999E-2</v>
      </c>
      <c r="N27" s="313">
        <f t="shared" si="11"/>
        <v>0</v>
      </c>
      <c r="O27" s="306" t="str">
        <f t="shared" si="12"/>
        <v>PRI</v>
      </c>
      <c r="P27" s="306" t="s">
        <v>129</v>
      </c>
      <c r="Q27" s="425">
        <v>129</v>
      </c>
      <c r="R27" s="425">
        <v>175</v>
      </c>
      <c r="S27" s="425">
        <v>90</v>
      </c>
      <c r="T27" s="425">
        <v>146</v>
      </c>
      <c r="V27" s="415" t="s">
        <v>114</v>
      </c>
      <c r="W27" s="466" t="s">
        <v>115</v>
      </c>
      <c r="X27" s="466" t="s">
        <v>115</v>
      </c>
    </row>
    <row r="28" spans="1:24" ht="12">
      <c r="A28" s="306" t="str">
        <f t="shared" si="13"/>
        <v>RIE</v>
      </c>
      <c r="B28" s="307">
        <f t="shared" si="14"/>
        <v>54.171428571428571</v>
      </c>
      <c r="C28" s="307">
        <f t="shared" si="15"/>
        <v>61.53846153846154</v>
      </c>
      <c r="D28" s="308" t="s">
        <v>268</v>
      </c>
      <c r="E28" s="308">
        <f t="shared" si="16"/>
        <v>51</v>
      </c>
      <c r="F28" s="308">
        <f t="shared" si="17"/>
        <v>57</v>
      </c>
      <c r="G28" s="308">
        <f t="shared" si="18"/>
        <v>58</v>
      </c>
      <c r="H28" s="308">
        <f t="shared" si="19"/>
        <v>65</v>
      </c>
      <c r="I28" s="314" t="str">
        <f t="shared" si="20"/>
        <v>51 - 57</v>
      </c>
      <c r="J28" s="310" t="str">
        <f t="shared" si="21"/>
        <v>58 - 65</v>
      </c>
      <c r="K28" s="311">
        <f t="shared" si="22"/>
        <v>7.3670329670329693</v>
      </c>
      <c r="L28" s="320">
        <f t="shared" si="9"/>
        <v>3.9738431649430778E-3</v>
      </c>
      <c r="M28" s="320">
        <f t="shared" si="10"/>
        <v>0.14336681617571634</v>
      </c>
      <c r="N28" s="313">
        <f t="shared" si="11"/>
        <v>1</v>
      </c>
      <c r="O28" s="306" t="str">
        <f t="shared" si="12"/>
        <v>RIE</v>
      </c>
      <c r="P28" s="306" t="s">
        <v>111</v>
      </c>
      <c r="Q28" s="425">
        <v>474</v>
      </c>
      <c r="R28" s="425">
        <v>875</v>
      </c>
      <c r="S28" s="425">
        <v>520</v>
      </c>
      <c r="T28" s="425">
        <v>845</v>
      </c>
      <c r="V28" s="415" t="s">
        <v>132</v>
      </c>
      <c r="W28" s="415" t="s">
        <v>133</v>
      </c>
      <c r="X28" s="415" t="s">
        <v>133</v>
      </c>
    </row>
    <row r="29" spans="1:24" ht="12">
      <c r="A29" s="306" t="str">
        <f t="shared" si="13"/>
        <v>RAH</v>
      </c>
      <c r="B29" s="307">
        <f t="shared" si="14"/>
        <v>50.823529411764703</v>
      </c>
      <c r="C29" s="307">
        <f t="shared" si="15"/>
        <v>55.163043478260867</v>
      </c>
      <c r="D29" s="308" t="s">
        <v>268</v>
      </c>
      <c r="E29" s="308">
        <f t="shared" si="16"/>
        <v>46</v>
      </c>
      <c r="F29" s="308">
        <f t="shared" si="17"/>
        <v>56</v>
      </c>
      <c r="G29" s="308">
        <f t="shared" si="18"/>
        <v>50</v>
      </c>
      <c r="H29" s="308">
        <f t="shared" si="19"/>
        <v>60</v>
      </c>
      <c r="I29" s="314" t="str">
        <f t="shared" si="20"/>
        <v>46 - 56</v>
      </c>
      <c r="J29" s="310" t="str">
        <f t="shared" si="21"/>
        <v>50 - 60</v>
      </c>
      <c r="K29" s="311">
        <f t="shared" si="22"/>
        <v>4.3395140664961644</v>
      </c>
      <c r="L29" s="320">
        <f t="shared" si="9"/>
        <v>-6.0801537845062162E-2</v>
      </c>
      <c r="M29" s="320">
        <f t="shared" si="10"/>
        <v>0.14759181917498543</v>
      </c>
      <c r="N29" s="313">
        <f t="shared" si="11"/>
        <v>0</v>
      </c>
      <c r="O29" s="306" t="str">
        <f t="shared" si="12"/>
        <v>RAH</v>
      </c>
      <c r="P29" s="306" t="s">
        <v>87</v>
      </c>
      <c r="Q29" s="425">
        <v>216</v>
      </c>
      <c r="R29" s="425">
        <v>425</v>
      </c>
      <c r="S29" s="425">
        <v>203</v>
      </c>
      <c r="T29" s="425">
        <v>368</v>
      </c>
      <c r="V29" s="415" t="s">
        <v>287</v>
      </c>
      <c r="W29" s="415" t="s">
        <v>177</v>
      </c>
      <c r="X29" s="415" t="s">
        <v>177</v>
      </c>
    </row>
    <row r="30" spans="1:24" ht="12">
      <c r="A30" s="306" t="str">
        <f t="shared" si="13"/>
        <v>Raigmore</v>
      </c>
      <c r="B30" s="307">
        <f t="shared" si="14"/>
        <v>57.681159420289852</v>
      </c>
      <c r="C30" s="307">
        <f t="shared" si="15"/>
        <v>44.961240310077521</v>
      </c>
      <c r="D30" s="308" t="s">
        <v>268</v>
      </c>
      <c r="E30" s="308">
        <f t="shared" si="16"/>
        <v>52</v>
      </c>
      <c r="F30" s="308">
        <f t="shared" si="17"/>
        <v>63</v>
      </c>
      <c r="G30" s="308">
        <f t="shared" si="18"/>
        <v>40</v>
      </c>
      <c r="H30" s="308">
        <f t="shared" si="19"/>
        <v>50</v>
      </c>
      <c r="I30" s="314" t="str">
        <f t="shared" si="20"/>
        <v>52 - 63</v>
      </c>
      <c r="J30" s="310" t="str">
        <f t="shared" si="21"/>
        <v>40 - 50</v>
      </c>
      <c r="K30" s="311">
        <f t="shared" si="22"/>
        <v>-12.719919110212331</v>
      </c>
      <c r="L30" s="320">
        <f t="shared" si="9"/>
        <v>-0.23492423117498151</v>
      </c>
      <c r="M30" s="320">
        <f t="shared" si="10"/>
        <v>-1.9474151029265085E-2</v>
      </c>
      <c r="N30" s="313">
        <f t="shared" si="11"/>
        <v>-1</v>
      </c>
      <c r="O30" s="306" t="str">
        <f t="shared" si="12"/>
        <v>Raigmore</v>
      </c>
      <c r="P30" s="306" t="s">
        <v>100</v>
      </c>
      <c r="Q30" s="425">
        <v>199</v>
      </c>
      <c r="R30" s="425">
        <v>345</v>
      </c>
      <c r="S30" s="425">
        <v>174</v>
      </c>
      <c r="T30" s="425">
        <v>387</v>
      </c>
      <c r="V30" s="415" t="s">
        <v>117</v>
      </c>
      <c r="W30" s="415" t="s">
        <v>118</v>
      </c>
      <c r="X30" s="415" t="s">
        <v>118</v>
      </c>
    </row>
    <row r="31" spans="1:24" ht="12">
      <c r="A31" s="306" t="str">
        <f t="shared" si="13"/>
        <v>Balfour</v>
      </c>
      <c r="B31" s="307">
        <f t="shared" si="14"/>
        <v>19.230769230769234</v>
      </c>
      <c r="C31" s="307">
        <f t="shared" si="15"/>
        <v>42.1875</v>
      </c>
      <c r="D31" s="308" t="s">
        <v>268</v>
      </c>
      <c r="E31" s="308">
        <f t="shared" si="16"/>
        <v>11</v>
      </c>
      <c r="F31" s="308">
        <f t="shared" si="17"/>
        <v>32</v>
      </c>
      <c r="G31" s="308">
        <f t="shared" si="18"/>
        <v>31</v>
      </c>
      <c r="H31" s="308">
        <f t="shared" si="19"/>
        <v>54</v>
      </c>
      <c r="I31" s="314" t="str">
        <f t="shared" si="20"/>
        <v>11 - 32</v>
      </c>
      <c r="J31" s="310" t="str">
        <f t="shared" si="21"/>
        <v>31 - 54</v>
      </c>
      <c r="K31" s="311">
        <f t="shared" si="22"/>
        <v>22.956730769230766</v>
      </c>
      <c r="L31" s="320">
        <f t="shared" si="9"/>
        <v>-1.2438247957852228E-2</v>
      </c>
      <c r="M31" s="320">
        <f t="shared" si="10"/>
        <v>0.47157286334246762</v>
      </c>
      <c r="N31" s="313">
        <f t="shared" si="11"/>
        <v>0</v>
      </c>
      <c r="O31" s="306" t="str">
        <f t="shared" si="12"/>
        <v>Balfour</v>
      </c>
      <c r="P31" s="306" t="s">
        <v>120</v>
      </c>
      <c r="Q31" s="425">
        <v>10</v>
      </c>
      <c r="R31" s="425">
        <v>52</v>
      </c>
      <c r="S31" s="425">
        <v>27</v>
      </c>
      <c r="T31" s="425">
        <v>64</v>
      </c>
      <c r="V31" s="415" t="s">
        <v>135</v>
      </c>
      <c r="W31" s="415" t="s">
        <v>39</v>
      </c>
      <c r="X31" s="415" t="s">
        <v>39</v>
      </c>
    </row>
    <row r="32" spans="1:24" ht="12">
      <c r="A32" s="306" t="str">
        <f t="shared" si="13"/>
        <v>Uist &amp; Barra</v>
      </c>
      <c r="B32" s="307">
        <f t="shared" si="14"/>
        <v>0</v>
      </c>
      <c r="C32" s="307">
        <f t="shared" si="15"/>
        <v>0</v>
      </c>
      <c r="D32" s="308" t="s">
        <v>268</v>
      </c>
      <c r="E32" s="308">
        <f t="shared" si="16"/>
        <v>0</v>
      </c>
      <c r="F32" s="308">
        <f t="shared" si="17"/>
        <v>79</v>
      </c>
      <c r="G32" s="308">
        <f t="shared" si="18"/>
        <v>0</v>
      </c>
      <c r="H32" s="308">
        <f t="shared" si="19"/>
        <v>79</v>
      </c>
      <c r="I32" s="314" t="str">
        <f t="shared" si="20"/>
        <v>0 - 79</v>
      </c>
      <c r="J32" s="310" t="str">
        <f t="shared" si="21"/>
        <v>0 - 79</v>
      </c>
      <c r="K32" s="311">
        <f t="shared" si="22"/>
        <v>0</v>
      </c>
      <c r="L32" s="320">
        <f t="shared" si="9"/>
        <v>0</v>
      </c>
      <c r="M32" s="320">
        <f t="shared" si="10"/>
        <v>0</v>
      </c>
      <c r="N32" s="313">
        <f t="shared" si="11"/>
        <v>0</v>
      </c>
      <c r="O32" s="306" t="str">
        <f t="shared" si="12"/>
        <v>Uist &amp; Barra</v>
      </c>
      <c r="P32" s="306" t="s">
        <v>132</v>
      </c>
      <c r="Q32" s="425">
        <v>0</v>
      </c>
      <c r="R32" s="425">
        <v>1</v>
      </c>
      <c r="S32" s="425">
        <v>0</v>
      </c>
      <c r="T32" s="425">
        <v>1</v>
      </c>
      <c r="V32" s="415" t="s">
        <v>109</v>
      </c>
      <c r="W32" s="415" t="s">
        <v>110</v>
      </c>
      <c r="X32" s="415" t="s">
        <v>110</v>
      </c>
    </row>
    <row r="33" spans="17:24">
      <c r="V33" s="14" t="s">
        <v>174</v>
      </c>
      <c r="W33" s="14" t="s">
        <v>175</v>
      </c>
      <c r="X33" s="14" t="s">
        <v>175</v>
      </c>
    </row>
    <row r="34" spans="17:24">
      <c r="Q34" s="211"/>
      <c r="R34" s="211"/>
      <c r="S34" s="211"/>
      <c r="T34" s="211"/>
      <c r="V34" s="14" t="s">
        <v>179</v>
      </c>
      <c r="W34" s="14" t="s">
        <v>180</v>
      </c>
      <c r="X34" s="14" t="s">
        <v>180</v>
      </c>
    </row>
    <row r="35" spans="17:24">
      <c r="Q35" s="211"/>
      <c r="R35" s="211"/>
      <c r="S35" s="211"/>
      <c r="T35" s="211"/>
      <c r="V35" s="14" t="s">
        <v>89</v>
      </c>
      <c r="W35" s="14" t="s">
        <v>90</v>
      </c>
      <c r="X35" s="14" t="s">
        <v>90</v>
      </c>
    </row>
    <row r="36" spans="17:24" ht="15">
      <c r="Q36" s="211"/>
      <c r="R36" s="211"/>
      <c r="S36" s="211"/>
      <c r="T36" s="211"/>
      <c r="V36"/>
      <c r="W36"/>
    </row>
    <row r="37" spans="17:24" ht="15">
      <c r="Q37" s="211"/>
      <c r="R37" s="211"/>
      <c r="S37" s="211"/>
      <c r="T37" s="211"/>
      <c r="V37"/>
      <c r="W37"/>
    </row>
    <row r="38" spans="17:24" ht="15">
      <c r="Q38" s="211"/>
      <c r="R38" s="211"/>
      <c r="S38" s="211"/>
      <c r="T38" s="211"/>
      <c r="V38"/>
      <c r="W38"/>
    </row>
    <row r="39" spans="17:24" ht="15">
      <c r="Q39" s="211"/>
      <c r="R39" s="211"/>
      <c r="S39" s="211"/>
      <c r="T39" s="211"/>
      <c r="V39"/>
      <c r="W39"/>
    </row>
    <row r="40" spans="17:24" ht="15">
      <c r="Q40" s="211"/>
      <c r="R40" s="211"/>
      <c r="S40" s="211"/>
      <c r="T40" s="211"/>
      <c r="V40"/>
      <c r="W40"/>
    </row>
    <row r="41" spans="17:24" ht="15">
      <c r="Q41" s="211"/>
      <c r="R41" s="211"/>
      <c r="S41" s="211"/>
      <c r="T41" s="211"/>
      <c r="V41"/>
      <c r="W41"/>
    </row>
    <row r="42" spans="17:24" ht="15">
      <c r="Q42" s="211"/>
      <c r="R42" s="211"/>
      <c r="S42" s="211"/>
      <c r="T42" s="211"/>
      <c r="V42"/>
      <c r="W42"/>
    </row>
    <row r="43" spans="17:24" ht="15">
      <c r="Q43" s="211"/>
      <c r="R43" s="211"/>
      <c r="S43" s="211"/>
      <c r="T43" s="211"/>
      <c r="V43"/>
      <c r="W43"/>
    </row>
    <row r="44" spans="17:24" ht="15">
      <c r="Q44" s="211"/>
      <c r="R44" s="211"/>
      <c r="S44" s="211"/>
      <c r="T44" s="211"/>
      <c r="V44"/>
      <c r="W44"/>
    </row>
    <row r="45" spans="17:24" ht="15">
      <c r="Q45" s="211"/>
      <c r="R45" s="211"/>
      <c r="S45" s="211"/>
      <c r="T45" s="211"/>
      <c r="V45"/>
      <c r="W45"/>
    </row>
    <row r="46" spans="17:24" ht="15">
      <c r="Q46" s="211"/>
      <c r="R46" s="211"/>
      <c r="S46" s="211"/>
      <c r="T46" s="211"/>
      <c r="V46"/>
      <c r="W46"/>
    </row>
    <row r="47" spans="17:24" ht="15">
      <c r="Q47" s="211"/>
      <c r="R47" s="211"/>
      <c r="S47" s="211"/>
      <c r="T47" s="211"/>
      <c r="V47"/>
      <c r="W47"/>
    </row>
    <row r="48" spans="17:24" ht="15">
      <c r="Q48" s="211"/>
      <c r="R48" s="211"/>
      <c r="S48" s="211"/>
      <c r="T48" s="211"/>
      <c r="V48"/>
      <c r="W48"/>
    </row>
    <row r="49" spans="17:23" ht="15">
      <c r="Q49" s="211"/>
      <c r="R49" s="211"/>
      <c r="S49" s="211"/>
      <c r="T49" s="211"/>
      <c r="V49"/>
      <c r="W49"/>
    </row>
    <row r="50" spans="17:23" ht="15">
      <c r="Q50" s="211"/>
      <c r="R50" s="211"/>
      <c r="S50" s="211"/>
      <c r="T50" s="211"/>
      <c r="V50"/>
      <c r="W50"/>
    </row>
    <row r="51" spans="17:23" ht="15">
      <c r="Q51" s="211"/>
      <c r="R51" s="211"/>
      <c r="S51" s="211"/>
      <c r="T51" s="211"/>
      <c r="V51"/>
      <c r="W51"/>
    </row>
    <row r="52" spans="17:23" ht="15">
      <c r="Q52" s="211"/>
      <c r="R52" s="211"/>
      <c r="S52" s="211"/>
      <c r="T52" s="211"/>
      <c r="V52"/>
      <c r="W52"/>
    </row>
    <row r="53" spans="17:23">
      <c r="Q53" s="211"/>
      <c r="R53" s="211"/>
      <c r="S53" s="211"/>
      <c r="T53" s="211"/>
    </row>
    <row r="54" spans="17:23">
      <c r="Q54" s="211"/>
      <c r="R54" s="211"/>
      <c r="S54" s="211"/>
      <c r="T54" s="211"/>
    </row>
    <row r="55" spans="17:23">
      <c r="Q55" s="211"/>
      <c r="R55" s="211"/>
      <c r="S55" s="211"/>
      <c r="T55" s="211"/>
    </row>
    <row r="56" spans="17:23">
      <c r="Q56" s="211"/>
      <c r="R56" s="211"/>
      <c r="S56" s="211"/>
      <c r="T56" s="211"/>
    </row>
    <row r="57" spans="17:23">
      <c r="Q57" s="211"/>
      <c r="R57" s="211"/>
      <c r="S57" s="211"/>
      <c r="T57" s="211"/>
    </row>
    <row r="58" spans="17:23">
      <c r="Q58" s="211"/>
      <c r="R58" s="211"/>
      <c r="S58" s="211"/>
      <c r="T58" s="211"/>
    </row>
    <row r="59" spans="17:23">
      <c r="Q59" s="211"/>
      <c r="R59" s="211"/>
      <c r="S59" s="211"/>
      <c r="T59" s="211"/>
    </row>
    <row r="60" spans="17:23">
      <c r="Q60" s="211"/>
      <c r="R60" s="211"/>
      <c r="S60" s="211"/>
      <c r="T60" s="211"/>
    </row>
    <row r="61" spans="17:23">
      <c r="Q61" s="211"/>
      <c r="R61" s="211"/>
      <c r="S61" s="211"/>
      <c r="T61" s="211"/>
    </row>
    <row r="62" spans="17:23">
      <c r="Q62" s="211"/>
      <c r="R62" s="211"/>
      <c r="S62" s="211"/>
      <c r="T62" s="211"/>
    </row>
    <row r="63" spans="17:23">
      <c r="Q63" s="211"/>
      <c r="R63" s="211"/>
      <c r="S63" s="211"/>
      <c r="T63" s="211"/>
    </row>
    <row r="64" spans="17:23">
      <c r="Q64" s="211"/>
      <c r="R64" s="211"/>
      <c r="S64" s="211"/>
      <c r="T64" s="211"/>
    </row>
    <row r="66" spans="17:17">
      <c r="Q66" s="211"/>
    </row>
    <row r="67" spans="17:17">
      <c r="Q67" s="211"/>
    </row>
    <row r="68" spans="17:17">
      <c r="Q68" s="211"/>
    </row>
    <row r="69" spans="17:17">
      <c r="Q69" s="211"/>
    </row>
    <row r="70" spans="17:17">
      <c r="Q70" s="211"/>
    </row>
    <row r="71" spans="17:17">
      <c r="Q71" s="211"/>
    </row>
    <row r="72" spans="17:17">
      <c r="Q72" s="211"/>
    </row>
    <row r="73" spans="17:17">
      <c r="Q73" s="211"/>
    </row>
    <row r="74" spans="17:17">
      <c r="Q74" s="211"/>
    </row>
    <row r="75" spans="17:17">
      <c r="Q75" s="211"/>
    </row>
    <row r="76" spans="17:17">
      <c r="Q76" s="211"/>
    </row>
    <row r="77" spans="17:17">
      <c r="Q77" s="211"/>
    </row>
    <row r="78" spans="17:17">
      <c r="Q78" s="211"/>
    </row>
    <row r="79" spans="17:17">
      <c r="Q79" s="211"/>
    </row>
    <row r="80" spans="17:17">
      <c r="Q80" s="211"/>
    </row>
    <row r="81" spans="17:17">
      <c r="Q81" s="211"/>
    </row>
    <row r="82" spans="17:17">
      <c r="Q82" s="211"/>
    </row>
    <row r="83" spans="17:17">
      <c r="Q83" s="211"/>
    </row>
    <row r="84" spans="17:17">
      <c r="Q84" s="211"/>
    </row>
    <row r="85" spans="17:17">
      <c r="Q85" s="211"/>
    </row>
    <row r="86" spans="17:17">
      <c r="Q86" s="211"/>
    </row>
    <row r="87" spans="17:17">
      <c r="Q87" s="211"/>
    </row>
    <row r="88" spans="17:17">
      <c r="Q88" s="211"/>
    </row>
    <row r="89" spans="17:17">
      <c r="Q89" s="211"/>
    </row>
    <row r="90" spans="17:17">
      <c r="Q90" s="211"/>
    </row>
    <row r="91" spans="17:17">
      <c r="Q91" s="211"/>
    </row>
    <row r="92" spans="17:17">
      <c r="Q92" s="211"/>
    </row>
    <row r="93" spans="17:17">
      <c r="Q93" s="211"/>
    </row>
    <row r="94" spans="17:17">
      <c r="Q94" s="211"/>
    </row>
    <row r="95" spans="17:17">
      <c r="Q95" s="211"/>
    </row>
    <row r="96" spans="17:17">
      <c r="Q96" s="211"/>
    </row>
    <row r="97" spans="16:17">
      <c r="Q97" s="211"/>
    </row>
    <row r="98" spans="16:17" ht="15">
      <c r="P98"/>
      <c r="Q98"/>
    </row>
  </sheetData>
  <sheetProtection password="B8D9" sheet="1" objects="1" scenarios="1"/>
  <sortState ref="P66:Q98">
    <sortCondition ref="P66:P98"/>
  </sortState>
  <mergeCells count="7">
    <mergeCell ref="A1:A2"/>
    <mergeCell ref="B1:H1"/>
    <mergeCell ref="O1:P1"/>
    <mergeCell ref="Q1:R1"/>
    <mergeCell ref="S1:T1"/>
    <mergeCell ref="E2:F2"/>
    <mergeCell ref="G2:H2"/>
  </mergeCells>
  <conditionalFormatting sqref="A3:A32">
    <cfRule type="expression" dxfId="30" priority="4" stopIfTrue="1">
      <formula>N3=-1</formula>
    </cfRule>
    <cfRule type="expression" dxfId="29" priority="5" stopIfTrue="1">
      <formula>N3=0</formula>
    </cfRule>
    <cfRule type="expression" dxfId="28" priority="7" stopIfTrue="1">
      <formula>N3=1</formula>
    </cfRule>
  </conditionalFormatting>
  <printOptions horizontalCentered="1"/>
  <pageMargins left="0" right="0" top="0.74803149606299213" bottom="0.74803149606299213" header="0.31496062992125984" footer="0.31496062992125984"/>
  <pageSetup paperSize="9" scale="46" orientation="landscape" r:id="rId1"/>
  <headerFooter alignWithMargins="0">
    <oddHeader>&amp;LChart 1c DATA
Percentage of stroke patients receiving an 'appropriate' Stroke Care Bundle (i.e. Stroke Unit admission, swallow screen, brain scan and aspirin), 2015 data (based on initial diagnosis).</oddHeader>
    <oddFooter>&amp;L&amp;8Scottish Stroke Care Audit 2016 National Report
Stroke Services in Scottish Hospitals, Data relating to 2015&amp;R&amp;8© NHS National Services Scotland/Crown Copyright</oddFooter>
  </headerFooter>
</worksheet>
</file>

<file path=xl/worksheets/sheet21.xml><?xml version="1.0" encoding="utf-8"?>
<worksheet xmlns="http://schemas.openxmlformats.org/spreadsheetml/2006/main" xmlns:r="http://schemas.openxmlformats.org/officeDocument/2006/relationships">
  <sheetPr codeName="Sheet24"/>
  <dimension ref="A1:T44"/>
  <sheetViews>
    <sheetView workbookViewId="0"/>
  </sheetViews>
  <sheetFormatPr defaultRowHeight="12.75"/>
  <cols>
    <col min="1" max="1" width="1.7109375" style="699" customWidth="1"/>
    <col min="2" max="16384" width="9.140625" style="699"/>
  </cols>
  <sheetData>
    <row r="1" spans="1:20" ht="12.75" customHeight="1">
      <c r="A1" s="701"/>
      <c r="B1" s="798" t="s">
        <v>671</v>
      </c>
      <c r="C1" s="798"/>
      <c r="D1" s="798"/>
      <c r="E1" s="798"/>
      <c r="F1" s="798"/>
      <c r="G1" s="798"/>
      <c r="H1" s="798"/>
      <c r="I1" s="798"/>
      <c r="J1" s="798"/>
      <c r="K1" s="798"/>
      <c r="L1" s="798"/>
      <c r="M1" s="798"/>
      <c r="N1" s="802" t="s">
        <v>48</v>
      </c>
      <c r="O1" s="802"/>
    </row>
    <row r="2" spans="1:20">
      <c r="B2" s="798"/>
      <c r="C2" s="798"/>
      <c r="D2" s="798"/>
      <c r="E2" s="798"/>
      <c r="F2" s="798"/>
      <c r="G2" s="798"/>
      <c r="H2" s="798"/>
      <c r="I2" s="798"/>
      <c r="J2" s="798"/>
      <c r="K2" s="798"/>
      <c r="L2" s="798"/>
      <c r="M2" s="798"/>
      <c r="N2" s="802"/>
      <c r="O2" s="802"/>
    </row>
    <row r="3" spans="1:20">
      <c r="B3" s="798"/>
      <c r="C3" s="798"/>
      <c r="D3" s="798"/>
      <c r="E3" s="798"/>
      <c r="F3" s="798"/>
      <c r="G3" s="798"/>
      <c r="H3" s="798"/>
      <c r="I3" s="798"/>
      <c r="J3" s="798"/>
      <c r="K3" s="798"/>
      <c r="L3" s="798"/>
      <c r="M3" s="798"/>
      <c r="N3" s="802"/>
      <c r="O3" s="802"/>
    </row>
    <row r="4" spans="1:20">
      <c r="N4" s="786" t="s">
        <v>672</v>
      </c>
      <c r="O4" s="786"/>
    </row>
    <row r="13" spans="1:20" ht="15">
      <c r="O13" s="199"/>
      <c r="P13" s="276" t="s">
        <v>298</v>
      </c>
      <c r="Q13"/>
      <c r="R13"/>
      <c r="S13"/>
      <c r="T13"/>
    </row>
    <row r="14" spans="1:20" ht="15">
      <c r="O14" s="200"/>
      <c r="P14" s="276" t="s">
        <v>507</v>
      </c>
      <c r="Q14"/>
      <c r="R14"/>
      <c r="S14"/>
      <c r="T14"/>
    </row>
    <row r="15" spans="1:20" ht="15">
      <c r="O15" s="201"/>
      <c r="P15" s="276" t="s">
        <v>508</v>
      </c>
      <c r="Q15"/>
      <c r="R15"/>
      <c r="S15"/>
      <c r="T15"/>
    </row>
    <row r="16" spans="1:20" ht="15">
      <c r="O16" s="283"/>
      <c r="P16" s="276" t="s">
        <v>509</v>
      </c>
      <c r="Q16"/>
      <c r="R16"/>
      <c r="S16"/>
      <c r="T16"/>
    </row>
    <row r="17" spans="2:20" ht="15">
      <c r="O17"/>
      <c r="P17" s="276"/>
      <c r="Q17"/>
      <c r="R17"/>
      <c r="S17"/>
      <c r="T17"/>
    </row>
    <row r="20" spans="2:20">
      <c r="P20" s="698"/>
      <c r="Q20" s="698"/>
    </row>
    <row r="21" spans="2:20">
      <c r="P21" s="698"/>
      <c r="Q21" s="698"/>
    </row>
    <row r="22" spans="2:20">
      <c r="P22" s="698"/>
      <c r="Q22" s="698"/>
    </row>
    <row r="23" spans="2:20">
      <c r="P23" s="698"/>
      <c r="Q23" s="698"/>
    </row>
    <row r="24" spans="2:20">
      <c r="P24" s="698"/>
      <c r="Q24" s="698"/>
    </row>
    <row r="25" spans="2:20">
      <c r="P25" s="698"/>
      <c r="Q25" s="698"/>
    </row>
    <row r="31" spans="2:20" ht="15">
      <c r="B31" s="316" t="s">
        <v>673</v>
      </c>
      <c r="C31" s="207"/>
      <c r="D31" s="208"/>
      <c r="E31" s="208"/>
      <c r="F31" s="208"/>
      <c r="G31" s="208"/>
      <c r="H31" s="208"/>
      <c r="I31" s="208"/>
      <c r="J31" s="207"/>
    </row>
    <row r="32" spans="2:20" ht="24" customHeight="1">
      <c r="B32" s="819" t="s">
        <v>301</v>
      </c>
      <c r="C32" s="819"/>
      <c r="D32" s="819"/>
      <c r="E32" s="819"/>
      <c r="F32" s="819"/>
      <c r="G32" s="819"/>
      <c r="H32" s="819"/>
      <c r="I32" s="819"/>
      <c r="J32" s="819"/>
      <c r="K32" s="819"/>
      <c r="L32" s="819"/>
      <c r="M32" s="819"/>
      <c r="N32" s="819"/>
    </row>
    <row r="33" spans="2:14" ht="12.75" customHeight="1">
      <c r="B33" s="696"/>
      <c r="C33" s="696"/>
      <c r="D33" s="696"/>
      <c r="E33" s="696"/>
      <c r="F33" s="696"/>
      <c r="G33" s="696"/>
      <c r="H33" s="696"/>
      <c r="I33" s="696"/>
      <c r="J33" s="696"/>
      <c r="K33" s="696"/>
      <c r="L33" s="696"/>
      <c r="M33" s="696"/>
      <c r="N33" s="696"/>
    </row>
    <row r="34" spans="2:14" ht="33" customHeight="1">
      <c r="B34" s="820" t="s">
        <v>302</v>
      </c>
      <c r="C34" s="820"/>
      <c r="D34" s="820"/>
      <c r="E34" s="820"/>
      <c r="F34" s="820"/>
      <c r="G34" s="820"/>
      <c r="H34" s="820"/>
      <c r="I34" s="820"/>
      <c r="J34" s="820"/>
      <c r="K34" s="820"/>
      <c r="L34" s="820"/>
      <c r="M34" s="820"/>
      <c r="N34" s="820"/>
    </row>
    <row r="35" spans="2:14" ht="12.75" customHeight="1">
      <c r="B35" s="697"/>
      <c r="C35" s="697"/>
      <c r="D35" s="697"/>
      <c r="E35" s="697"/>
      <c r="F35" s="697"/>
      <c r="G35" s="697"/>
      <c r="H35" s="697"/>
      <c r="I35" s="697"/>
      <c r="J35" s="697"/>
      <c r="K35" s="697"/>
      <c r="L35" s="697"/>
      <c r="M35" s="697"/>
      <c r="N35" s="697"/>
    </row>
    <row r="36" spans="2:14" ht="33.75" customHeight="1">
      <c r="B36" s="819" t="s">
        <v>303</v>
      </c>
      <c r="C36" s="819"/>
      <c r="D36" s="819"/>
      <c r="E36" s="819"/>
      <c r="F36" s="819"/>
      <c r="G36" s="819"/>
      <c r="H36" s="819"/>
      <c r="I36" s="819"/>
      <c r="J36" s="819"/>
      <c r="K36" s="819"/>
      <c r="L36" s="819"/>
      <c r="M36" s="819"/>
      <c r="N36" s="819"/>
    </row>
    <row r="37" spans="2:14" ht="12.75" customHeight="1">
      <c r="B37" s="696"/>
      <c r="C37" s="696"/>
      <c r="D37" s="696"/>
      <c r="E37" s="696"/>
      <c r="F37" s="696"/>
      <c r="G37" s="696"/>
      <c r="H37" s="696"/>
      <c r="I37" s="696"/>
      <c r="J37" s="696"/>
      <c r="K37" s="696"/>
      <c r="L37" s="696"/>
      <c r="M37" s="696"/>
      <c r="N37" s="696"/>
    </row>
    <row r="38" spans="2:14" ht="22.5" customHeight="1">
      <c r="B38" s="819" t="s">
        <v>304</v>
      </c>
      <c r="C38" s="819"/>
      <c r="D38" s="819"/>
      <c r="E38" s="819"/>
      <c r="F38" s="819"/>
      <c r="G38" s="819"/>
      <c r="H38" s="819"/>
      <c r="I38" s="819"/>
      <c r="J38" s="819"/>
      <c r="K38" s="819"/>
      <c r="L38" s="819"/>
      <c r="M38" s="819"/>
      <c r="N38" s="819"/>
    </row>
    <row r="39" spans="2:14" ht="12.75" customHeight="1">
      <c r="B39" s="696"/>
      <c r="C39" s="696"/>
      <c r="D39" s="696"/>
      <c r="E39" s="696"/>
      <c r="F39" s="696"/>
      <c r="G39" s="696"/>
      <c r="H39" s="696"/>
      <c r="I39" s="696"/>
      <c r="J39" s="696"/>
      <c r="K39" s="696"/>
      <c r="L39" s="696"/>
      <c r="M39" s="696"/>
      <c r="N39" s="696"/>
    </row>
    <row r="40" spans="2:14" ht="33.75" customHeight="1">
      <c r="B40" s="819" t="s">
        <v>305</v>
      </c>
      <c r="C40" s="819"/>
      <c r="D40" s="819"/>
      <c r="E40" s="819"/>
      <c r="F40" s="819"/>
      <c r="G40" s="819"/>
      <c r="H40" s="819"/>
      <c r="I40" s="819"/>
      <c r="J40" s="819"/>
      <c r="K40" s="819"/>
      <c r="L40" s="819"/>
      <c r="M40" s="819"/>
      <c r="N40" s="819"/>
    </row>
    <row r="41" spans="2:14" ht="12.75" customHeight="1">
      <c r="B41" s="696"/>
      <c r="C41" s="696"/>
      <c r="D41" s="696"/>
      <c r="E41" s="696"/>
      <c r="F41" s="696"/>
      <c r="G41" s="696"/>
      <c r="H41" s="696"/>
      <c r="I41" s="696"/>
      <c r="J41" s="696"/>
      <c r="K41" s="696"/>
      <c r="L41" s="696"/>
      <c r="M41" s="696"/>
      <c r="N41" s="696"/>
    </row>
    <row r="42" spans="2:14" ht="21.75" customHeight="1">
      <c r="B42" s="819" t="s">
        <v>632</v>
      </c>
      <c r="C42" s="819"/>
      <c r="D42" s="819"/>
      <c r="E42" s="819"/>
      <c r="F42" s="819"/>
      <c r="G42" s="819"/>
      <c r="H42" s="819"/>
      <c r="I42" s="819"/>
      <c r="J42" s="819"/>
      <c r="K42" s="819"/>
      <c r="L42" s="819"/>
      <c r="M42" s="819"/>
      <c r="N42" s="819"/>
    </row>
    <row r="43" spans="2:14">
      <c r="B43" s="319"/>
    </row>
    <row r="44" spans="2:14" ht="23.25" customHeight="1">
      <c r="B44" s="819" t="s">
        <v>306</v>
      </c>
      <c r="C44" s="819"/>
      <c r="D44" s="819"/>
      <c r="E44" s="819"/>
      <c r="F44" s="819"/>
      <c r="G44" s="819"/>
      <c r="H44" s="819"/>
      <c r="I44" s="819"/>
      <c r="J44" s="819"/>
      <c r="K44" s="819"/>
      <c r="L44" s="819"/>
      <c r="M44" s="819"/>
      <c r="N44" s="819"/>
    </row>
  </sheetData>
  <sheetProtection password="B8D9" sheet="1" objects="1" scenarios="1"/>
  <mergeCells count="10">
    <mergeCell ref="B38:N38"/>
    <mergeCell ref="B40:N40"/>
    <mergeCell ref="B42:N42"/>
    <mergeCell ref="B44:N44"/>
    <mergeCell ref="B1:M3"/>
    <mergeCell ref="N1:O3"/>
    <mergeCell ref="N4:O4"/>
    <mergeCell ref="B32:N32"/>
    <mergeCell ref="B34:N34"/>
    <mergeCell ref="B36:N36"/>
  </mergeCells>
  <hyperlinks>
    <hyperlink ref="N1" location="'List of Tables &amp; Charts'!A1" display="return to List of Tables &amp; Charts"/>
    <hyperlink ref="N4:O4" location="'Chart 1c DATA (final diag)'!A1" display="view Chart 1c (final)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22.xml><?xml version="1.0" encoding="utf-8"?>
<worksheet xmlns="http://schemas.openxmlformats.org/spreadsheetml/2006/main" xmlns:r="http://schemas.openxmlformats.org/officeDocument/2006/relationships">
  <sheetPr codeName="Sheet25">
    <pageSetUpPr fitToPage="1"/>
  </sheetPr>
  <dimension ref="A1:X98"/>
  <sheetViews>
    <sheetView zoomScaleNormal="100" workbookViewId="0">
      <selection sqref="A1:A2"/>
    </sheetView>
  </sheetViews>
  <sheetFormatPr defaultRowHeight="11.25"/>
  <cols>
    <col min="1" max="1" width="15.7109375" style="211" customWidth="1"/>
    <col min="2" max="3" width="7.28515625" style="211" bestFit="1" customWidth="1"/>
    <col min="4" max="4" width="12.7109375" style="211" bestFit="1" customWidth="1"/>
    <col min="5" max="8" width="9.28515625" style="211" customWidth="1"/>
    <col min="9" max="9" width="13.42578125" style="211" bestFit="1" customWidth="1"/>
    <col min="10" max="14" width="9.7109375" style="211" customWidth="1"/>
    <col min="15" max="15" width="10.42578125" style="211" bestFit="1" customWidth="1"/>
    <col min="16" max="16" width="45.7109375" style="211" customWidth="1"/>
    <col min="17" max="20" width="11.7109375" style="315" customWidth="1"/>
    <col min="21" max="21" width="9.140625" style="211"/>
    <col min="22" max="22" width="33.85546875" style="211" bestFit="1" customWidth="1"/>
    <col min="23" max="24" width="10.42578125" style="211" bestFit="1" customWidth="1"/>
    <col min="25" max="16384" width="9.140625" style="211"/>
  </cols>
  <sheetData>
    <row r="1" spans="1:20" ht="15" customHeight="1">
      <c r="A1" s="811" t="s">
        <v>27</v>
      </c>
      <c r="B1" s="822" t="s">
        <v>44</v>
      </c>
      <c r="C1" s="814"/>
      <c r="D1" s="814"/>
      <c r="E1" s="814"/>
      <c r="F1" s="814"/>
      <c r="G1" s="814"/>
      <c r="H1" s="814"/>
      <c r="I1" s="295"/>
      <c r="J1" s="296"/>
      <c r="K1" s="296"/>
      <c r="L1" s="296"/>
      <c r="M1" s="296"/>
      <c r="N1" s="296"/>
      <c r="O1" s="815" t="s">
        <v>20</v>
      </c>
      <c r="P1" s="816"/>
      <c r="Q1" s="815">
        <v>2014</v>
      </c>
      <c r="R1" s="815"/>
      <c r="S1" s="815">
        <v>2015</v>
      </c>
      <c r="T1" s="815"/>
    </row>
    <row r="2" spans="1:20" ht="23.25" customHeight="1">
      <c r="A2" s="821"/>
      <c r="B2" s="297" t="s">
        <v>298</v>
      </c>
      <c r="C2" s="297" t="s">
        <v>491</v>
      </c>
      <c r="D2" s="695" t="s">
        <v>21</v>
      </c>
      <c r="E2" s="817" t="s">
        <v>492</v>
      </c>
      <c r="F2" s="817"/>
      <c r="G2" s="817" t="s">
        <v>505</v>
      </c>
      <c r="H2" s="818"/>
      <c r="I2" s="299" t="s">
        <v>23</v>
      </c>
      <c r="J2" s="300" t="s">
        <v>300</v>
      </c>
      <c r="K2" s="301" t="s">
        <v>24</v>
      </c>
      <c r="L2" s="302" t="s">
        <v>16</v>
      </c>
      <c r="M2" s="302" t="s">
        <v>15</v>
      </c>
      <c r="N2" s="303" t="s">
        <v>25</v>
      </c>
      <c r="O2" s="304" t="s">
        <v>26</v>
      </c>
      <c r="P2" s="305" t="s">
        <v>27</v>
      </c>
      <c r="Q2" s="305" t="s">
        <v>28</v>
      </c>
      <c r="R2" s="305" t="s">
        <v>29</v>
      </c>
      <c r="S2" s="305" t="s">
        <v>28</v>
      </c>
      <c r="T2" s="305" t="s">
        <v>29</v>
      </c>
    </row>
    <row r="3" spans="1:20" ht="12">
      <c r="A3" s="306" t="str">
        <f t="shared" ref="A3:A32" si="0">O3</f>
        <v>Scotland</v>
      </c>
      <c r="B3" s="307">
        <f t="shared" ref="B3" si="1">Q3/R3*100</f>
        <v>61.920567700583732</v>
      </c>
      <c r="C3" s="307">
        <f t="shared" ref="C3" si="2">S3/T3*100</f>
        <v>63.738089962331046</v>
      </c>
      <c r="D3" s="307" t="s">
        <v>268</v>
      </c>
      <c r="E3" s="16">
        <f t="shared" ref="E3" si="3">SUM(1*MID(I3,1,FIND(" - ",I3)-1))</f>
        <v>61</v>
      </c>
      <c r="F3" s="308">
        <f t="shared" ref="F3" si="4">SUM(1*MID(I3,FIND(" - ",I3)+2,LEN(I3)))</f>
        <v>63</v>
      </c>
      <c r="G3" s="308">
        <f t="shared" ref="G3" si="5">SUM(1*MID(J3,1,FIND(" - ",J3)-1))</f>
        <v>63</v>
      </c>
      <c r="H3" s="308">
        <f t="shared" ref="H3" si="6">SUM(1*MID(J3,FIND(" - ",J3)+2,LEN(J3)))</f>
        <v>65</v>
      </c>
      <c r="I3" s="309"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61 - 63</v>
      </c>
      <c r="J3" s="310"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63 - 65</v>
      </c>
      <c r="K3" s="311">
        <f t="shared" ref="K3" si="9">C3-B3</f>
        <v>1.8175222617473139</v>
      </c>
      <c r="L3" s="320">
        <f t="shared" ref="L3" si="10">((S3/T3)-(Q3/R3))-(NORMSINV(1-(0.05/COUNTA($O$3:$O$32)))*(SQRT((((Q3/R3)*(1-(Q3/R3)))/R3)+(((S3/T3)*(1-(S3/T3)))/T3))))</f>
        <v>-3.1114038789582313E-3</v>
      </c>
      <c r="M3" s="320">
        <f t="shared" ref="M3" si="11">((S3/T3)-(Q3/R3))+(NORMSINV(1-(0.05/COUNTA($O$3:$O$32)))*(SQRT((((Q3/R3)*(1-(Q3/R3)))/R3)+(((S3/T3)*(1-(S3/T3)))/T3))))</f>
        <v>3.946184911390458E-2</v>
      </c>
      <c r="N3" s="313">
        <f t="shared" ref="N3" si="12">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0</v>
      </c>
      <c r="O3" s="306" t="str">
        <f t="shared" ref="O3" si="13">VLOOKUP(P3,Hospitals,2,FALSE)</f>
        <v>Scotland</v>
      </c>
      <c r="P3" s="306" t="s">
        <v>286</v>
      </c>
      <c r="Q3" s="425">
        <f>SUM(Q4:Q32)</f>
        <v>5410</v>
      </c>
      <c r="R3" s="425">
        <f t="shared" ref="R3:T3" si="14">SUM(R4:R32)</f>
        <v>8737</v>
      </c>
      <c r="S3" s="425">
        <f t="shared" si="14"/>
        <v>5753</v>
      </c>
      <c r="T3" s="425">
        <f t="shared" si="14"/>
        <v>9026</v>
      </c>
    </row>
    <row r="4" spans="1:20" ht="12">
      <c r="A4" s="306" t="str">
        <f t="shared" si="0"/>
        <v>Caithness*</v>
      </c>
      <c r="B4" s="307">
        <f t="shared" ref="B4:B32" si="15">Q4/R4*100</f>
        <v>77.142857142857153</v>
      </c>
      <c r="C4" s="307">
        <f t="shared" ref="C4:C32" si="16">S4/T4*100</f>
        <v>91.666666666666657</v>
      </c>
      <c r="D4" s="308" t="s">
        <v>268</v>
      </c>
      <c r="E4" s="308">
        <f t="shared" ref="E4:E32" si="17">SUM(1*MID(I4,1,FIND(" - ",I4)-1))</f>
        <v>66</v>
      </c>
      <c r="F4" s="308">
        <f t="shared" ref="F4:F32" si="18">SUM(1*MID(I4,FIND(" - ",I4)+2,LEN(I4)))</f>
        <v>85</v>
      </c>
      <c r="G4" s="308">
        <f t="shared" ref="G4:G32" si="19">SUM(1*MID(J4,1,FIND(" - ",J4)-1))</f>
        <v>83</v>
      </c>
      <c r="H4" s="308">
        <f t="shared" ref="H4:H32" si="20">SUM(1*MID(J4,FIND(" - ",J4)+2,LEN(J4)))</f>
        <v>96</v>
      </c>
      <c r="I4" s="314" t="str">
        <f t="shared" ref="I4:I32" si="21">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66 - 85</v>
      </c>
      <c r="J4" s="310" t="str">
        <f t="shared" ref="J4:J32" si="22">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83 - 96</v>
      </c>
      <c r="K4" s="311">
        <f t="shared" ref="K4:K32" si="23">C4-B4</f>
        <v>14.523809523809504</v>
      </c>
      <c r="L4" s="320">
        <f t="shared" ref="L4:L32" si="24">((S4/T4)-(Q4/R4))-(NORMSINV(1-(0.05/COUNTA($O$3:$O$32)))*(SQRT((((Q4/R4)*(1-(Q4/R4)))/R4)+(((S4/T4)*(1-(S4/T4)))/T4))))</f>
        <v>-3.0381716083298399E-2</v>
      </c>
      <c r="M4" s="320">
        <f t="shared" ref="M4:M32" si="25">((S4/T4)-(Q4/R4))+(NORMSINV(1-(0.05/COUNTA($O$3:$O$32)))*(SQRT((((Q4/R4)*(1-(Q4/R4)))/R4)+(((S4/T4)*(1-(S4/T4)))/T4))))</f>
        <v>0.32085790655948876</v>
      </c>
      <c r="N4" s="313">
        <f t="shared" ref="N4:N32" si="26">IF(ISERR(IF(AND(((S4/T4)-(Q4/R4))-(NORMSINV(1-(0.05/COUNTA($P$3:$P$32)))*(SQRT((((Q4/R4)*(1-(Q4/R4)))/R4)+(((S4/T4)*(1-(S4/T4)))/T4))))&gt;0,((S4/T4)-(Q4/R4))+(NORMSINV(1-(0.05/COUNTA($P$3:$P$32)))*(SQRT((((Q4/R4)*(1-(Q4/R4)))/R4)+(((S4/T4)*(1-(S4/T4)))/T4))))&gt;0),1,IF(AND(((S4/T4)-(Q4/R4))-(NORMSINV(1-(0.05/COUNTA($P$3:$P$32)))*(SQRT((((Q4/R4)*(1-(Q4/R4)))/R4)+(((S4/T4)*(1-(S4/T4)))/T4))))&lt;0,((S4/T4)-(Q4/R4))+(NORMSINV(1-(0.05/COUNTA($P$3:$P$32)))*(SQRT((((Q4/R4)*(1-(Q4/R4)))/R4)+(((S4/T4)*(1-(S4/T4)))/T4))))&lt;0),-1,0))),"",IF(AND(((S4/T4)-(Q4/R4))-(NORMSINV(1-(0.05/COUNTA($P$3:$P$32)))*(SQRT((((Q4/R4)*(1-(Q4/R4)))/R4)+(((S4/T4)*(1-(S4/T4)))/T4))))&gt;0,((S4/T4)-(Q4/R4))+(NORMSINV(1-(0.05/COUNTA($P$3:$P$32)))*(SQRT((((Q4/R4)*(1-(Q4/R4)))/R4)+(((S4/T4)*(1-(S4/T4)))/T4))))&gt;0),1,IF(AND(((S4/T4)-(Q4/R4))-(NORMSINV(1-(0.05/COUNTA($P$3:$P$32)))*(SQRT((((Q4/R4)*(1-(Q4/R4)))/R4)+(((S4/T4)*(1-(S4/T4)))/T4))))&lt;0,((S4/T4)-(Q4/R4))+(NORMSINV(1-(0.05/COUNTA($P$3:$P$32)))*(SQRT((((Q4/R4)*(1-(Q4/R4)))/R4)+(((S4/T4)*(1-(S4/T4)))/T4))))&lt;0),-1,0)))</f>
        <v>0</v>
      </c>
      <c r="O4" s="306" t="str">
        <f t="shared" ref="O4:O32" si="27">VLOOKUP(P4,Hospitals,2,FALSE)</f>
        <v>Caithness*</v>
      </c>
      <c r="P4" s="306" t="s">
        <v>94</v>
      </c>
      <c r="Q4" s="425">
        <v>54</v>
      </c>
      <c r="R4" s="425">
        <v>70</v>
      </c>
      <c r="S4" s="425">
        <v>66</v>
      </c>
      <c r="T4" s="425">
        <v>72</v>
      </c>
    </row>
    <row r="5" spans="1:20" ht="12">
      <c r="A5" s="306" t="str">
        <f t="shared" si="0"/>
        <v>Western Isles</v>
      </c>
      <c r="B5" s="307">
        <f t="shared" si="15"/>
        <v>81.818181818181827</v>
      </c>
      <c r="C5" s="307">
        <f t="shared" si="16"/>
        <v>82.35294117647058</v>
      </c>
      <c r="D5" s="308" t="s">
        <v>268</v>
      </c>
      <c r="E5" s="308">
        <f t="shared" si="17"/>
        <v>61</v>
      </c>
      <c r="F5" s="308">
        <f t="shared" si="18"/>
        <v>93</v>
      </c>
      <c r="G5" s="308">
        <f t="shared" si="19"/>
        <v>66</v>
      </c>
      <c r="H5" s="308">
        <f t="shared" si="20"/>
        <v>92</v>
      </c>
      <c r="I5" s="314" t="str">
        <f t="shared" si="21"/>
        <v>61 - 93</v>
      </c>
      <c r="J5" s="310" t="str">
        <f t="shared" si="22"/>
        <v>66 - 92</v>
      </c>
      <c r="K5" s="311">
        <f t="shared" si="23"/>
        <v>0.53475935828875265</v>
      </c>
      <c r="L5" s="320">
        <f t="shared" si="24"/>
        <v>-0.30300495711023651</v>
      </c>
      <c r="M5" s="320">
        <f t="shared" si="25"/>
        <v>0.31370014427601173</v>
      </c>
      <c r="N5" s="313">
        <f t="shared" si="26"/>
        <v>0</v>
      </c>
      <c r="O5" s="306" t="str">
        <f t="shared" si="27"/>
        <v>Western Isles</v>
      </c>
      <c r="P5" s="306" t="s">
        <v>135</v>
      </c>
      <c r="Q5" s="425">
        <v>18</v>
      </c>
      <c r="R5" s="425">
        <v>22</v>
      </c>
      <c r="S5" s="425">
        <v>28</v>
      </c>
      <c r="T5" s="425">
        <v>34</v>
      </c>
    </row>
    <row r="6" spans="1:20" ht="12">
      <c r="A6" s="306" t="str">
        <f t="shared" si="0"/>
        <v>GCH*</v>
      </c>
      <c r="B6" s="307">
        <f t="shared" si="15"/>
        <v>94.871794871794862</v>
      </c>
      <c r="C6" s="307">
        <f t="shared" si="16"/>
        <v>80</v>
      </c>
      <c r="D6" s="308" t="s">
        <v>268</v>
      </c>
      <c r="E6" s="308">
        <f t="shared" si="17"/>
        <v>83</v>
      </c>
      <c r="F6" s="308">
        <f t="shared" si="18"/>
        <v>99</v>
      </c>
      <c r="G6" s="308">
        <f t="shared" si="19"/>
        <v>65</v>
      </c>
      <c r="H6" s="308">
        <f t="shared" si="20"/>
        <v>90</v>
      </c>
      <c r="I6" s="314" t="str">
        <f t="shared" si="21"/>
        <v>83 - 99</v>
      </c>
      <c r="J6" s="310" t="str">
        <f t="shared" si="22"/>
        <v>65 - 90</v>
      </c>
      <c r="K6" s="311">
        <f t="shared" si="23"/>
        <v>-14.871794871794862</v>
      </c>
      <c r="L6" s="320">
        <f t="shared" si="24"/>
        <v>-0.36134255778404345</v>
      </c>
      <c r="M6" s="320">
        <f t="shared" si="25"/>
        <v>6.3906660348146183E-2</v>
      </c>
      <c r="N6" s="313">
        <f t="shared" si="26"/>
        <v>0</v>
      </c>
      <c r="O6" s="306" t="str">
        <f t="shared" si="27"/>
        <v>GCH*</v>
      </c>
      <c r="P6" s="306" t="s">
        <v>70</v>
      </c>
      <c r="Q6" s="425">
        <v>37</v>
      </c>
      <c r="R6" s="425">
        <v>39</v>
      </c>
      <c r="S6" s="425">
        <v>32</v>
      </c>
      <c r="T6" s="425">
        <v>40</v>
      </c>
    </row>
    <row r="7" spans="1:20" ht="12">
      <c r="A7" s="306" t="str">
        <f t="shared" si="0"/>
        <v>Borders</v>
      </c>
      <c r="B7" s="307">
        <f t="shared" si="15"/>
        <v>85.436893203883486</v>
      </c>
      <c r="C7" s="307">
        <f t="shared" si="16"/>
        <v>78.995433789954333</v>
      </c>
      <c r="D7" s="308" t="s">
        <v>268</v>
      </c>
      <c r="E7" s="308">
        <f t="shared" si="17"/>
        <v>80</v>
      </c>
      <c r="F7" s="308">
        <f t="shared" si="18"/>
        <v>90</v>
      </c>
      <c r="G7" s="308">
        <f t="shared" si="19"/>
        <v>73</v>
      </c>
      <c r="H7" s="308">
        <f t="shared" si="20"/>
        <v>84</v>
      </c>
      <c r="I7" s="314" t="str">
        <f t="shared" si="21"/>
        <v>80 - 90</v>
      </c>
      <c r="J7" s="310" t="str">
        <f t="shared" si="22"/>
        <v>73 - 84</v>
      </c>
      <c r="K7" s="311">
        <f t="shared" si="23"/>
        <v>-6.4414594139291523</v>
      </c>
      <c r="L7" s="320">
        <f t="shared" si="24"/>
        <v>-0.17272499228047841</v>
      </c>
      <c r="M7" s="320">
        <f t="shared" si="25"/>
        <v>4.3895804001895383E-2</v>
      </c>
      <c r="N7" s="313">
        <f t="shared" si="26"/>
        <v>0</v>
      </c>
      <c r="O7" s="306" t="str">
        <f t="shared" si="27"/>
        <v>Borders</v>
      </c>
      <c r="P7" s="306" t="s">
        <v>65</v>
      </c>
      <c r="Q7" s="425">
        <v>176</v>
      </c>
      <c r="R7" s="425">
        <v>206</v>
      </c>
      <c r="S7" s="425">
        <v>173</v>
      </c>
      <c r="T7" s="425">
        <v>219</v>
      </c>
    </row>
    <row r="8" spans="1:20" ht="12">
      <c r="A8" s="306" t="str">
        <f t="shared" si="0"/>
        <v>Gilbert Bain*</v>
      </c>
      <c r="B8" s="307">
        <f t="shared" si="15"/>
        <v>68.571428571428569</v>
      </c>
      <c r="C8" s="307">
        <f t="shared" si="16"/>
        <v>77.142857142857153</v>
      </c>
      <c r="D8" s="308" t="s">
        <v>268</v>
      </c>
      <c r="E8" s="308">
        <f t="shared" si="17"/>
        <v>52</v>
      </c>
      <c r="F8" s="308">
        <f t="shared" si="18"/>
        <v>81</v>
      </c>
      <c r="G8" s="308">
        <f t="shared" si="19"/>
        <v>61</v>
      </c>
      <c r="H8" s="308">
        <f t="shared" si="20"/>
        <v>88</v>
      </c>
      <c r="I8" s="314" t="str">
        <f t="shared" si="21"/>
        <v>52 - 81</v>
      </c>
      <c r="J8" s="310" t="str">
        <f t="shared" si="22"/>
        <v>61 - 88</v>
      </c>
      <c r="K8" s="311">
        <f t="shared" si="23"/>
        <v>8.5714285714285836</v>
      </c>
      <c r="L8" s="320">
        <f t="shared" si="24"/>
        <v>-0.22485333315639938</v>
      </c>
      <c r="M8" s="320">
        <f t="shared" si="25"/>
        <v>0.39628190458497087</v>
      </c>
      <c r="N8" s="313">
        <f t="shared" si="26"/>
        <v>0</v>
      </c>
      <c r="O8" s="306" t="str">
        <f t="shared" si="27"/>
        <v>Gilbert Bain*</v>
      </c>
      <c r="P8" s="306" t="s">
        <v>123</v>
      </c>
      <c r="Q8" s="425">
        <v>24</v>
      </c>
      <c r="R8" s="425">
        <v>35</v>
      </c>
      <c r="S8" s="425">
        <v>27</v>
      </c>
      <c r="T8" s="425">
        <v>35</v>
      </c>
    </row>
    <row r="9" spans="1:20" ht="12">
      <c r="A9" s="306" t="str">
        <f t="shared" si="0"/>
        <v>L&amp;I</v>
      </c>
      <c r="B9" s="307">
        <f t="shared" si="15"/>
        <v>73.80952380952381</v>
      </c>
      <c r="C9" s="307">
        <f t="shared" si="16"/>
        <v>75.555555555555557</v>
      </c>
      <c r="D9" s="308" t="s">
        <v>268</v>
      </c>
      <c r="E9" s="308">
        <f t="shared" si="17"/>
        <v>59</v>
      </c>
      <c r="F9" s="308">
        <f t="shared" si="18"/>
        <v>85</v>
      </c>
      <c r="G9" s="308">
        <f t="shared" si="19"/>
        <v>61</v>
      </c>
      <c r="H9" s="308">
        <f t="shared" si="20"/>
        <v>86</v>
      </c>
      <c r="I9" s="314" t="str">
        <f t="shared" si="21"/>
        <v>59 - 85</v>
      </c>
      <c r="J9" s="310" t="str">
        <f t="shared" si="22"/>
        <v>61 - 86</v>
      </c>
      <c r="K9" s="311">
        <f t="shared" si="23"/>
        <v>1.7460317460317469</v>
      </c>
      <c r="L9" s="320">
        <f t="shared" si="24"/>
        <v>-0.25642520545020492</v>
      </c>
      <c r="M9" s="320">
        <f t="shared" si="25"/>
        <v>0.29134584037083971</v>
      </c>
      <c r="N9" s="313">
        <f t="shared" si="26"/>
        <v>0</v>
      </c>
      <c r="O9" s="306" t="str">
        <f t="shared" si="27"/>
        <v>L&amp;I</v>
      </c>
      <c r="P9" s="306" t="s">
        <v>97</v>
      </c>
      <c r="Q9" s="425">
        <v>31</v>
      </c>
      <c r="R9" s="425">
        <v>42</v>
      </c>
      <c r="S9" s="425">
        <v>34</v>
      </c>
      <c r="T9" s="425">
        <v>45</v>
      </c>
    </row>
    <row r="10" spans="1:20" ht="12">
      <c r="A10" s="306" t="str">
        <f t="shared" si="0"/>
        <v>Belford*</v>
      </c>
      <c r="B10" s="307">
        <f t="shared" si="15"/>
        <v>83.333333333333343</v>
      </c>
      <c r="C10" s="307">
        <f t="shared" si="16"/>
        <v>75</v>
      </c>
      <c r="D10" s="308" t="s">
        <v>268</v>
      </c>
      <c r="E10" s="308">
        <f t="shared" si="17"/>
        <v>66</v>
      </c>
      <c r="F10" s="308">
        <f t="shared" si="18"/>
        <v>93</v>
      </c>
      <c r="G10" s="308">
        <f t="shared" si="19"/>
        <v>57</v>
      </c>
      <c r="H10" s="308">
        <f t="shared" si="20"/>
        <v>87</v>
      </c>
      <c r="I10" s="314" t="str">
        <f t="shared" si="21"/>
        <v>66 - 93</v>
      </c>
      <c r="J10" s="310" t="str">
        <f t="shared" si="22"/>
        <v>57 - 87</v>
      </c>
      <c r="K10" s="311">
        <f t="shared" si="23"/>
        <v>-8.3333333333333428</v>
      </c>
      <c r="L10" s="320">
        <f t="shared" si="24"/>
        <v>-0.39570886956837692</v>
      </c>
      <c r="M10" s="320">
        <f t="shared" si="25"/>
        <v>0.22904220290171018</v>
      </c>
      <c r="N10" s="313">
        <f t="shared" si="26"/>
        <v>0</v>
      </c>
      <c r="O10" s="306" t="str">
        <f t="shared" si="27"/>
        <v>Belford*</v>
      </c>
      <c r="P10" s="306" t="s">
        <v>91</v>
      </c>
      <c r="Q10" s="425">
        <v>25</v>
      </c>
      <c r="R10" s="425">
        <v>30</v>
      </c>
      <c r="S10" s="425">
        <v>21</v>
      </c>
      <c r="T10" s="425">
        <v>28</v>
      </c>
    </row>
    <row r="11" spans="1:20" ht="12">
      <c r="A11" s="306" t="str">
        <f t="shared" si="0"/>
        <v>VHK</v>
      </c>
      <c r="B11" s="307">
        <f t="shared" si="15"/>
        <v>70.588235294117652</v>
      </c>
      <c r="C11" s="307">
        <f t="shared" si="16"/>
        <v>73.65930599369085</v>
      </c>
      <c r="D11" s="308" t="s">
        <v>268</v>
      </c>
      <c r="E11" s="308">
        <f t="shared" si="17"/>
        <v>67</v>
      </c>
      <c r="F11" s="308">
        <f t="shared" si="18"/>
        <v>74</v>
      </c>
      <c r="G11" s="308">
        <f t="shared" si="19"/>
        <v>70</v>
      </c>
      <c r="H11" s="308">
        <f t="shared" si="20"/>
        <v>77</v>
      </c>
      <c r="I11" s="314" t="str">
        <f t="shared" si="21"/>
        <v>67 - 74</v>
      </c>
      <c r="J11" s="310" t="str">
        <f t="shared" si="22"/>
        <v>70 - 77</v>
      </c>
      <c r="K11" s="311">
        <f t="shared" si="23"/>
        <v>3.0710706995731982</v>
      </c>
      <c r="L11" s="320">
        <f t="shared" si="24"/>
        <v>-4.3317945320050871E-2</v>
      </c>
      <c r="M11" s="320">
        <f t="shared" si="25"/>
        <v>0.10473935931151482</v>
      </c>
      <c r="N11" s="313">
        <f t="shared" si="26"/>
        <v>0</v>
      </c>
      <c r="O11" s="306" t="str">
        <f t="shared" si="27"/>
        <v>VHK</v>
      </c>
      <c r="P11" s="306" t="s">
        <v>287</v>
      </c>
      <c r="Q11" s="425">
        <v>444</v>
      </c>
      <c r="R11" s="425">
        <v>629</v>
      </c>
      <c r="S11" s="425">
        <v>467</v>
      </c>
      <c r="T11" s="425">
        <v>634</v>
      </c>
    </row>
    <row r="12" spans="1:20" ht="12">
      <c r="A12" s="306" t="str">
        <f t="shared" si="0"/>
        <v>Hairmyres</v>
      </c>
      <c r="B12" s="307">
        <f t="shared" si="15"/>
        <v>73.591549295774655</v>
      </c>
      <c r="C12" s="307">
        <f t="shared" si="16"/>
        <v>71.428571428571431</v>
      </c>
      <c r="D12" s="308" t="s">
        <v>268</v>
      </c>
      <c r="E12" s="308">
        <f t="shared" si="17"/>
        <v>68</v>
      </c>
      <c r="F12" s="308">
        <f t="shared" si="18"/>
        <v>78</v>
      </c>
      <c r="G12" s="308">
        <f t="shared" si="19"/>
        <v>66</v>
      </c>
      <c r="H12" s="308">
        <f t="shared" si="20"/>
        <v>76</v>
      </c>
      <c r="I12" s="314" t="str">
        <f t="shared" si="21"/>
        <v>68 - 78</v>
      </c>
      <c r="J12" s="310" t="str">
        <f t="shared" si="22"/>
        <v>66 - 76</v>
      </c>
      <c r="K12" s="311">
        <f t="shared" si="23"/>
        <v>-2.1629778672032245</v>
      </c>
      <c r="L12" s="320">
        <f t="shared" si="24"/>
        <v>-0.12996693363853026</v>
      </c>
      <c r="M12" s="320">
        <f t="shared" si="25"/>
        <v>8.6707376294465871E-2</v>
      </c>
      <c r="N12" s="313">
        <f t="shared" si="26"/>
        <v>0</v>
      </c>
      <c r="O12" s="306" t="str">
        <f t="shared" si="27"/>
        <v>Hairmyres</v>
      </c>
      <c r="P12" s="306" t="s">
        <v>103</v>
      </c>
      <c r="Q12" s="425">
        <v>209</v>
      </c>
      <c r="R12" s="425">
        <v>284</v>
      </c>
      <c r="S12" s="425">
        <v>215</v>
      </c>
      <c r="T12" s="425">
        <v>301</v>
      </c>
    </row>
    <row r="13" spans="1:20" ht="12">
      <c r="A13" s="306" t="str">
        <f t="shared" si="0"/>
        <v>Wishaw</v>
      </c>
      <c r="B13" s="307">
        <f t="shared" si="15"/>
        <v>81.395348837209298</v>
      </c>
      <c r="C13" s="307">
        <f t="shared" si="16"/>
        <v>70.909090909090907</v>
      </c>
      <c r="D13" s="308" t="s">
        <v>268</v>
      </c>
      <c r="E13" s="308">
        <f t="shared" si="17"/>
        <v>77</v>
      </c>
      <c r="F13" s="308">
        <f t="shared" si="18"/>
        <v>85</v>
      </c>
      <c r="G13" s="308">
        <f t="shared" si="19"/>
        <v>66</v>
      </c>
      <c r="H13" s="308">
        <f t="shared" si="20"/>
        <v>76</v>
      </c>
      <c r="I13" s="314" t="str">
        <f t="shared" si="21"/>
        <v>77 - 85</v>
      </c>
      <c r="J13" s="310" t="str">
        <f t="shared" si="22"/>
        <v>66 - 76</v>
      </c>
      <c r="K13" s="311">
        <f t="shared" si="23"/>
        <v>-10.486257928118391</v>
      </c>
      <c r="L13" s="320">
        <f t="shared" si="24"/>
        <v>-0.20066466287637458</v>
      </c>
      <c r="M13" s="320">
        <f t="shared" si="25"/>
        <v>-9.0604956859932501E-3</v>
      </c>
      <c r="N13" s="313">
        <f t="shared" si="26"/>
        <v>-1</v>
      </c>
      <c r="O13" s="306" t="str">
        <f t="shared" si="27"/>
        <v>Wishaw</v>
      </c>
      <c r="P13" s="306" t="s">
        <v>109</v>
      </c>
      <c r="Q13" s="425">
        <v>280</v>
      </c>
      <c r="R13" s="425">
        <v>344</v>
      </c>
      <c r="S13" s="425">
        <v>234</v>
      </c>
      <c r="T13" s="425">
        <v>330</v>
      </c>
    </row>
    <row r="14" spans="1:20" ht="12">
      <c r="A14" s="306" t="str">
        <f t="shared" si="0"/>
        <v>IRH</v>
      </c>
      <c r="B14" s="307">
        <f t="shared" si="15"/>
        <v>56.521739130434781</v>
      </c>
      <c r="C14" s="307">
        <f t="shared" si="16"/>
        <v>70.142180094786738</v>
      </c>
      <c r="D14" s="308" t="s">
        <v>268</v>
      </c>
      <c r="E14" s="308">
        <f t="shared" si="17"/>
        <v>50</v>
      </c>
      <c r="F14" s="308">
        <f t="shared" si="18"/>
        <v>63</v>
      </c>
      <c r="G14" s="308">
        <f t="shared" si="19"/>
        <v>64</v>
      </c>
      <c r="H14" s="308">
        <f t="shared" si="20"/>
        <v>76</v>
      </c>
      <c r="I14" s="314" t="str">
        <f t="shared" si="21"/>
        <v>50 - 63</v>
      </c>
      <c r="J14" s="310" t="str">
        <f t="shared" si="22"/>
        <v>64 - 76</v>
      </c>
      <c r="K14" s="311">
        <f t="shared" si="23"/>
        <v>13.620440964351957</v>
      </c>
      <c r="L14" s="320">
        <f t="shared" si="24"/>
        <v>-8.3319197045098048E-4</v>
      </c>
      <c r="M14" s="320">
        <f t="shared" si="25"/>
        <v>0.27324201125749004</v>
      </c>
      <c r="N14" s="313">
        <f t="shared" si="26"/>
        <v>0</v>
      </c>
      <c r="O14" s="306" t="str">
        <f t="shared" si="27"/>
        <v>IRH</v>
      </c>
      <c r="P14" s="306" t="s">
        <v>84</v>
      </c>
      <c r="Q14" s="425">
        <v>117</v>
      </c>
      <c r="R14" s="425">
        <v>207</v>
      </c>
      <c r="S14" s="425">
        <v>148</v>
      </c>
      <c r="T14" s="425">
        <v>211</v>
      </c>
    </row>
    <row r="15" spans="1:20" ht="12">
      <c r="A15" s="306" t="str">
        <f t="shared" si="0"/>
        <v>Dr Grays</v>
      </c>
      <c r="B15" s="307">
        <f t="shared" si="15"/>
        <v>64.81481481481481</v>
      </c>
      <c r="C15" s="307">
        <f t="shared" si="16"/>
        <v>70</v>
      </c>
      <c r="D15" s="308" t="s">
        <v>268</v>
      </c>
      <c r="E15" s="308">
        <f t="shared" si="17"/>
        <v>55</v>
      </c>
      <c r="F15" s="308">
        <f t="shared" si="18"/>
        <v>73</v>
      </c>
      <c r="G15" s="308">
        <f t="shared" si="19"/>
        <v>62</v>
      </c>
      <c r="H15" s="308">
        <f t="shared" si="20"/>
        <v>77</v>
      </c>
      <c r="I15" s="314" t="str">
        <f t="shared" si="21"/>
        <v>55 - 73</v>
      </c>
      <c r="J15" s="310" t="str">
        <f t="shared" si="22"/>
        <v>62 - 77</v>
      </c>
      <c r="K15" s="311">
        <f t="shared" si="23"/>
        <v>5.1851851851851904</v>
      </c>
      <c r="L15" s="320">
        <f t="shared" si="24"/>
        <v>-0.12733909185456663</v>
      </c>
      <c r="M15" s="320">
        <f t="shared" si="25"/>
        <v>0.23104279555827026</v>
      </c>
      <c r="N15" s="313">
        <f t="shared" si="26"/>
        <v>0</v>
      </c>
      <c r="O15" s="306" t="str">
        <f t="shared" si="27"/>
        <v>Dr Grays</v>
      </c>
      <c r="P15" s="306" t="s">
        <v>79</v>
      </c>
      <c r="Q15" s="425">
        <v>70</v>
      </c>
      <c r="R15" s="425">
        <v>108</v>
      </c>
      <c r="S15" s="425">
        <v>91</v>
      </c>
      <c r="T15" s="425">
        <v>130</v>
      </c>
    </row>
    <row r="16" spans="1:20" ht="12">
      <c r="A16" s="306" t="str">
        <f t="shared" si="0"/>
        <v>DGRI</v>
      </c>
      <c r="B16" s="307">
        <f t="shared" si="15"/>
        <v>67.460317460317469</v>
      </c>
      <c r="C16" s="307">
        <f t="shared" si="16"/>
        <v>69.958847736625515</v>
      </c>
      <c r="D16" s="308" t="s">
        <v>268</v>
      </c>
      <c r="E16" s="308">
        <f t="shared" si="17"/>
        <v>61</v>
      </c>
      <c r="F16" s="308">
        <f t="shared" si="18"/>
        <v>73</v>
      </c>
      <c r="G16" s="308">
        <f t="shared" si="19"/>
        <v>64</v>
      </c>
      <c r="H16" s="308">
        <f t="shared" si="20"/>
        <v>75</v>
      </c>
      <c r="I16" s="314" t="str">
        <f t="shared" si="21"/>
        <v>61 - 73</v>
      </c>
      <c r="J16" s="310" t="str">
        <f t="shared" si="22"/>
        <v>64 - 75</v>
      </c>
      <c r="K16" s="311">
        <f t="shared" si="23"/>
        <v>2.4985302763080455</v>
      </c>
      <c r="L16" s="320">
        <f t="shared" si="24"/>
        <v>-9.73093691651222E-2</v>
      </c>
      <c r="M16" s="320">
        <f t="shared" si="25"/>
        <v>0.14727997469128326</v>
      </c>
      <c r="N16" s="313">
        <f t="shared" si="26"/>
        <v>0</v>
      </c>
      <c r="O16" s="306" t="str">
        <f t="shared" si="27"/>
        <v>DGRI</v>
      </c>
      <c r="P16" s="306" t="s">
        <v>67</v>
      </c>
      <c r="Q16" s="425">
        <v>170</v>
      </c>
      <c r="R16" s="425">
        <v>252</v>
      </c>
      <c r="S16" s="425">
        <v>170</v>
      </c>
      <c r="T16" s="425">
        <v>243</v>
      </c>
    </row>
    <row r="17" spans="1:20" ht="12">
      <c r="A17" s="306" t="str">
        <f t="shared" si="0"/>
        <v>Crosshouse</v>
      </c>
      <c r="B17" s="307">
        <f t="shared" si="15"/>
        <v>67.164179104477611</v>
      </c>
      <c r="C17" s="307">
        <f t="shared" si="16"/>
        <v>68.814432989690715</v>
      </c>
      <c r="D17" s="308" t="s">
        <v>268</v>
      </c>
      <c r="E17" s="308">
        <f t="shared" si="17"/>
        <v>62</v>
      </c>
      <c r="F17" s="308">
        <f t="shared" si="18"/>
        <v>72</v>
      </c>
      <c r="G17" s="308">
        <f t="shared" si="19"/>
        <v>64</v>
      </c>
      <c r="H17" s="308">
        <f t="shared" si="20"/>
        <v>73</v>
      </c>
      <c r="I17" s="314" t="str">
        <f t="shared" si="21"/>
        <v>62 - 72</v>
      </c>
      <c r="J17" s="310" t="str">
        <f t="shared" si="22"/>
        <v>64 - 73</v>
      </c>
      <c r="K17" s="311">
        <f t="shared" si="23"/>
        <v>1.6502538852131039</v>
      </c>
      <c r="L17" s="320">
        <f t="shared" si="24"/>
        <v>-8.5658547180161942E-2</v>
      </c>
      <c r="M17" s="320">
        <f t="shared" si="25"/>
        <v>0.11866362488442403</v>
      </c>
      <c r="N17" s="313">
        <f t="shared" si="26"/>
        <v>0</v>
      </c>
      <c r="O17" s="306" t="str">
        <f t="shared" si="27"/>
        <v>Crosshouse</v>
      </c>
      <c r="P17" s="306" t="s">
        <v>62</v>
      </c>
      <c r="Q17" s="425">
        <v>225</v>
      </c>
      <c r="R17" s="425">
        <v>335</v>
      </c>
      <c r="S17" s="425">
        <v>267</v>
      </c>
      <c r="T17" s="425">
        <v>388</v>
      </c>
    </row>
    <row r="18" spans="1:20" ht="12">
      <c r="A18" s="306" t="str">
        <f t="shared" si="0"/>
        <v>QEUHG</v>
      </c>
      <c r="B18" s="307">
        <f t="shared" si="15"/>
        <v>61.73986486486487</v>
      </c>
      <c r="C18" s="307">
        <f t="shared" si="16"/>
        <v>68.328958880139979</v>
      </c>
      <c r="D18" s="308" t="s">
        <v>268</v>
      </c>
      <c r="E18" s="308">
        <f t="shared" si="17"/>
        <v>59</v>
      </c>
      <c r="F18" s="308">
        <f t="shared" si="18"/>
        <v>64</v>
      </c>
      <c r="G18" s="308">
        <f t="shared" si="19"/>
        <v>66</v>
      </c>
      <c r="H18" s="308">
        <f t="shared" si="20"/>
        <v>71</v>
      </c>
      <c r="I18" s="314" t="str">
        <f t="shared" si="21"/>
        <v>59 - 64</v>
      </c>
      <c r="J18" s="310" t="str">
        <f t="shared" si="22"/>
        <v>66 - 71</v>
      </c>
      <c r="K18" s="311">
        <f t="shared" si="23"/>
        <v>6.5890940152751085</v>
      </c>
      <c r="L18" s="320">
        <f t="shared" si="24"/>
        <v>8.0117600219880708E-3</v>
      </c>
      <c r="M18" s="320">
        <f t="shared" si="25"/>
        <v>0.12377012028351413</v>
      </c>
      <c r="N18" s="313">
        <f t="shared" si="26"/>
        <v>1</v>
      </c>
      <c r="O18" s="306" t="str">
        <f t="shared" si="27"/>
        <v>QEUHG</v>
      </c>
      <c r="P18" s="306" t="s">
        <v>503</v>
      </c>
      <c r="Q18" s="425">
        <v>731</v>
      </c>
      <c r="R18" s="425">
        <v>1184</v>
      </c>
      <c r="S18" s="425">
        <v>781</v>
      </c>
      <c r="T18" s="425">
        <v>1143</v>
      </c>
    </row>
    <row r="19" spans="1:20" ht="12">
      <c r="A19" s="306" t="str">
        <f t="shared" si="0"/>
        <v>FVRH</v>
      </c>
      <c r="B19" s="307">
        <f t="shared" si="15"/>
        <v>67.786561264822126</v>
      </c>
      <c r="C19" s="307">
        <f t="shared" si="16"/>
        <v>67.095588235294116</v>
      </c>
      <c r="D19" s="308" t="s">
        <v>268</v>
      </c>
      <c r="E19" s="308">
        <f t="shared" si="17"/>
        <v>64</v>
      </c>
      <c r="F19" s="308">
        <f t="shared" si="18"/>
        <v>72</v>
      </c>
      <c r="G19" s="308">
        <f t="shared" si="19"/>
        <v>63</v>
      </c>
      <c r="H19" s="308">
        <f t="shared" si="20"/>
        <v>71</v>
      </c>
      <c r="I19" s="314" t="str">
        <f t="shared" si="21"/>
        <v>64 - 72</v>
      </c>
      <c r="J19" s="310" t="str">
        <f t="shared" si="22"/>
        <v>63 - 71</v>
      </c>
      <c r="K19" s="311">
        <f t="shared" si="23"/>
        <v>-0.69097302952800987</v>
      </c>
      <c r="L19" s="320">
        <f t="shared" si="24"/>
        <v>-9.1847311921199423E-2</v>
      </c>
      <c r="M19" s="320">
        <f t="shared" si="25"/>
        <v>7.8027851330639039E-2</v>
      </c>
      <c r="N19" s="313">
        <f t="shared" si="26"/>
        <v>0</v>
      </c>
      <c r="O19" s="306" t="str">
        <f t="shared" si="27"/>
        <v>FVRH</v>
      </c>
      <c r="P19" s="306" t="s">
        <v>75</v>
      </c>
      <c r="Q19" s="425">
        <v>343</v>
      </c>
      <c r="R19" s="425">
        <v>506</v>
      </c>
      <c r="S19" s="425">
        <v>365</v>
      </c>
      <c r="T19" s="425">
        <v>544</v>
      </c>
    </row>
    <row r="20" spans="1:20" ht="12">
      <c r="A20" s="306" t="str">
        <f t="shared" si="0"/>
        <v>Monklands</v>
      </c>
      <c r="B20" s="307">
        <f t="shared" si="15"/>
        <v>72.63513513513513</v>
      </c>
      <c r="C20" s="307">
        <f t="shared" si="16"/>
        <v>64.197530864197532</v>
      </c>
      <c r="D20" s="308" t="s">
        <v>268</v>
      </c>
      <c r="E20" s="308">
        <f t="shared" si="17"/>
        <v>67</v>
      </c>
      <c r="F20" s="308">
        <f t="shared" si="18"/>
        <v>77</v>
      </c>
      <c r="G20" s="308">
        <f t="shared" si="19"/>
        <v>59</v>
      </c>
      <c r="H20" s="308">
        <f t="shared" si="20"/>
        <v>69</v>
      </c>
      <c r="I20" s="314" t="str">
        <f t="shared" si="21"/>
        <v>67 - 77</v>
      </c>
      <c r="J20" s="310" t="str">
        <f t="shared" si="22"/>
        <v>59 - 69</v>
      </c>
      <c r="K20" s="311">
        <f t="shared" si="23"/>
        <v>-8.437604270937598</v>
      </c>
      <c r="L20" s="320">
        <f t="shared" si="24"/>
        <v>-0.19344924026246851</v>
      </c>
      <c r="M20" s="320">
        <f t="shared" si="25"/>
        <v>2.4697154843716415E-2</v>
      </c>
      <c r="N20" s="313">
        <f t="shared" si="26"/>
        <v>0</v>
      </c>
      <c r="O20" s="306" t="str">
        <f t="shared" si="27"/>
        <v>Monklands</v>
      </c>
      <c r="P20" s="306" t="s">
        <v>106</v>
      </c>
      <c r="Q20" s="425">
        <v>215</v>
      </c>
      <c r="R20" s="425">
        <v>296</v>
      </c>
      <c r="S20" s="425">
        <v>208</v>
      </c>
      <c r="T20" s="425">
        <v>324</v>
      </c>
    </row>
    <row r="21" spans="1:20" ht="12">
      <c r="A21" s="306" t="str">
        <f t="shared" si="0"/>
        <v>ARI</v>
      </c>
      <c r="B21" s="307">
        <f t="shared" si="15"/>
        <v>60.679611650485434</v>
      </c>
      <c r="C21" s="307">
        <f t="shared" si="16"/>
        <v>63.203463203463208</v>
      </c>
      <c r="D21" s="308" t="s">
        <v>268</v>
      </c>
      <c r="E21" s="308">
        <f t="shared" si="17"/>
        <v>57</v>
      </c>
      <c r="F21" s="308">
        <f t="shared" si="18"/>
        <v>64</v>
      </c>
      <c r="G21" s="308">
        <f t="shared" si="19"/>
        <v>60</v>
      </c>
      <c r="H21" s="308">
        <f t="shared" si="20"/>
        <v>67</v>
      </c>
      <c r="I21" s="314" t="str">
        <f t="shared" si="21"/>
        <v>57 - 64</v>
      </c>
      <c r="J21" s="310" t="str">
        <f t="shared" si="22"/>
        <v>60 - 67</v>
      </c>
      <c r="K21" s="311">
        <f t="shared" si="23"/>
        <v>2.5238515529777743</v>
      </c>
      <c r="L21" s="320">
        <f t="shared" si="24"/>
        <v>-5.3612420788175838E-2</v>
      </c>
      <c r="M21" s="320">
        <f t="shared" si="25"/>
        <v>0.10408945184773132</v>
      </c>
      <c r="N21" s="313">
        <f t="shared" si="26"/>
        <v>0</v>
      </c>
      <c r="O21" s="306" t="str">
        <f t="shared" si="27"/>
        <v>ARI</v>
      </c>
      <c r="P21" s="306" t="s">
        <v>77</v>
      </c>
      <c r="Q21" s="425">
        <v>375</v>
      </c>
      <c r="R21" s="425">
        <v>618</v>
      </c>
      <c r="S21" s="425">
        <v>438</v>
      </c>
      <c r="T21" s="425">
        <v>693</v>
      </c>
    </row>
    <row r="22" spans="1:20" ht="12">
      <c r="A22" s="306" t="str">
        <f t="shared" si="0"/>
        <v>Ninewells</v>
      </c>
      <c r="B22" s="307">
        <f t="shared" si="15"/>
        <v>62.015503875968989</v>
      </c>
      <c r="C22" s="307">
        <f t="shared" si="16"/>
        <v>62.305986696230597</v>
      </c>
      <c r="D22" s="308" t="s">
        <v>268</v>
      </c>
      <c r="E22" s="308">
        <f t="shared" si="17"/>
        <v>57</v>
      </c>
      <c r="F22" s="308">
        <f t="shared" si="18"/>
        <v>67</v>
      </c>
      <c r="G22" s="308">
        <f t="shared" si="19"/>
        <v>58</v>
      </c>
      <c r="H22" s="308">
        <f t="shared" si="20"/>
        <v>67</v>
      </c>
      <c r="I22" s="314" t="str">
        <f t="shared" si="21"/>
        <v>57 - 67</v>
      </c>
      <c r="J22" s="310" t="str">
        <f t="shared" si="22"/>
        <v>58 - 67</v>
      </c>
      <c r="K22" s="311">
        <f t="shared" si="23"/>
        <v>0.29048282026160877</v>
      </c>
      <c r="L22" s="320">
        <f t="shared" si="24"/>
        <v>-9.5738615916419981E-2</v>
      </c>
      <c r="M22" s="320">
        <f t="shared" si="25"/>
        <v>0.1015482723216521</v>
      </c>
      <c r="N22" s="313">
        <f t="shared" si="26"/>
        <v>0</v>
      </c>
      <c r="O22" s="306" t="str">
        <f t="shared" si="27"/>
        <v>Ninewells</v>
      </c>
      <c r="P22" s="306" t="s">
        <v>126</v>
      </c>
      <c r="Q22" s="425">
        <v>240</v>
      </c>
      <c r="R22" s="425">
        <v>387</v>
      </c>
      <c r="S22" s="425">
        <v>281</v>
      </c>
      <c r="T22" s="425">
        <v>451</v>
      </c>
    </row>
    <row r="23" spans="1:20" ht="12">
      <c r="A23" s="306" t="str">
        <f t="shared" si="0"/>
        <v>GRI</v>
      </c>
      <c r="B23" s="307">
        <f t="shared" si="15"/>
        <v>53.048780487804883</v>
      </c>
      <c r="C23" s="307">
        <f t="shared" si="16"/>
        <v>60.943396226415089</v>
      </c>
      <c r="D23" s="308" t="s">
        <v>268</v>
      </c>
      <c r="E23" s="308">
        <f t="shared" si="17"/>
        <v>49</v>
      </c>
      <c r="F23" s="308">
        <f t="shared" si="18"/>
        <v>57</v>
      </c>
      <c r="G23" s="308">
        <f t="shared" si="19"/>
        <v>57</v>
      </c>
      <c r="H23" s="308">
        <f t="shared" si="20"/>
        <v>65</v>
      </c>
      <c r="I23" s="314" t="str">
        <f t="shared" si="21"/>
        <v>49 - 57</v>
      </c>
      <c r="J23" s="310" t="str">
        <f t="shared" si="22"/>
        <v>57 - 65</v>
      </c>
      <c r="K23" s="311">
        <f t="shared" si="23"/>
        <v>7.8946157386102058</v>
      </c>
      <c r="L23" s="320">
        <f t="shared" si="24"/>
        <v>-1.1776823277076548E-2</v>
      </c>
      <c r="M23" s="320">
        <f t="shared" si="25"/>
        <v>0.16966913804928077</v>
      </c>
      <c r="N23" s="313">
        <f t="shared" si="26"/>
        <v>0</v>
      </c>
      <c r="O23" s="306" t="str">
        <f t="shared" si="27"/>
        <v>GRI</v>
      </c>
      <c r="P23" s="306" t="s">
        <v>82</v>
      </c>
      <c r="Q23" s="425">
        <v>261</v>
      </c>
      <c r="R23" s="425">
        <v>492</v>
      </c>
      <c r="S23" s="425">
        <v>323</v>
      </c>
      <c r="T23" s="425">
        <v>530</v>
      </c>
    </row>
    <row r="24" spans="1:20" ht="12">
      <c r="A24" s="306" t="str">
        <f t="shared" si="0"/>
        <v>SJH</v>
      </c>
      <c r="B24" s="307">
        <f t="shared" si="15"/>
        <v>52.991452991452995</v>
      </c>
      <c r="C24" s="307">
        <f t="shared" si="16"/>
        <v>59.839357429718874</v>
      </c>
      <c r="D24" s="308" t="s">
        <v>268</v>
      </c>
      <c r="E24" s="308">
        <f t="shared" si="17"/>
        <v>47</v>
      </c>
      <c r="F24" s="308">
        <f t="shared" si="18"/>
        <v>59</v>
      </c>
      <c r="G24" s="308">
        <f t="shared" si="19"/>
        <v>54</v>
      </c>
      <c r="H24" s="308">
        <f t="shared" si="20"/>
        <v>66</v>
      </c>
      <c r="I24" s="314" t="str">
        <f t="shared" si="21"/>
        <v>47 - 59</v>
      </c>
      <c r="J24" s="310" t="str">
        <f t="shared" si="22"/>
        <v>54 - 66</v>
      </c>
      <c r="K24" s="311">
        <f t="shared" si="23"/>
        <v>6.8479044382658785</v>
      </c>
      <c r="L24" s="320">
        <f t="shared" si="24"/>
        <v>-6.3757707190656543E-2</v>
      </c>
      <c r="M24" s="320">
        <f t="shared" si="25"/>
        <v>0.20071579595597422</v>
      </c>
      <c r="N24" s="313">
        <f t="shared" si="26"/>
        <v>0</v>
      </c>
      <c r="O24" s="306" t="str">
        <f t="shared" si="27"/>
        <v>SJH</v>
      </c>
      <c r="P24" s="306" t="s">
        <v>114</v>
      </c>
      <c r="Q24" s="425">
        <v>124</v>
      </c>
      <c r="R24" s="425">
        <v>234</v>
      </c>
      <c r="S24" s="425">
        <v>149</v>
      </c>
      <c r="T24" s="425">
        <v>249</v>
      </c>
    </row>
    <row r="25" spans="1:20" ht="12">
      <c r="A25" s="306" t="str">
        <f t="shared" si="0"/>
        <v>Ayr</v>
      </c>
      <c r="B25" s="307">
        <f t="shared" si="15"/>
        <v>57.666666666666664</v>
      </c>
      <c r="C25" s="307">
        <f t="shared" si="16"/>
        <v>58.778625954198475</v>
      </c>
      <c r="D25" s="308" t="s">
        <v>268</v>
      </c>
      <c r="E25" s="308">
        <f t="shared" si="17"/>
        <v>52</v>
      </c>
      <c r="F25" s="308">
        <f t="shared" si="18"/>
        <v>63</v>
      </c>
      <c r="G25" s="308">
        <f t="shared" si="19"/>
        <v>53</v>
      </c>
      <c r="H25" s="308">
        <f t="shared" si="20"/>
        <v>65</v>
      </c>
      <c r="I25" s="314" t="str">
        <f t="shared" si="21"/>
        <v>52 - 63</v>
      </c>
      <c r="J25" s="310" t="str">
        <f t="shared" si="22"/>
        <v>53 - 65</v>
      </c>
      <c r="K25" s="311">
        <f t="shared" si="23"/>
        <v>1.1119592875318105</v>
      </c>
      <c r="L25" s="320">
        <f t="shared" si="24"/>
        <v>-0.11126539139758984</v>
      </c>
      <c r="M25" s="320">
        <f t="shared" si="25"/>
        <v>0.13350457714822594</v>
      </c>
      <c r="N25" s="313">
        <f t="shared" si="26"/>
        <v>0</v>
      </c>
      <c r="O25" s="306" t="str">
        <f t="shared" si="27"/>
        <v>Ayr</v>
      </c>
      <c r="P25" s="306" t="s">
        <v>60</v>
      </c>
      <c r="Q25" s="425">
        <v>173</v>
      </c>
      <c r="R25" s="425">
        <v>300</v>
      </c>
      <c r="S25" s="425">
        <v>154</v>
      </c>
      <c r="T25" s="425">
        <v>262</v>
      </c>
    </row>
    <row r="26" spans="1:20" ht="12">
      <c r="A26" s="306" t="str">
        <f t="shared" si="0"/>
        <v>PRI</v>
      </c>
      <c r="B26" s="307">
        <f t="shared" si="15"/>
        <v>68.393782383419691</v>
      </c>
      <c r="C26" s="307">
        <f t="shared" si="16"/>
        <v>54.054054054054056</v>
      </c>
      <c r="D26" s="308" t="s">
        <v>268</v>
      </c>
      <c r="E26" s="308">
        <f t="shared" si="17"/>
        <v>62</v>
      </c>
      <c r="F26" s="308">
        <f t="shared" si="18"/>
        <v>75</v>
      </c>
      <c r="G26" s="308">
        <f t="shared" si="19"/>
        <v>47</v>
      </c>
      <c r="H26" s="308">
        <f t="shared" si="20"/>
        <v>61</v>
      </c>
      <c r="I26" s="314" t="str">
        <f t="shared" si="21"/>
        <v>62 - 75</v>
      </c>
      <c r="J26" s="310" t="str">
        <f t="shared" si="22"/>
        <v>47 - 61</v>
      </c>
      <c r="K26" s="311">
        <f t="shared" si="23"/>
        <v>-14.339728329365634</v>
      </c>
      <c r="L26" s="320">
        <f t="shared" si="24"/>
        <v>-0.28905248702197928</v>
      </c>
      <c r="M26" s="320">
        <f t="shared" si="25"/>
        <v>2.2579204346666604E-3</v>
      </c>
      <c r="N26" s="313">
        <f t="shared" si="26"/>
        <v>0</v>
      </c>
      <c r="O26" s="306" t="str">
        <f t="shared" si="27"/>
        <v>PRI</v>
      </c>
      <c r="P26" s="306" t="s">
        <v>129</v>
      </c>
      <c r="Q26" s="425">
        <v>132</v>
      </c>
      <c r="R26" s="425">
        <v>193</v>
      </c>
      <c r="S26" s="425">
        <v>100</v>
      </c>
      <c r="T26" s="425">
        <v>185</v>
      </c>
    </row>
    <row r="27" spans="1:20" ht="12">
      <c r="A27" s="306" t="str">
        <f t="shared" si="0"/>
        <v>RIE</v>
      </c>
      <c r="B27" s="307">
        <f t="shared" si="15"/>
        <v>47.580645161290327</v>
      </c>
      <c r="C27" s="307">
        <f t="shared" si="16"/>
        <v>53.141640042598503</v>
      </c>
      <c r="D27" s="308" t="s">
        <v>268</v>
      </c>
      <c r="E27" s="308">
        <f t="shared" si="17"/>
        <v>44</v>
      </c>
      <c r="F27" s="308">
        <f t="shared" si="18"/>
        <v>51</v>
      </c>
      <c r="G27" s="308">
        <f t="shared" si="19"/>
        <v>50</v>
      </c>
      <c r="H27" s="308">
        <f t="shared" si="20"/>
        <v>56</v>
      </c>
      <c r="I27" s="314" t="str">
        <f t="shared" si="21"/>
        <v>44 - 51</v>
      </c>
      <c r="J27" s="310" t="str">
        <f t="shared" si="22"/>
        <v>50 - 56</v>
      </c>
      <c r="K27" s="311">
        <f t="shared" si="23"/>
        <v>5.5609948813081758</v>
      </c>
      <c r="L27" s="320">
        <f t="shared" si="24"/>
        <v>-1.3384951683768964E-2</v>
      </c>
      <c r="M27" s="320">
        <f t="shared" si="25"/>
        <v>0.12460484930993254</v>
      </c>
      <c r="N27" s="313">
        <f t="shared" si="26"/>
        <v>0</v>
      </c>
      <c r="O27" s="306" t="str">
        <f t="shared" si="27"/>
        <v>RIE</v>
      </c>
      <c r="P27" s="306" t="s">
        <v>111</v>
      </c>
      <c r="Q27" s="425">
        <v>413</v>
      </c>
      <c r="R27" s="425">
        <v>868</v>
      </c>
      <c r="S27" s="425">
        <v>499</v>
      </c>
      <c r="T27" s="425">
        <v>939</v>
      </c>
    </row>
    <row r="28" spans="1:20" ht="12">
      <c r="A28" s="306" t="str">
        <f t="shared" si="0"/>
        <v>WGH</v>
      </c>
      <c r="B28" s="307">
        <f t="shared" si="15"/>
        <v>47.826086956521742</v>
      </c>
      <c r="C28" s="307">
        <f t="shared" si="16"/>
        <v>51.394422310756973</v>
      </c>
      <c r="D28" s="308" t="s">
        <v>268</v>
      </c>
      <c r="E28" s="308">
        <f t="shared" si="17"/>
        <v>42</v>
      </c>
      <c r="F28" s="308">
        <f t="shared" si="18"/>
        <v>53</v>
      </c>
      <c r="G28" s="308">
        <f t="shared" si="19"/>
        <v>45</v>
      </c>
      <c r="H28" s="308">
        <f t="shared" si="20"/>
        <v>58</v>
      </c>
      <c r="I28" s="314" t="str">
        <f t="shared" si="21"/>
        <v>42 - 53</v>
      </c>
      <c r="J28" s="310" t="str">
        <f t="shared" si="22"/>
        <v>45 - 58</v>
      </c>
      <c r="K28" s="311">
        <f t="shared" si="23"/>
        <v>3.5683353542352307</v>
      </c>
      <c r="L28" s="320">
        <f t="shared" si="24"/>
        <v>-8.7810472231389006E-2</v>
      </c>
      <c r="M28" s="320">
        <f t="shared" si="25"/>
        <v>0.1591771793160936</v>
      </c>
      <c r="N28" s="313">
        <f t="shared" si="26"/>
        <v>0</v>
      </c>
      <c r="O28" s="306" t="str">
        <f t="shared" si="27"/>
        <v>WGH</v>
      </c>
      <c r="P28" s="306" t="s">
        <v>117</v>
      </c>
      <c r="Q28" s="425">
        <v>154</v>
      </c>
      <c r="R28" s="425">
        <v>322</v>
      </c>
      <c r="S28" s="425">
        <v>129</v>
      </c>
      <c r="T28" s="425">
        <v>251</v>
      </c>
    </row>
    <row r="29" spans="1:20" ht="12">
      <c r="A29" s="306" t="str">
        <f t="shared" si="0"/>
        <v>RAH</v>
      </c>
      <c r="B29" s="307">
        <f t="shared" si="15"/>
        <v>47.967479674796749</v>
      </c>
      <c r="C29" s="307">
        <f t="shared" si="16"/>
        <v>51.142857142857146</v>
      </c>
      <c r="D29" s="308" t="s">
        <v>268</v>
      </c>
      <c r="E29" s="308">
        <f t="shared" si="17"/>
        <v>43</v>
      </c>
      <c r="F29" s="308">
        <f t="shared" si="18"/>
        <v>53</v>
      </c>
      <c r="G29" s="308">
        <f t="shared" si="19"/>
        <v>46</v>
      </c>
      <c r="H29" s="308">
        <f t="shared" si="20"/>
        <v>56</v>
      </c>
      <c r="I29" s="314" t="str">
        <f t="shared" si="21"/>
        <v>43 - 53</v>
      </c>
      <c r="J29" s="310" t="str">
        <f t="shared" si="22"/>
        <v>46 - 56</v>
      </c>
      <c r="K29" s="311">
        <f t="shared" si="23"/>
        <v>3.1753774680603968</v>
      </c>
      <c r="L29" s="320">
        <f t="shared" si="24"/>
        <v>-7.76901968171127E-2</v>
      </c>
      <c r="M29" s="320">
        <f t="shared" si="25"/>
        <v>0.14119774617832065</v>
      </c>
      <c r="N29" s="313">
        <f t="shared" si="26"/>
        <v>0</v>
      </c>
      <c r="O29" s="306" t="str">
        <f t="shared" si="27"/>
        <v>RAH</v>
      </c>
      <c r="P29" s="306" t="s">
        <v>87</v>
      </c>
      <c r="Q29" s="425">
        <v>177</v>
      </c>
      <c r="R29" s="425">
        <v>369</v>
      </c>
      <c r="S29" s="425">
        <v>179</v>
      </c>
      <c r="T29" s="425">
        <v>350</v>
      </c>
    </row>
    <row r="30" spans="1:20" ht="12">
      <c r="A30" s="306" t="str">
        <f t="shared" si="0"/>
        <v>Balfour</v>
      </c>
      <c r="B30" s="307">
        <f t="shared" si="15"/>
        <v>17.5</v>
      </c>
      <c r="C30" s="307">
        <f t="shared" si="16"/>
        <v>45</v>
      </c>
      <c r="D30" s="308" t="s">
        <v>268</v>
      </c>
      <c r="E30" s="308">
        <f t="shared" si="17"/>
        <v>9</v>
      </c>
      <c r="F30" s="308">
        <f t="shared" si="18"/>
        <v>32</v>
      </c>
      <c r="G30" s="308">
        <f t="shared" si="19"/>
        <v>31</v>
      </c>
      <c r="H30" s="308">
        <f t="shared" si="20"/>
        <v>60</v>
      </c>
      <c r="I30" s="314" t="str">
        <f t="shared" si="21"/>
        <v>9 - 32</v>
      </c>
      <c r="J30" s="310" t="str">
        <f t="shared" si="22"/>
        <v>31 - 60</v>
      </c>
      <c r="K30" s="311">
        <f t="shared" si="23"/>
        <v>27.5</v>
      </c>
      <c r="L30" s="320">
        <f t="shared" si="24"/>
        <v>-1.5523590993380965E-2</v>
      </c>
      <c r="M30" s="320">
        <f t="shared" si="25"/>
        <v>0.56552359099338101</v>
      </c>
      <c r="N30" s="313">
        <f t="shared" si="26"/>
        <v>0</v>
      </c>
      <c r="O30" s="306" t="str">
        <f t="shared" si="27"/>
        <v>Balfour</v>
      </c>
      <c r="P30" s="306" t="s">
        <v>120</v>
      </c>
      <c r="Q30" s="425">
        <v>7</v>
      </c>
      <c r="R30" s="425">
        <v>40</v>
      </c>
      <c r="S30" s="425">
        <v>18</v>
      </c>
      <c r="T30" s="425">
        <v>40</v>
      </c>
    </row>
    <row r="31" spans="1:20" ht="12">
      <c r="A31" s="306" t="str">
        <f t="shared" si="0"/>
        <v>Raigmore</v>
      </c>
      <c r="B31" s="307">
        <f t="shared" si="15"/>
        <v>56.92307692307692</v>
      </c>
      <c r="C31" s="307">
        <f t="shared" si="16"/>
        <v>44.067796610169488</v>
      </c>
      <c r="D31" s="308" t="s">
        <v>268</v>
      </c>
      <c r="E31" s="308">
        <f t="shared" si="17"/>
        <v>51</v>
      </c>
      <c r="F31" s="308">
        <f t="shared" si="18"/>
        <v>62</v>
      </c>
      <c r="G31" s="308">
        <f t="shared" si="19"/>
        <v>39</v>
      </c>
      <c r="H31" s="308">
        <f t="shared" si="20"/>
        <v>49</v>
      </c>
      <c r="I31" s="314" t="str">
        <f t="shared" si="21"/>
        <v>51 - 62</v>
      </c>
      <c r="J31" s="310" t="str">
        <f t="shared" si="22"/>
        <v>39 - 49</v>
      </c>
      <c r="K31" s="311">
        <f t="shared" si="23"/>
        <v>-12.855280312907432</v>
      </c>
      <c r="L31" s="320">
        <f t="shared" si="24"/>
        <v>-0.2403510448164787</v>
      </c>
      <c r="M31" s="320">
        <f t="shared" si="25"/>
        <v>-1.6754561441669896E-2</v>
      </c>
      <c r="N31" s="313">
        <f t="shared" si="26"/>
        <v>-1</v>
      </c>
      <c r="O31" s="306" t="str">
        <f t="shared" si="27"/>
        <v>Raigmore</v>
      </c>
      <c r="P31" s="306" t="s">
        <v>100</v>
      </c>
      <c r="Q31" s="425">
        <v>185</v>
      </c>
      <c r="R31" s="425">
        <v>325</v>
      </c>
      <c r="S31" s="425">
        <v>156</v>
      </c>
      <c r="T31" s="425">
        <v>354</v>
      </c>
    </row>
    <row r="32" spans="1:20" ht="12">
      <c r="A32" s="306" t="str">
        <f t="shared" si="0"/>
        <v>Uist &amp; Barra</v>
      </c>
      <c r="B32" s="307" t="e">
        <f t="shared" si="15"/>
        <v>#DIV/0!</v>
      </c>
      <c r="C32" s="307">
        <f t="shared" si="16"/>
        <v>0</v>
      </c>
      <c r="D32" s="308" t="s">
        <v>268</v>
      </c>
      <c r="E32" s="308" t="e">
        <f t="shared" si="17"/>
        <v>#DIV/0!</v>
      </c>
      <c r="F32" s="308" t="e">
        <f t="shared" si="18"/>
        <v>#DIV/0!</v>
      </c>
      <c r="G32" s="308">
        <f t="shared" si="19"/>
        <v>0</v>
      </c>
      <c r="H32" s="308">
        <f t="shared" si="20"/>
        <v>79</v>
      </c>
      <c r="I32" s="314" t="e">
        <f t="shared" si="21"/>
        <v>#DIV/0!</v>
      </c>
      <c r="J32" s="310" t="str">
        <f t="shared" si="22"/>
        <v>0 - 79</v>
      </c>
      <c r="K32" s="311" t="e">
        <f t="shared" si="23"/>
        <v>#DIV/0!</v>
      </c>
      <c r="L32" s="320" t="e">
        <f t="shared" si="24"/>
        <v>#DIV/0!</v>
      </c>
      <c r="M32" s="320" t="e">
        <f t="shared" si="25"/>
        <v>#DIV/0!</v>
      </c>
      <c r="N32" s="313" t="str">
        <f t="shared" si="26"/>
        <v/>
      </c>
      <c r="O32" s="306" t="str">
        <f t="shared" si="27"/>
        <v>Uist &amp; Barra</v>
      </c>
      <c r="P32" s="306" t="s">
        <v>132</v>
      </c>
      <c r="Q32" s="425">
        <v>0</v>
      </c>
      <c r="R32" s="425">
        <v>0</v>
      </c>
      <c r="S32" s="425">
        <v>0</v>
      </c>
      <c r="T32" s="425">
        <v>1</v>
      </c>
    </row>
    <row r="34" spans="17:24">
      <c r="Q34" s="211"/>
      <c r="R34" s="211"/>
      <c r="S34" s="211"/>
      <c r="T34" s="211"/>
    </row>
    <row r="35" spans="17:24">
      <c r="Q35" s="211"/>
      <c r="R35" s="211"/>
      <c r="S35" s="211"/>
      <c r="T35" s="211"/>
    </row>
    <row r="36" spans="17:24" ht="15">
      <c r="Q36" s="211"/>
      <c r="R36" s="211"/>
      <c r="S36" s="211"/>
      <c r="T36" s="211"/>
      <c r="V36"/>
      <c r="W36"/>
    </row>
    <row r="37" spans="17:24">
      <c r="Q37" s="211"/>
      <c r="R37" s="211"/>
      <c r="S37" s="211"/>
      <c r="T37" s="211"/>
      <c r="V37" s="306" t="s">
        <v>286</v>
      </c>
      <c r="W37" s="468" t="s">
        <v>137</v>
      </c>
      <c r="X37" s="468" t="s">
        <v>137</v>
      </c>
    </row>
    <row r="38" spans="17:24">
      <c r="Q38" s="211"/>
      <c r="R38" s="211"/>
      <c r="S38" s="211"/>
      <c r="T38" s="211"/>
      <c r="V38" s="415" t="s">
        <v>77</v>
      </c>
      <c r="W38" s="465" t="s">
        <v>178</v>
      </c>
      <c r="X38" s="465" t="s">
        <v>178</v>
      </c>
    </row>
    <row r="39" spans="17:24">
      <c r="Q39" s="211"/>
      <c r="R39" s="211"/>
      <c r="S39" s="211"/>
      <c r="T39" s="211"/>
      <c r="V39" s="415" t="s">
        <v>60</v>
      </c>
      <c r="W39" s="415" t="s">
        <v>61</v>
      </c>
      <c r="X39" s="415" t="s">
        <v>61</v>
      </c>
    </row>
    <row r="40" spans="17:24">
      <c r="Q40" s="211"/>
      <c r="R40" s="211"/>
      <c r="S40" s="211"/>
      <c r="T40" s="211"/>
      <c r="V40" s="415" t="s">
        <v>120</v>
      </c>
      <c r="W40" s="415" t="s">
        <v>121</v>
      </c>
      <c r="X40" s="415" t="s">
        <v>121</v>
      </c>
    </row>
    <row r="41" spans="17:24">
      <c r="Q41" s="211"/>
      <c r="R41" s="211"/>
      <c r="S41" s="211"/>
      <c r="T41" s="211"/>
      <c r="V41" s="415" t="s">
        <v>91</v>
      </c>
      <c r="W41" s="415" t="s">
        <v>255</v>
      </c>
      <c r="X41" s="415" t="s">
        <v>92</v>
      </c>
    </row>
    <row r="42" spans="17:24">
      <c r="Q42" s="211"/>
      <c r="R42" s="211"/>
      <c r="S42" s="211"/>
      <c r="T42" s="211"/>
      <c r="V42" s="415" t="s">
        <v>65</v>
      </c>
      <c r="W42" s="415" t="s">
        <v>30</v>
      </c>
      <c r="X42" s="415" t="s">
        <v>30</v>
      </c>
    </row>
    <row r="43" spans="17:24">
      <c r="Q43" s="211"/>
      <c r="R43" s="211"/>
      <c r="S43" s="211"/>
      <c r="T43" s="211"/>
      <c r="V43" s="415" t="s">
        <v>94</v>
      </c>
      <c r="W43" s="415" t="s">
        <v>256</v>
      </c>
      <c r="X43" s="415" t="s">
        <v>95</v>
      </c>
    </row>
    <row r="44" spans="17:24">
      <c r="Q44" s="211"/>
      <c r="R44" s="211"/>
      <c r="S44" s="211"/>
      <c r="T44" s="211"/>
      <c r="V44" s="415" t="s">
        <v>62</v>
      </c>
      <c r="W44" s="415" t="s">
        <v>63</v>
      </c>
      <c r="X44" s="415" t="s">
        <v>63</v>
      </c>
    </row>
    <row r="45" spans="17:24">
      <c r="Q45" s="211"/>
      <c r="R45" s="211"/>
      <c r="S45" s="211"/>
      <c r="T45" s="211"/>
      <c r="V45" s="415" t="s">
        <v>79</v>
      </c>
      <c r="W45" s="415" t="s">
        <v>80</v>
      </c>
      <c r="X45" s="415" t="s">
        <v>80</v>
      </c>
    </row>
    <row r="46" spans="17:24">
      <c r="Q46" s="211"/>
      <c r="R46" s="211"/>
      <c r="S46" s="211"/>
      <c r="T46" s="211"/>
      <c r="V46" s="415" t="s">
        <v>67</v>
      </c>
      <c r="W46" s="415" t="s">
        <v>68</v>
      </c>
      <c r="X46" s="415" t="s">
        <v>68</v>
      </c>
    </row>
    <row r="47" spans="17:24">
      <c r="Q47" s="211"/>
      <c r="R47" s="211"/>
      <c r="S47" s="211"/>
      <c r="T47" s="211"/>
      <c r="V47" s="415" t="s">
        <v>75</v>
      </c>
      <c r="W47" s="415" t="s">
        <v>186</v>
      </c>
      <c r="X47" s="415" t="s">
        <v>186</v>
      </c>
    </row>
    <row r="48" spans="17:24">
      <c r="Q48" s="211"/>
      <c r="R48" s="211"/>
      <c r="S48" s="211"/>
      <c r="T48" s="211"/>
      <c r="V48" s="415" t="s">
        <v>70</v>
      </c>
      <c r="W48" s="415" t="s">
        <v>254</v>
      </c>
      <c r="X48" s="415" t="s">
        <v>71</v>
      </c>
    </row>
    <row r="49" spans="17:24">
      <c r="Q49" s="211"/>
      <c r="R49" s="211"/>
      <c r="S49" s="211"/>
      <c r="T49" s="211"/>
      <c r="V49" s="415" t="s">
        <v>123</v>
      </c>
      <c r="W49" s="415" t="s">
        <v>295</v>
      </c>
      <c r="X49" s="415" t="s">
        <v>124</v>
      </c>
    </row>
    <row r="50" spans="17:24">
      <c r="Q50" s="211"/>
      <c r="R50" s="211"/>
      <c r="S50" s="211"/>
      <c r="T50" s="211"/>
      <c r="V50" s="415" t="s">
        <v>82</v>
      </c>
      <c r="W50" s="415" t="s">
        <v>187</v>
      </c>
      <c r="X50" s="415" t="s">
        <v>187</v>
      </c>
    </row>
    <row r="51" spans="17:24">
      <c r="Q51" s="211"/>
      <c r="R51" s="211"/>
      <c r="S51" s="211"/>
      <c r="T51" s="211"/>
      <c r="V51" s="415" t="s">
        <v>103</v>
      </c>
      <c r="W51" s="415" t="s">
        <v>104</v>
      </c>
      <c r="X51" s="415" t="s">
        <v>104</v>
      </c>
    </row>
    <row r="52" spans="17:24">
      <c r="Q52" s="211"/>
      <c r="R52" s="211"/>
      <c r="S52" s="211"/>
      <c r="T52" s="211"/>
      <c r="V52" s="415" t="s">
        <v>84</v>
      </c>
      <c r="W52" s="466" t="s">
        <v>85</v>
      </c>
      <c r="X52" s="466" t="s">
        <v>85</v>
      </c>
    </row>
    <row r="53" spans="17:24">
      <c r="Q53" s="211"/>
      <c r="R53" s="211"/>
      <c r="S53" s="211"/>
      <c r="T53" s="211"/>
      <c r="V53" s="415" t="s">
        <v>97</v>
      </c>
      <c r="W53" s="415" t="s">
        <v>98</v>
      </c>
      <c r="X53" s="415" t="s">
        <v>98</v>
      </c>
    </row>
    <row r="54" spans="17:24">
      <c r="Q54" s="211"/>
      <c r="R54" s="211"/>
      <c r="S54" s="211"/>
      <c r="T54" s="211"/>
      <c r="V54" s="415" t="s">
        <v>106</v>
      </c>
      <c r="W54" s="415" t="s">
        <v>107</v>
      </c>
      <c r="X54" s="415" t="s">
        <v>107</v>
      </c>
    </row>
    <row r="55" spans="17:24">
      <c r="Q55" s="211"/>
      <c r="R55" s="211"/>
      <c r="S55" s="211"/>
      <c r="T55" s="211"/>
      <c r="V55" s="415" t="s">
        <v>126</v>
      </c>
      <c r="W55" s="415" t="s">
        <v>127</v>
      </c>
      <c r="X55" s="415" t="s">
        <v>127</v>
      </c>
    </row>
    <row r="56" spans="17:24">
      <c r="Q56" s="211"/>
      <c r="R56" s="211"/>
      <c r="S56" s="211"/>
      <c r="T56" s="211"/>
      <c r="V56" s="415" t="s">
        <v>129</v>
      </c>
      <c r="W56" s="415" t="s">
        <v>130</v>
      </c>
      <c r="X56" s="415" t="s">
        <v>130</v>
      </c>
    </row>
    <row r="57" spans="17:24">
      <c r="Q57" s="211"/>
      <c r="R57" s="211"/>
      <c r="S57" s="211"/>
      <c r="T57" s="211"/>
      <c r="V57" s="415" t="s">
        <v>503</v>
      </c>
      <c r="W57" s="467" t="s">
        <v>504</v>
      </c>
      <c r="X57" s="467" t="s">
        <v>504</v>
      </c>
    </row>
    <row r="58" spans="17:24">
      <c r="Q58" s="211"/>
      <c r="R58" s="211"/>
      <c r="S58" s="211"/>
      <c r="T58" s="211"/>
      <c r="V58" s="415" t="s">
        <v>100</v>
      </c>
      <c r="W58" s="415" t="s">
        <v>101</v>
      </c>
      <c r="X58" s="415" t="s">
        <v>101</v>
      </c>
    </row>
    <row r="59" spans="17:24">
      <c r="Q59" s="211"/>
      <c r="R59" s="211"/>
      <c r="S59" s="211"/>
      <c r="T59" s="211"/>
      <c r="V59" s="415" t="s">
        <v>87</v>
      </c>
      <c r="W59" s="415" t="s">
        <v>188</v>
      </c>
      <c r="X59" s="415" t="s">
        <v>188</v>
      </c>
    </row>
    <row r="60" spans="17:24">
      <c r="Q60" s="211"/>
      <c r="R60" s="211"/>
      <c r="S60" s="211"/>
      <c r="T60" s="211"/>
      <c r="V60" s="415" t="s">
        <v>111</v>
      </c>
      <c r="W60" s="415" t="s">
        <v>112</v>
      </c>
      <c r="X60" s="415" t="s">
        <v>112</v>
      </c>
    </row>
    <row r="61" spans="17:24">
      <c r="Q61" s="211"/>
      <c r="R61" s="211"/>
      <c r="S61" s="211"/>
      <c r="T61" s="211"/>
      <c r="V61" s="415" t="s">
        <v>114</v>
      </c>
      <c r="W61" s="466" t="s">
        <v>115</v>
      </c>
      <c r="X61" s="466" t="s">
        <v>115</v>
      </c>
    </row>
    <row r="62" spans="17:24">
      <c r="Q62" s="211"/>
      <c r="R62" s="211"/>
      <c r="S62" s="211"/>
      <c r="T62" s="211"/>
      <c r="V62" s="415" t="s">
        <v>132</v>
      </c>
      <c r="W62" s="415" t="s">
        <v>133</v>
      </c>
      <c r="X62" s="415" t="s">
        <v>133</v>
      </c>
    </row>
    <row r="63" spans="17:24">
      <c r="Q63" s="211"/>
      <c r="R63" s="211"/>
      <c r="S63" s="211"/>
      <c r="T63" s="211"/>
      <c r="V63" s="415" t="s">
        <v>287</v>
      </c>
      <c r="W63" s="415" t="s">
        <v>177</v>
      </c>
      <c r="X63" s="415" t="s">
        <v>177</v>
      </c>
    </row>
    <row r="64" spans="17:24">
      <c r="Q64" s="211"/>
      <c r="R64" s="211"/>
      <c r="S64" s="211"/>
      <c r="T64" s="211"/>
      <c r="V64" s="415" t="s">
        <v>117</v>
      </c>
      <c r="W64" s="415" t="s">
        <v>118</v>
      </c>
      <c r="X64" s="415" t="s">
        <v>118</v>
      </c>
    </row>
    <row r="65" spans="17:24">
      <c r="V65" s="415" t="s">
        <v>135</v>
      </c>
      <c r="W65" s="415" t="s">
        <v>39</v>
      </c>
      <c r="X65" s="415" t="s">
        <v>39</v>
      </c>
    </row>
    <row r="66" spans="17:24">
      <c r="Q66" s="211"/>
      <c r="V66" s="415" t="s">
        <v>109</v>
      </c>
      <c r="W66" s="415" t="s">
        <v>110</v>
      </c>
      <c r="X66" s="415" t="s">
        <v>110</v>
      </c>
    </row>
    <row r="67" spans="17:24">
      <c r="Q67" s="211"/>
      <c r="V67" s="14" t="s">
        <v>174</v>
      </c>
      <c r="W67" s="14" t="s">
        <v>175</v>
      </c>
      <c r="X67" s="14" t="s">
        <v>175</v>
      </c>
    </row>
    <row r="68" spans="17:24">
      <c r="Q68" s="211"/>
      <c r="V68" s="14" t="s">
        <v>179</v>
      </c>
      <c r="W68" s="14" t="s">
        <v>180</v>
      </c>
      <c r="X68" s="14" t="s">
        <v>180</v>
      </c>
    </row>
    <row r="69" spans="17:24">
      <c r="Q69" s="211"/>
      <c r="V69" s="14" t="s">
        <v>89</v>
      </c>
      <c r="W69" s="14" t="s">
        <v>90</v>
      </c>
      <c r="X69" s="14" t="s">
        <v>90</v>
      </c>
    </row>
    <row r="70" spans="17:24">
      <c r="Q70" s="211"/>
    </row>
    <row r="71" spans="17:24">
      <c r="Q71" s="211"/>
    </row>
    <row r="72" spans="17:24">
      <c r="Q72" s="211"/>
    </row>
    <row r="73" spans="17:24">
      <c r="Q73" s="211"/>
    </row>
    <row r="74" spans="17:24">
      <c r="Q74" s="211"/>
    </row>
    <row r="75" spans="17:24">
      <c r="Q75" s="211"/>
    </row>
    <row r="76" spans="17:24">
      <c r="Q76" s="211"/>
    </row>
    <row r="77" spans="17:24">
      <c r="Q77" s="211"/>
    </row>
    <row r="78" spans="17:24">
      <c r="Q78" s="211"/>
    </row>
    <row r="79" spans="17:24">
      <c r="Q79" s="211"/>
    </row>
    <row r="80" spans="17:24">
      <c r="Q80" s="211"/>
    </row>
    <row r="81" spans="17:17">
      <c r="Q81" s="211"/>
    </row>
    <row r="82" spans="17:17">
      <c r="Q82" s="211"/>
    </row>
    <row r="83" spans="17:17">
      <c r="Q83" s="211"/>
    </row>
    <row r="84" spans="17:17">
      <c r="Q84" s="211"/>
    </row>
    <row r="85" spans="17:17">
      <c r="Q85" s="211"/>
    </row>
    <row r="86" spans="17:17">
      <c r="Q86" s="211"/>
    </row>
    <row r="87" spans="17:17">
      <c r="Q87" s="211"/>
    </row>
    <row r="88" spans="17:17">
      <c r="Q88" s="211"/>
    </row>
    <row r="89" spans="17:17">
      <c r="Q89" s="211"/>
    </row>
    <row r="90" spans="17:17">
      <c r="Q90" s="211"/>
    </row>
    <row r="91" spans="17:17">
      <c r="Q91" s="211"/>
    </row>
    <row r="92" spans="17:17">
      <c r="Q92" s="211"/>
    </row>
    <row r="93" spans="17:17">
      <c r="Q93" s="211"/>
    </row>
    <row r="94" spans="17:17">
      <c r="Q94" s="211"/>
    </row>
    <row r="95" spans="17:17">
      <c r="Q95" s="211"/>
    </row>
    <row r="96" spans="17:17">
      <c r="Q96" s="211"/>
    </row>
    <row r="97" spans="16:17">
      <c r="Q97" s="211"/>
    </row>
    <row r="98" spans="16:17" ht="15">
      <c r="P98"/>
      <c r="Q98"/>
    </row>
  </sheetData>
  <sheetProtection password="B8D9" sheet="1" objects="1" scenarios="1"/>
  <sortState ref="A4:T32">
    <sortCondition descending="1" ref="C4:C32"/>
  </sortState>
  <mergeCells count="7">
    <mergeCell ref="A1:A2"/>
    <mergeCell ref="B1:H1"/>
    <mergeCell ref="O1:P1"/>
    <mergeCell ref="Q1:R1"/>
    <mergeCell ref="S1:T1"/>
    <mergeCell ref="E2:F2"/>
    <mergeCell ref="G2:H2"/>
  </mergeCells>
  <conditionalFormatting sqref="A3:A32">
    <cfRule type="expression" dxfId="27" priority="1" stopIfTrue="1">
      <formula>N3=-1</formula>
    </cfRule>
    <cfRule type="expression" dxfId="26" priority="2" stopIfTrue="1">
      <formula>N3=0</formula>
    </cfRule>
    <cfRule type="expression" dxfId="25" priority="3" stopIfTrue="1">
      <formula>N3=1</formula>
    </cfRule>
  </conditionalFormatting>
  <printOptions horizontalCentered="1"/>
  <pageMargins left="0" right="0" top="0.74803149606299213" bottom="0.74803149606299213" header="0.31496062992125984" footer="0.31496062992125984"/>
  <pageSetup paperSize="9" scale="46" orientation="landscape" r:id="rId1"/>
  <headerFooter alignWithMargins="0">
    <oddHeader>&amp;LChart 1c DATA
Percentage of stroke patients receiving an 'appropriate' Stroke Care Bundle (i.e. Stroke Unit admission, swallow screen, brain scan and aspirin),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23.xml><?xml version="1.0" encoding="utf-8"?>
<worksheet xmlns="http://schemas.openxmlformats.org/spreadsheetml/2006/main" xmlns:r="http://schemas.openxmlformats.org/officeDocument/2006/relationships">
  <sheetPr codeName="Sheet6"/>
  <dimension ref="A1:T37"/>
  <sheetViews>
    <sheetView workbookViewId="0"/>
  </sheetViews>
  <sheetFormatPr defaultRowHeight="12.75"/>
  <cols>
    <col min="1" max="1" width="1.7109375" style="2" customWidth="1"/>
    <col min="2" max="16384" width="9.140625" style="2"/>
  </cols>
  <sheetData>
    <row r="1" spans="1:20">
      <c r="A1" s="1"/>
      <c r="B1" s="798" t="s">
        <v>511</v>
      </c>
      <c r="C1" s="798"/>
      <c r="D1" s="798"/>
      <c r="E1" s="798"/>
      <c r="F1" s="798"/>
      <c r="G1" s="798"/>
      <c r="H1" s="798"/>
      <c r="I1" s="798"/>
      <c r="J1" s="798"/>
      <c r="K1" s="798"/>
      <c r="L1" s="798"/>
      <c r="M1" s="798"/>
      <c r="N1" s="798"/>
      <c r="O1" s="802" t="s">
        <v>48</v>
      </c>
    </row>
    <row r="2" spans="1:20">
      <c r="B2" s="798"/>
      <c r="C2" s="798"/>
      <c r="D2" s="798"/>
      <c r="E2" s="798"/>
      <c r="F2" s="798"/>
      <c r="G2" s="798"/>
      <c r="H2" s="798"/>
      <c r="I2" s="798"/>
      <c r="J2" s="798"/>
      <c r="K2" s="798"/>
      <c r="L2" s="798"/>
      <c r="M2" s="798"/>
      <c r="N2" s="798"/>
      <c r="O2" s="802"/>
    </row>
    <row r="3" spans="1:20">
      <c r="B3" s="212" t="s">
        <v>443</v>
      </c>
      <c r="O3" s="802"/>
    </row>
    <row r="4" spans="1:20">
      <c r="O4" s="802"/>
    </row>
    <row r="6" spans="1:20">
      <c r="O6" s="826" t="s">
        <v>464</v>
      </c>
      <c r="P6" s="826"/>
    </row>
    <row r="13" spans="1:20" ht="15">
      <c r="O13" s="199"/>
      <c r="P13" s="276" t="s">
        <v>298</v>
      </c>
      <c r="Q13"/>
      <c r="R13"/>
      <c r="S13"/>
      <c r="T13"/>
    </row>
    <row r="14" spans="1:20" ht="15">
      <c r="O14" s="200"/>
      <c r="P14" s="276" t="s">
        <v>507</v>
      </c>
      <c r="Q14"/>
      <c r="R14"/>
      <c r="S14"/>
      <c r="T14"/>
    </row>
    <row r="15" spans="1:20" ht="15">
      <c r="O15" s="201"/>
      <c r="P15" s="276" t="s">
        <v>508</v>
      </c>
      <c r="Q15"/>
      <c r="R15"/>
      <c r="S15"/>
      <c r="T15"/>
    </row>
    <row r="16" spans="1:20" ht="15">
      <c r="O16" s="283"/>
      <c r="P16" s="276" t="s">
        <v>509</v>
      </c>
      <c r="Q16"/>
      <c r="R16"/>
      <c r="S16"/>
      <c r="T16"/>
    </row>
    <row r="17" spans="2:20" ht="15">
      <c r="O17"/>
      <c r="P17" s="276" t="s">
        <v>280</v>
      </c>
      <c r="Q17"/>
      <c r="R17"/>
      <c r="S17"/>
      <c r="T17"/>
    </row>
    <row r="31" spans="2:20" ht="15">
      <c r="B31" s="206" t="s">
        <v>449</v>
      </c>
      <c r="C31" s="207"/>
      <c r="D31" s="208"/>
      <c r="E31" s="208"/>
      <c r="F31" s="208"/>
      <c r="G31" s="208"/>
      <c r="H31" s="208"/>
      <c r="I31" s="208"/>
      <c r="J31" s="207"/>
    </row>
    <row r="32" spans="2:20" ht="15">
      <c r="B32" s="209" t="s">
        <v>12</v>
      </c>
      <c r="C32" s="207"/>
      <c r="D32" s="208"/>
      <c r="E32" s="208"/>
      <c r="F32" s="208"/>
      <c r="G32" s="208"/>
      <c r="H32" s="208"/>
      <c r="I32" s="208"/>
      <c r="J32" s="207"/>
    </row>
    <row r="33" spans="2:14" ht="33" customHeight="1">
      <c r="B33" s="823" t="s">
        <v>296</v>
      </c>
      <c r="C33" s="800"/>
      <c r="D33" s="800"/>
      <c r="E33" s="800"/>
      <c r="F33" s="800"/>
      <c r="G33" s="800"/>
      <c r="H33" s="800"/>
      <c r="I33" s="800"/>
      <c r="J33" s="800"/>
      <c r="K33" s="824"/>
      <c r="L33" s="824"/>
      <c r="M33" s="824"/>
      <c r="N33" s="824"/>
    </row>
    <row r="34" spans="2:14" s="436" customFormat="1" ht="15">
      <c r="B34" s="209" t="s">
        <v>526</v>
      </c>
      <c r="C34" s="207"/>
      <c r="D34" s="208"/>
      <c r="E34" s="208"/>
      <c r="F34" s="208"/>
      <c r="G34" s="208"/>
      <c r="H34" s="208"/>
      <c r="I34" s="208"/>
      <c r="J34" s="207"/>
    </row>
    <row r="35" spans="2:14" s="436" customFormat="1" ht="15">
      <c r="B35" s="209" t="s">
        <v>523</v>
      </c>
      <c r="C35" s="207"/>
      <c r="D35" s="208"/>
      <c r="E35" s="208"/>
      <c r="F35" s="208"/>
      <c r="G35" s="208"/>
      <c r="H35" s="208"/>
      <c r="I35" s="208"/>
      <c r="J35" s="207"/>
    </row>
    <row r="36" spans="2:14" s="436" customFormat="1">
      <c r="B36" s="825" t="s">
        <v>444</v>
      </c>
      <c r="C36" s="825"/>
      <c r="D36" s="825"/>
      <c r="E36" s="825"/>
      <c r="F36" s="825"/>
      <c r="G36" s="825"/>
      <c r="H36" s="825"/>
      <c r="I36" s="825"/>
      <c r="J36" s="825"/>
      <c r="K36" s="825"/>
      <c r="L36" s="825"/>
      <c r="M36" s="825"/>
      <c r="N36" s="825"/>
    </row>
    <row r="37" spans="2:14" s="436" customFormat="1">
      <c r="B37" s="825"/>
      <c r="C37" s="825"/>
      <c r="D37" s="825"/>
      <c r="E37" s="825"/>
      <c r="F37" s="825"/>
      <c r="G37" s="825"/>
      <c r="H37" s="825"/>
      <c r="I37" s="825"/>
      <c r="J37" s="825"/>
      <c r="K37" s="825"/>
      <c r="L37" s="825"/>
      <c r="M37" s="825"/>
      <c r="N37" s="825"/>
    </row>
  </sheetData>
  <sheetProtection password="B8D9" sheet="1" objects="1" scenarios="1"/>
  <mergeCells count="5">
    <mergeCell ref="B1:N2"/>
    <mergeCell ref="O1:O4"/>
    <mergeCell ref="B33:N33"/>
    <mergeCell ref="B36:N37"/>
    <mergeCell ref="O6:P6"/>
  </mergeCells>
  <hyperlinks>
    <hyperlink ref="O1" location="'List of Tables &amp; Charts'!A1" display="return to List of Tables &amp; Charts"/>
    <hyperlink ref="O6:P6" location="'Chart 2a DATA'!A1" display="view Chart 2a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24.xml><?xml version="1.0" encoding="utf-8"?>
<worksheet xmlns="http://schemas.openxmlformats.org/spreadsheetml/2006/main" xmlns:r="http://schemas.openxmlformats.org/officeDocument/2006/relationships">
  <sheetPr codeName="Sheet7">
    <pageSetUpPr fitToPage="1"/>
  </sheetPr>
  <dimension ref="A1:W65"/>
  <sheetViews>
    <sheetView zoomScaleNormal="100" workbookViewId="0">
      <selection sqref="A1:A2"/>
    </sheetView>
  </sheetViews>
  <sheetFormatPr defaultRowHeight="11.25"/>
  <cols>
    <col min="1" max="1" width="15.7109375" style="211" customWidth="1"/>
    <col min="2" max="8" width="9.140625" style="211"/>
    <col min="9" max="14" width="9.7109375" style="211" customWidth="1"/>
    <col min="15" max="15" width="10.42578125" style="211" bestFit="1" customWidth="1"/>
    <col min="16" max="16" width="45.7109375" style="211" customWidth="1"/>
    <col min="17" max="20" width="11.7109375" style="315" customWidth="1"/>
    <col min="21" max="16384" width="9.140625" style="211"/>
  </cols>
  <sheetData>
    <row r="1" spans="1:20" ht="15" customHeight="1">
      <c r="A1" s="811" t="s">
        <v>27</v>
      </c>
      <c r="B1" s="822" t="s">
        <v>44</v>
      </c>
      <c r="C1" s="814"/>
      <c r="D1" s="814"/>
      <c r="E1" s="814"/>
      <c r="F1" s="814"/>
      <c r="G1" s="814"/>
      <c r="H1" s="814"/>
      <c r="I1" s="295"/>
      <c r="J1" s="296"/>
      <c r="K1" s="296"/>
      <c r="L1" s="296"/>
      <c r="M1" s="296"/>
      <c r="N1" s="296"/>
      <c r="O1" s="815" t="s">
        <v>20</v>
      </c>
      <c r="P1" s="816"/>
      <c r="Q1" s="815">
        <v>2014</v>
      </c>
      <c r="R1" s="815"/>
      <c r="S1" s="815">
        <v>2015</v>
      </c>
      <c r="T1" s="815"/>
    </row>
    <row r="2" spans="1:20" ht="23.25" customHeight="1">
      <c r="A2" s="812"/>
      <c r="B2" s="297" t="s">
        <v>298</v>
      </c>
      <c r="C2" s="297" t="s">
        <v>491</v>
      </c>
      <c r="D2" s="298" t="s">
        <v>21</v>
      </c>
      <c r="E2" s="817" t="s">
        <v>510</v>
      </c>
      <c r="F2" s="817"/>
      <c r="G2" s="817" t="s">
        <v>493</v>
      </c>
      <c r="H2" s="818"/>
      <c r="I2" s="299" t="s">
        <v>22</v>
      </c>
      <c r="J2" s="300" t="s">
        <v>300</v>
      </c>
      <c r="K2" s="301" t="s">
        <v>24</v>
      </c>
      <c r="L2" s="302" t="s">
        <v>16</v>
      </c>
      <c r="M2" s="302" t="s">
        <v>15</v>
      </c>
      <c r="N2" s="303" t="s">
        <v>25</v>
      </c>
      <c r="O2" s="304" t="s">
        <v>26</v>
      </c>
      <c r="P2" s="305" t="s">
        <v>27</v>
      </c>
      <c r="Q2" s="305" t="s">
        <v>28</v>
      </c>
      <c r="R2" s="305" t="s">
        <v>29</v>
      </c>
      <c r="S2" s="305" t="s">
        <v>28</v>
      </c>
      <c r="T2" s="305" t="s">
        <v>29</v>
      </c>
    </row>
    <row r="3" spans="1:20" ht="12">
      <c r="A3" s="306" t="str">
        <f>O3</f>
        <v>Scotland</v>
      </c>
      <c r="B3" s="307">
        <f t="shared" ref="B3" si="0">Q3/R3*100</f>
        <v>79.584961595472308</v>
      </c>
      <c r="C3" s="307">
        <f t="shared" ref="C3" si="1">S3/T3*100</f>
        <v>78.362573099415201</v>
      </c>
      <c r="D3" s="307">
        <f>90</f>
        <v>90</v>
      </c>
      <c r="E3" s="16">
        <f t="shared" ref="E3" si="2">SUM(1*MID(I3,1,FIND(" - ",I3)-1))</f>
        <v>79</v>
      </c>
      <c r="F3" s="308">
        <f t="shared" ref="F3" si="3">SUM(1*MID(I3,FIND(" - ",I3)+2,LEN(I3)))</f>
        <v>80</v>
      </c>
      <c r="G3" s="308">
        <f t="shared" ref="G3" si="4">SUM(1*MID(J3,1,FIND(" - ",J3)-1))</f>
        <v>77</v>
      </c>
      <c r="H3" s="308">
        <f t="shared" ref="H3" si="5">SUM(1*MID(J3,FIND(" - ",J3)+2,LEN(J3)))</f>
        <v>79</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79 - 80</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77 - 79</v>
      </c>
      <c r="K3" s="311">
        <f t="shared" ref="K3" si="8">C3-B3</f>
        <v>-1.222388496057107</v>
      </c>
      <c r="L3" s="320">
        <f t="shared" ref="L3:L32" si="9">((S3/T3)-(Q3/R3))-(NORMSINV(1-(0.05/COUNTA($O$3:$O$32)))*(SQRT((((Q3/R3)*(1-(Q3/R3)))/R3)+(((S3/T3)*(1-(S3/T3)))/T3))))</f>
        <v>-3.1677927010468079E-2</v>
      </c>
      <c r="M3" s="320">
        <f t="shared" ref="M3:M32" si="10">((S3/T3)-(Q3/R3))+(NORMSINV(1-(0.05/COUNTA($O$3:$O$32)))*(SQRT((((Q3/R3)*(1-(Q3/R3)))/R3)+(((S3/T3)*(1-(S3/T3)))/T3))))</f>
        <v>7.2301570893260197E-3</v>
      </c>
      <c r="N3" s="313">
        <f t="shared" ref="N3:N32" si="11">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0</v>
      </c>
      <c r="O3" s="306" t="str">
        <f t="shared" ref="O3:O32" si="12">VLOOKUP(P3,Hospitals,2,FALSE)</f>
        <v>Scotland</v>
      </c>
      <c r="P3" s="306" t="s">
        <v>286</v>
      </c>
      <c r="Q3" s="425">
        <v>5906</v>
      </c>
      <c r="R3" s="425">
        <v>7421</v>
      </c>
      <c r="S3" s="425">
        <v>6030</v>
      </c>
      <c r="T3" s="425">
        <v>7695</v>
      </c>
    </row>
    <row r="4" spans="1:20" ht="12">
      <c r="A4" s="306" t="str">
        <f t="shared" ref="A4:A32" si="13">O4</f>
        <v>GCH*</v>
      </c>
      <c r="B4" s="307">
        <f t="shared" ref="B4:B32" si="14">Q4/R4*100</f>
        <v>100</v>
      </c>
      <c r="C4" s="307">
        <f t="shared" ref="C4:C32" si="15">S4/T4*100</f>
        <v>100</v>
      </c>
      <c r="D4" s="308">
        <f>90</f>
        <v>90</v>
      </c>
      <c r="E4" s="308">
        <f t="shared" ref="E4:E32" si="16">SUM(1*MID(I4,1,FIND(" - ",I4)-1))</f>
        <v>90</v>
      </c>
      <c r="F4" s="308">
        <f t="shared" ref="F4:F32" si="17">SUM(1*MID(I4,FIND(" - ",I4)+2,LEN(I4)))</f>
        <v>100</v>
      </c>
      <c r="G4" s="308">
        <f t="shared" ref="G4:G32" si="18">SUM(1*MID(J4,1,FIND(" - ",J4)-1))</f>
        <v>90</v>
      </c>
      <c r="H4" s="308">
        <f t="shared" ref="H4:H32" si="19">SUM(1*MID(J4,FIND(" - ",J4)+2,LEN(J4)))</f>
        <v>100</v>
      </c>
      <c r="I4" s="314" t="str">
        <f t="shared" ref="I4:I32"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90 - 100</v>
      </c>
      <c r="J4" s="310" t="str">
        <f t="shared" ref="J4:J32"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90 - 100</v>
      </c>
      <c r="K4" s="311">
        <f t="shared" ref="K4:K32" si="22">C4-B4</f>
        <v>0</v>
      </c>
      <c r="L4" s="320">
        <f t="shared" si="9"/>
        <v>0</v>
      </c>
      <c r="M4" s="320">
        <f t="shared" si="10"/>
        <v>0</v>
      </c>
      <c r="N4" s="313">
        <f t="shared" si="11"/>
        <v>0</v>
      </c>
      <c r="O4" s="306" t="str">
        <f t="shared" si="12"/>
        <v>GCH*</v>
      </c>
      <c r="P4" s="306" t="s">
        <v>70</v>
      </c>
      <c r="Q4" s="425">
        <v>33</v>
      </c>
      <c r="R4" s="425">
        <v>33</v>
      </c>
      <c r="S4" s="425">
        <v>36</v>
      </c>
      <c r="T4" s="425">
        <v>36</v>
      </c>
    </row>
    <row r="5" spans="1:20" ht="12">
      <c r="A5" s="306" t="str">
        <f t="shared" si="13"/>
        <v>Caithness*</v>
      </c>
      <c r="B5" s="307">
        <f t="shared" si="14"/>
        <v>100</v>
      </c>
      <c r="C5" s="307">
        <f t="shared" si="15"/>
        <v>100</v>
      </c>
      <c r="D5" s="308">
        <f>90</f>
        <v>90</v>
      </c>
      <c r="E5" s="308">
        <f t="shared" si="16"/>
        <v>94</v>
      </c>
      <c r="F5" s="308">
        <f t="shared" si="17"/>
        <v>100</v>
      </c>
      <c r="G5" s="308">
        <f t="shared" si="18"/>
        <v>93</v>
      </c>
      <c r="H5" s="308">
        <f t="shared" si="19"/>
        <v>100</v>
      </c>
      <c r="I5" s="314" t="str">
        <f t="shared" si="20"/>
        <v>94 - 100</v>
      </c>
      <c r="J5" s="310" t="str">
        <f t="shared" si="21"/>
        <v>93 - 100</v>
      </c>
      <c r="K5" s="311">
        <f t="shared" si="22"/>
        <v>0</v>
      </c>
      <c r="L5" s="320">
        <f t="shared" si="9"/>
        <v>0</v>
      </c>
      <c r="M5" s="320">
        <f t="shared" si="10"/>
        <v>0</v>
      </c>
      <c r="N5" s="313">
        <f t="shared" si="11"/>
        <v>0</v>
      </c>
      <c r="O5" s="306" t="str">
        <f t="shared" si="12"/>
        <v>Caithness*</v>
      </c>
      <c r="P5" s="306" t="s">
        <v>94</v>
      </c>
      <c r="Q5" s="425">
        <v>58</v>
      </c>
      <c r="R5" s="425">
        <v>58</v>
      </c>
      <c r="S5" s="425">
        <v>52</v>
      </c>
      <c r="T5" s="425">
        <v>52</v>
      </c>
    </row>
    <row r="6" spans="1:20" ht="12">
      <c r="A6" s="306" t="str">
        <f t="shared" si="13"/>
        <v>L&amp;I</v>
      </c>
      <c r="B6" s="307">
        <f t="shared" si="14"/>
        <v>94.444444444444443</v>
      </c>
      <c r="C6" s="307">
        <f t="shared" si="15"/>
        <v>100</v>
      </c>
      <c r="D6" s="308">
        <f>90</f>
        <v>90</v>
      </c>
      <c r="E6" s="308">
        <f t="shared" si="16"/>
        <v>82</v>
      </c>
      <c r="F6" s="308">
        <f t="shared" si="17"/>
        <v>98</v>
      </c>
      <c r="G6" s="308">
        <f t="shared" si="18"/>
        <v>91</v>
      </c>
      <c r="H6" s="308">
        <f t="shared" si="19"/>
        <v>100</v>
      </c>
      <c r="I6" s="314" t="str">
        <f t="shared" si="20"/>
        <v>82 - 98</v>
      </c>
      <c r="J6" s="310" t="str">
        <f t="shared" si="21"/>
        <v>91 - 100</v>
      </c>
      <c r="K6" s="311">
        <f t="shared" si="22"/>
        <v>5.5555555555555571</v>
      </c>
      <c r="L6" s="320">
        <f t="shared" si="9"/>
        <v>-5.6501272614761136E-2</v>
      </c>
      <c r="M6" s="320">
        <f t="shared" si="10"/>
        <v>0.16761238372587228</v>
      </c>
      <c r="N6" s="313">
        <f t="shared" si="11"/>
        <v>0</v>
      </c>
      <c r="O6" s="306" t="str">
        <f t="shared" si="12"/>
        <v>L&amp;I</v>
      </c>
      <c r="P6" s="306" t="s">
        <v>97</v>
      </c>
      <c r="Q6" s="425">
        <v>34</v>
      </c>
      <c r="R6" s="425">
        <v>36</v>
      </c>
      <c r="S6" s="425">
        <v>39</v>
      </c>
      <c r="T6" s="425">
        <v>39</v>
      </c>
    </row>
    <row r="7" spans="1:20" ht="12">
      <c r="A7" s="306" t="str">
        <f t="shared" si="13"/>
        <v>Gilbert Bain*</v>
      </c>
      <c r="B7" s="307">
        <f t="shared" si="14"/>
        <v>100</v>
      </c>
      <c r="C7" s="307">
        <f t="shared" si="15"/>
        <v>100</v>
      </c>
      <c r="D7" s="308">
        <f>90</f>
        <v>90</v>
      </c>
      <c r="E7" s="308">
        <f t="shared" si="16"/>
        <v>89</v>
      </c>
      <c r="F7" s="308">
        <f t="shared" si="17"/>
        <v>100</v>
      </c>
      <c r="G7" s="308">
        <f t="shared" si="18"/>
        <v>89</v>
      </c>
      <c r="H7" s="308">
        <f t="shared" si="19"/>
        <v>100</v>
      </c>
      <c r="I7" s="314" t="str">
        <f t="shared" si="20"/>
        <v>89 - 100</v>
      </c>
      <c r="J7" s="310" t="str">
        <f t="shared" si="21"/>
        <v>89 - 100</v>
      </c>
      <c r="K7" s="311">
        <f t="shared" si="22"/>
        <v>0</v>
      </c>
      <c r="L7" s="320">
        <f t="shared" si="9"/>
        <v>0</v>
      </c>
      <c r="M7" s="320">
        <f t="shared" si="10"/>
        <v>0</v>
      </c>
      <c r="N7" s="313">
        <f t="shared" si="11"/>
        <v>0</v>
      </c>
      <c r="O7" s="306" t="str">
        <f t="shared" si="12"/>
        <v>Gilbert Bain*</v>
      </c>
      <c r="P7" s="306" t="s">
        <v>123</v>
      </c>
      <c r="Q7" s="425">
        <v>32</v>
      </c>
      <c r="R7" s="425">
        <v>32</v>
      </c>
      <c r="S7" s="425">
        <v>30</v>
      </c>
      <c r="T7" s="425">
        <v>30</v>
      </c>
    </row>
    <row r="8" spans="1:20" ht="12">
      <c r="A8" s="306" t="str">
        <f t="shared" si="13"/>
        <v>Belford*</v>
      </c>
      <c r="B8" s="307">
        <f t="shared" si="14"/>
        <v>100</v>
      </c>
      <c r="C8" s="307">
        <f t="shared" si="15"/>
        <v>95.833333333333343</v>
      </c>
      <c r="D8" s="308">
        <f>90</f>
        <v>90</v>
      </c>
      <c r="E8" s="308">
        <f t="shared" si="16"/>
        <v>86</v>
      </c>
      <c r="F8" s="308">
        <f t="shared" si="17"/>
        <v>100</v>
      </c>
      <c r="G8" s="308">
        <f t="shared" si="18"/>
        <v>80</v>
      </c>
      <c r="H8" s="308">
        <f t="shared" si="19"/>
        <v>99</v>
      </c>
      <c r="I8" s="314" t="str">
        <f t="shared" si="20"/>
        <v>86 - 100</v>
      </c>
      <c r="J8" s="310" t="str">
        <f t="shared" si="21"/>
        <v>80 - 99</v>
      </c>
      <c r="K8" s="311">
        <f t="shared" si="22"/>
        <v>-4.1666666666666572</v>
      </c>
      <c r="L8" s="320">
        <f t="shared" si="9"/>
        <v>-0.16139161977063463</v>
      </c>
      <c r="M8" s="320">
        <f t="shared" si="10"/>
        <v>7.8058286437301366E-2</v>
      </c>
      <c r="N8" s="313">
        <f t="shared" si="11"/>
        <v>0</v>
      </c>
      <c r="O8" s="306" t="str">
        <f t="shared" si="12"/>
        <v>Belford*</v>
      </c>
      <c r="P8" s="306" t="s">
        <v>91</v>
      </c>
      <c r="Q8" s="425">
        <v>24</v>
      </c>
      <c r="R8" s="425">
        <v>24</v>
      </c>
      <c r="S8" s="425">
        <v>23</v>
      </c>
      <c r="T8" s="425">
        <v>24</v>
      </c>
    </row>
    <row r="9" spans="1:20" ht="12">
      <c r="A9" s="306" t="str">
        <f t="shared" si="13"/>
        <v>Western Isles</v>
      </c>
      <c r="B9" s="307">
        <f t="shared" si="14"/>
        <v>95</v>
      </c>
      <c r="C9" s="307">
        <f t="shared" si="15"/>
        <v>93.548387096774192</v>
      </c>
      <c r="D9" s="308">
        <f>90</f>
        <v>90</v>
      </c>
      <c r="E9" s="308">
        <f t="shared" si="16"/>
        <v>76</v>
      </c>
      <c r="F9" s="308">
        <f t="shared" si="17"/>
        <v>99</v>
      </c>
      <c r="G9" s="308">
        <f t="shared" si="18"/>
        <v>79</v>
      </c>
      <c r="H9" s="308">
        <f t="shared" si="19"/>
        <v>98</v>
      </c>
      <c r="I9" s="314" t="str">
        <f t="shared" si="20"/>
        <v>76 - 99</v>
      </c>
      <c r="J9" s="310" t="str">
        <f t="shared" si="21"/>
        <v>79 - 98</v>
      </c>
      <c r="K9" s="311">
        <f t="shared" si="22"/>
        <v>-1.4516129032258078</v>
      </c>
      <c r="L9" s="320">
        <f t="shared" si="9"/>
        <v>-0.20747947094800712</v>
      </c>
      <c r="M9" s="320">
        <f t="shared" si="10"/>
        <v>0.17844721288349097</v>
      </c>
      <c r="N9" s="313">
        <f t="shared" si="11"/>
        <v>0</v>
      </c>
      <c r="O9" s="306" t="str">
        <f t="shared" si="12"/>
        <v>Western Isles</v>
      </c>
      <c r="P9" s="306" t="s">
        <v>135</v>
      </c>
      <c r="Q9" s="425">
        <v>19</v>
      </c>
      <c r="R9" s="425">
        <v>20</v>
      </c>
      <c r="S9" s="425">
        <v>29</v>
      </c>
      <c r="T9" s="425">
        <v>31</v>
      </c>
    </row>
    <row r="10" spans="1:20" ht="12">
      <c r="A10" s="306" t="str">
        <f t="shared" si="13"/>
        <v>Crosshouse</v>
      </c>
      <c r="B10" s="307">
        <f t="shared" si="14"/>
        <v>88.172043010752688</v>
      </c>
      <c r="C10" s="307">
        <f t="shared" si="15"/>
        <v>92.966360856269119</v>
      </c>
      <c r="D10" s="308">
        <f>90</f>
        <v>90</v>
      </c>
      <c r="E10" s="308">
        <f t="shared" si="16"/>
        <v>84</v>
      </c>
      <c r="F10" s="308">
        <f t="shared" si="17"/>
        <v>91</v>
      </c>
      <c r="G10" s="308">
        <f t="shared" si="18"/>
        <v>90</v>
      </c>
      <c r="H10" s="308">
        <f t="shared" si="19"/>
        <v>95</v>
      </c>
      <c r="I10" s="314" t="str">
        <f t="shared" si="20"/>
        <v>84 - 91</v>
      </c>
      <c r="J10" s="310" t="str">
        <f t="shared" si="21"/>
        <v>90 - 95</v>
      </c>
      <c r="K10" s="311">
        <f t="shared" si="22"/>
        <v>4.7943178455164315</v>
      </c>
      <c r="L10" s="320">
        <f t="shared" si="9"/>
        <v>-2.2364772678812803E-2</v>
      </c>
      <c r="M10" s="320">
        <f t="shared" si="10"/>
        <v>0.11825112958914134</v>
      </c>
      <c r="N10" s="313">
        <f t="shared" si="11"/>
        <v>0</v>
      </c>
      <c r="O10" s="306" t="str">
        <f t="shared" si="12"/>
        <v>Crosshouse</v>
      </c>
      <c r="P10" s="306" t="s">
        <v>62</v>
      </c>
      <c r="Q10" s="425">
        <v>246</v>
      </c>
      <c r="R10" s="425">
        <v>279</v>
      </c>
      <c r="S10" s="425">
        <v>304</v>
      </c>
      <c r="T10" s="425">
        <v>327</v>
      </c>
    </row>
    <row r="11" spans="1:20" ht="12">
      <c r="A11" s="306" t="str">
        <f t="shared" si="13"/>
        <v>IRH</v>
      </c>
      <c r="B11" s="307">
        <f t="shared" si="14"/>
        <v>86.010362694300511</v>
      </c>
      <c r="C11" s="307">
        <f t="shared" si="15"/>
        <v>88.082901554404145</v>
      </c>
      <c r="D11" s="308">
        <f>90</f>
        <v>90</v>
      </c>
      <c r="E11" s="308">
        <f t="shared" si="16"/>
        <v>80</v>
      </c>
      <c r="F11" s="308">
        <f t="shared" si="17"/>
        <v>90</v>
      </c>
      <c r="G11" s="308">
        <f t="shared" si="18"/>
        <v>83</v>
      </c>
      <c r="H11" s="308">
        <f t="shared" si="19"/>
        <v>92</v>
      </c>
      <c r="I11" s="314" t="str">
        <f t="shared" si="20"/>
        <v>80 - 90</v>
      </c>
      <c r="J11" s="310" t="str">
        <f t="shared" si="21"/>
        <v>83 - 92</v>
      </c>
      <c r="K11" s="311">
        <f t="shared" si="22"/>
        <v>2.0725388601036343</v>
      </c>
      <c r="L11" s="320">
        <f t="shared" si="9"/>
        <v>-7.9559245492836536E-2</v>
      </c>
      <c r="M11" s="320">
        <f t="shared" si="10"/>
        <v>0.12101002269490922</v>
      </c>
      <c r="N11" s="313">
        <f t="shared" si="11"/>
        <v>0</v>
      </c>
      <c r="O11" s="306" t="str">
        <f t="shared" si="12"/>
        <v>IRH</v>
      </c>
      <c r="P11" s="306" t="s">
        <v>84</v>
      </c>
      <c r="Q11" s="425">
        <v>166</v>
      </c>
      <c r="R11" s="425">
        <v>193</v>
      </c>
      <c r="S11" s="425">
        <v>170</v>
      </c>
      <c r="T11" s="425">
        <v>193</v>
      </c>
    </row>
    <row r="12" spans="1:20" ht="12">
      <c r="A12" s="306" t="str">
        <f t="shared" si="13"/>
        <v>QEUH</v>
      </c>
      <c r="B12" s="307">
        <f t="shared" si="14"/>
        <v>81.256038647343004</v>
      </c>
      <c r="C12" s="307">
        <f t="shared" si="15"/>
        <v>87.74131274131274</v>
      </c>
      <c r="D12" s="308">
        <f>90</f>
        <v>90</v>
      </c>
      <c r="E12" s="308">
        <f t="shared" si="16"/>
        <v>79</v>
      </c>
      <c r="F12" s="308">
        <f t="shared" si="17"/>
        <v>84</v>
      </c>
      <c r="G12" s="308">
        <f t="shared" si="18"/>
        <v>86</v>
      </c>
      <c r="H12" s="308">
        <f t="shared" si="19"/>
        <v>90</v>
      </c>
      <c r="I12" s="314" t="str">
        <f t="shared" si="20"/>
        <v>79 - 84</v>
      </c>
      <c r="J12" s="310" t="str">
        <f t="shared" si="21"/>
        <v>86 - 90</v>
      </c>
      <c r="K12" s="311">
        <f t="shared" si="22"/>
        <v>6.4852740939697355</v>
      </c>
      <c r="L12" s="320">
        <f t="shared" si="9"/>
        <v>1.8352537925902176E-2</v>
      </c>
      <c r="M12" s="320">
        <f t="shared" si="10"/>
        <v>0.11135294395349261</v>
      </c>
      <c r="N12" s="313">
        <f t="shared" si="11"/>
        <v>1</v>
      </c>
      <c r="O12" s="306" t="str">
        <f t="shared" si="12"/>
        <v>QEUH</v>
      </c>
      <c r="P12" s="306" t="s">
        <v>503</v>
      </c>
      <c r="Q12" s="425">
        <v>841</v>
      </c>
      <c r="R12" s="425">
        <v>1035</v>
      </c>
      <c r="S12" s="425">
        <v>909</v>
      </c>
      <c r="T12" s="425">
        <v>1036</v>
      </c>
    </row>
    <row r="13" spans="1:20" ht="12">
      <c r="A13" s="306" t="str">
        <f t="shared" si="13"/>
        <v>Monklands</v>
      </c>
      <c r="B13" s="307">
        <f t="shared" si="14"/>
        <v>92.481203007518801</v>
      </c>
      <c r="C13" s="307">
        <f t="shared" si="15"/>
        <v>86.219081272084807</v>
      </c>
      <c r="D13" s="308">
        <f>90</f>
        <v>90</v>
      </c>
      <c r="E13" s="308">
        <f t="shared" si="16"/>
        <v>89</v>
      </c>
      <c r="F13" s="308">
        <f t="shared" si="17"/>
        <v>95</v>
      </c>
      <c r="G13" s="308">
        <f t="shared" si="18"/>
        <v>82</v>
      </c>
      <c r="H13" s="308">
        <f t="shared" si="19"/>
        <v>90</v>
      </c>
      <c r="I13" s="314" t="str">
        <f t="shared" si="20"/>
        <v>89 - 95</v>
      </c>
      <c r="J13" s="310" t="str">
        <f t="shared" si="21"/>
        <v>82 - 90</v>
      </c>
      <c r="K13" s="311">
        <f t="shared" si="22"/>
        <v>-6.2621217354339933</v>
      </c>
      <c r="L13" s="320">
        <f t="shared" si="9"/>
        <v>-0.13923271978927765</v>
      </c>
      <c r="M13" s="320">
        <f t="shared" si="10"/>
        <v>1.3990285080597853E-2</v>
      </c>
      <c r="N13" s="313">
        <f t="shared" si="11"/>
        <v>0</v>
      </c>
      <c r="O13" s="306" t="str">
        <f t="shared" si="12"/>
        <v>Monklands</v>
      </c>
      <c r="P13" s="306" t="s">
        <v>106</v>
      </c>
      <c r="Q13" s="425">
        <v>246</v>
      </c>
      <c r="R13" s="425">
        <v>266</v>
      </c>
      <c r="S13" s="425">
        <v>244</v>
      </c>
      <c r="T13" s="425">
        <v>283</v>
      </c>
    </row>
    <row r="14" spans="1:20" ht="12">
      <c r="A14" s="306" t="str">
        <f t="shared" si="13"/>
        <v>Ayr</v>
      </c>
      <c r="B14" s="307">
        <f t="shared" si="14"/>
        <v>87.301587301587304</v>
      </c>
      <c r="C14" s="307">
        <f t="shared" si="15"/>
        <v>85.333333333333343</v>
      </c>
      <c r="D14" s="308">
        <f>90</f>
        <v>90</v>
      </c>
      <c r="E14" s="308">
        <f t="shared" si="16"/>
        <v>83</v>
      </c>
      <c r="F14" s="308">
        <f t="shared" si="17"/>
        <v>91</v>
      </c>
      <c r="G14" s="308">
        <f t="shared" si="18"/>
        <v>80</v>
      </c>
      <c r="H14" s="308">
        <f t="shared" si="19"/>
        <v>89</v>
      </c>
      <c r="I14" s="314" t="str">
        <f t="shared" si="20"/>
        <v>83 - 91</v>
      </c>
      <c r="J14" s="310" t="str">
        <f t="shared" si="21"/>
        <v>80 - 89</v>
      </c>
      <c r="K14" s="311">
        <f t="shared" si="22"/>
        <v>-1.9682539682539613</v>
      </c>
      <c r="L14" s="320">
        <f t="shared" si="9"/>
        <v>-0.11232350829257066</v>
      </c>
      <c r="M14" s="320">
        <f t="shared" si="10"/>
        <v>7.2958428927491395E-2</v>
      </c>
      <c r="N14" s="313">
        <f t="shared" si="11"/>
        <v>0</v>
      </c>
      <c r="O14" s="306" t="str">
        <f t="shared" si="12"/>
        <v>Ayr</v>
      </c>
      <c r="P14" s="306" t="s">
        <v>60</v>
      </c>
      <c r="Q14" s="425">
        <v>220</v>
      </c>
      <c r="R14" s="425">
        <v>252</v>
      </c>
      <c r="S14" s="425">
        <v>192</v>
      </c>
      <c r="T14" s="425">
        <v>225</v>
      </c>
    </row>
    <row r="15" spans="1:20" ht="12">
      <c r="A15" s="306" t="str">
        <f t="shared" si="13"/>
        <v>VHK</v>
      </c>
      <c r="B15" s="307">
        <f t="shared" si="14"/>
        <v>86.192468619246867</v>
      </c>
      <c r="C15" s="307">
        <f t="shared" si="15"/>
        <v>84.63073852295409</v>
      </c>
      <c r="D15" s="308">
        <f>90</f>
        <v>90</v>
      </c>
      <c r="E15" s="308">
        <f t="shared" si="16"/>
        <v>83</v>
      </c>
      <c r="F15" s="308">
        <f t="shared" si="17"/>
        <v>89</v>
      </c>
      <c r="G15" s="308">
        <f t="shared" si="18"/>
        <v>81</v>
      </c>
      <c r="H15" s="308">
        <f t="shared" si="19"/>
        <v>88</v>
      </c>
      <c r="I15" s="314" t="str">
        <f t="shared" si="20"/>
        <v>83 - 89</v>
      </c>
      <c r="J15" s="310" t="str">
        <f t="shared" si="21"/>
        <v>81 - 88</v>
      </c>
      <c r="K15" s="311">
        <f t="shared" si="22"/>
        <v>-1.5617300962927771</v>
      </c>
      <c r="L15" s="320">
        <f t="shared" si="9"/>
        <v>-8.1812337565899076E-2</v>
      </c>
      <c r="M15" s="320">
        <f t="shared" si="10"/>
        <v>5.0577735640043711E-2</v>
      </c>
      <c r="N15" s="313">
        <f t="shared" si="11"/>
        <v>0</v>
      </c>
      <c r="O15" s="306" t="str">
        <f t="shared" si="12"/>
        <v>VHK</v>
      </c>
      <c r="P15" s="306" t="s">
        <v>287</v>
      </c>
      <c r="Q15" s="425">
        <v>412</v>
      </c>
      <c r="R15" s="425">
        <v>478</v>
      </c>
      <c r="S15" s="425">
        <v>424</v>
      </c>
      <c r="T15" s="425">
        <v>501</v>
      </c>
    </row>
    <row r="16" spans="1:20" ht="12">
      <c r="A16" s="306" t="str">
        <f t="shared" si="13"/>
        <v>GRI</v>
      </c>
      <c r="B16" s="307">
        <f t="shared" si="14"/>
        <v>80.449438202247194</v>
      </c>
      <c r="C16" s="307">
        <f t="shared" si="15"/>
        <v>84.51882845188284</v>
      </c>
      <c r="D16" s="308">
        <f>90</f>
        <v>90</v>
      </c>
      <c r="E16" s="308">
        <f t="shared" si="16"/>
        <v>77</v>
      </c>
      <c r="F16" s="308">
        <f t="shared" si="17"/>
        <v>84</v>
      </c>
      <c r="G16" s="308">
        <f t="shared" si="18"/>
        <v>81</v>
      </c>
      <c r="H16" s="308">
        <f t="shared" si="19"/>
        <v>87</v>
      </c>
      <c r="I16" s="314" t="str">
        <f t="shared" si="20"/>
        <v>77 - 84</v>
      </c>
      <c r="J16" s="310" t="str">
        <f t="shared" si="21"/>
        <v>81 - 87</v>
      </c>
      <c r="K16" s="311">
        <f t="shared" si="22"/>
        <v>4.0693902496356458</v>
      </c>
      <c r="L16" s="320">
        <f t="shared" si="9"/>
        <v>-3.2813932246467309E-2</v>
      </c>
      <c r="M16" s="320">
        <f t="shared" si="10"/>
        <v>0.11420173723918034</v>
      </c>
      <c r="N16" s="313">
        <f t="shared" si="11"/>
        <v>0</v>
      </c>
      <c r="O16" s="306" t="str">
        <f t="shared" si="12"/>
        <v>GRI</v>
      </c>
      <c r="P16" s="306" t="s">
        <v>82</v>
      </c>
      <c r="Q16" s="425">
        <v>358</v>
      </c>
      <c r="R16" s="425">
        <v>445</v>
      </c>
      <c r="S16" s="425">
        <v>404</v>
      </c>
      <c r="T16" s="425">
        <v>478</v>
      </c>
    </row>
    <row r="17" spans="1:20" ht="12">
      <c r="A17" s="306" t="str">
        <f t="shared" si="13"/>
        <v>Dr Grays</v>
      </c>
      <c r="B17" s="307">
        <f t="shared" si="14"/>
        <v>76.59574468085107</v>
      </c>
      <c r="C17" s="307">
        <f t="shared" si="15"/>
        <v>83.486238532110093</v>
      </c>
      <c r="D17" s="308">
        <f>90</f>
        <v>90</v>
      </c>
      <c r="E17" s="308">
        <f t="shared" si="16"/>
        <v>67</v>
      </c>
      <c r="F17" s="308">
        <f t="shared" si="17"/>
        <v>84</v>
      </c>
      <c r="G17" s="308">
        <f t="shared" si="18"/>
        <v>75</v>
      </c>
      <c r="H17" s="308">
        <f t="shared" si="19"/>
        <v>89</v>
      </c>
      <c r="I17" s="314" t="str">
        <f t="shared" si="20"/>
        <v>67 - 84</v>
      </c>
      <c r="J17" s="310" t="str">
        <f t="shared" si="21"/>
        <v>75 - 89</v>
      </c>
      <c r="K17" s="311">
        <f t="shared" si="22"/>
        <v>6.8904938512590235</v>
      </c>
      <c r="L17" s="320">
        <f t="shared" si="9"/>
        <v>-9.6405131223766205E-2</v>
      </c>
      <c r="M17" s="320">
        <f t="shared" si="10"/>
        <v>0.23421500824894675</v>
      </c>
      <c r="N17" s="313">
        <f t="shared" si="11"/>
        <v>0</v>
      </c>
      <c r="O17" s="306" t="str">
        <f t="shared" si="12"/>
        <v>Dr Grays</v>
      </c>
      <c r="P17" s="306" t="s">
        <v>79</v>
      </c>
      <c r="Q17" s="425">
        <v>72</v>
      </c>
      <c r="R17" s="425">
        <v>94</v>
      </c>
      <c r="S17" s="425">
        <v>91</v>
      </c>
      <c r="T17" s="425">
        <v>109</v>
      </c>
    </row>
    <row r="18" spans="1:20" ht="12">
      <c r="A18" s="306" t="str">
        <f t="shared" si="13"/>
        <v>Ninewells</v>
      </c>
      <c r="B18" s="307">
        <f t="shared" si="14"/>
        <v>84.593023255813947</v>
      </c>
      <c r="C18" s="307">
        <f t="shared" si="15"/>
        <v>82.481751824817522</v>
      </c>
      <c r="D18" s="308">
        <f>90</f>
        <v>90</v>
      </c>
      <c r="E18" s="308">
        <f t="shared" si="16"/>
        <v>80</v>
      </c>
      <c r="F18" s="308">
        <f t="shared" si="17"/>
        <v>88</v>
      </c>
      <c r="G18" s="308">
        <f t="shared" si="18"/>
        <v>79</v>
      </c>
      <c r="H18" s="308">
        <f t="shared" si="19"/>
        <v>86</v>
      </c>
      <c r="I18" s="314" t="str">
        <f t="shared" si="20"/>
        <v>80 - 88</v>
      </c>
      <c r="J18" s="310" t="str">
        <f t="shared" si="21"/>
        <v>79 - 86</v>
      </c>
      <c r="K18" s="311">
        <f t="shared" si="22"/>
        <v>-2.1112714309964247</v>
      </c>
      <c r="L18" s="320">
        <f t="shared" si="9"/>
        <v>-0.10044126697313993</v>
      </c>
      <c r="M18" s="320">
        <f t="shared" si="10"/>
        <v>5.8215838353211313E-2</v>
      </c>
      <c r="N18" s="313">
        <f t="shared" si="11"/>
        <v>0</v>
      </c>
      <c r="O18" s="306" t="str">
        <f t="shared" si="12"/>
        <v>Ninewells</v>
      </c>
      <c r="P18" s="306" t="s">
        <v>126</v>
      </c>
      <c r="Q18" s="425">
        <v>291</v>
      </c>
      <c r="R18" s="425">
        <v>344</v>
      </c>
      <c r="S18" s="425">
        <v>339</v>
      </c>
      <c r="T18" s="425">
        <v>411</v>
      </c>
    </row>
    <row r="19" spans="1:20" ht="12">
      <c r="A19" s="306" t="str">
        <f t="shared" si="13"/>
        <v>RAH</v>
      </c>
      <c r="B19" s="307">
        <f t="shared" si="14"/>
        <v>84.117647058823536</v>
      </c>
      <c r="C19" s="307">
        <f t="shared" si="15"/>
        <v>81.707317073170728</v>
      </c>
      <c r="D19" s="308">
        <f>90</f>
        <v>90</v>
      </c>
      <c r="E19" s="308">
        <f t="shared" si="16"/>
        <v>80</v>
      </c>
      <c r="F19" s="308">
        <f t="shared" si="17"/>
        <v>88</v>
      </c>
      <c r="G19" s="308">
        <f t="shared" si="18"/>
        <v>77</v>
      </c>
      <c r="H19" s="308">
        <f t="shared" si="19"/>
        <v>86</v>
      </c>
      <c r="I19" s="314" t="str">
        <f t="shared" si="20"/>
        <v>80 - 88</v>
      </c>
      <c r="J19" s="310" t="str">
        <f t="shared" si="21"/>
        <v>77 - 86</v>
      </c>
      <c r="K19" s="311">
        <f t="shared" si="22"/>
        <v>-2.4103299856528082</v>
      </c>
      <c r="L19" s="320">
        <f t="shared" si="9"/>
        <v>-0.10960893383801525</v>
      </c>
      <c r="M19" s="320">
        <f t="shared" si="10"/>
        <v>6.1402334124959171E-2</v>
      </c>
      <c r="N19" s="313">
        <f t="shared" si="11"/>
        <v>0</v>
      </c>
      <c r="O19" s="306" t="str">
        <f t="shared" si="12"/>
        <v>RAH</v>
      </c>
      <c r="P19" s="306" t="s">
        <v>87</v>
      </c>
      <c r="Q19" s="425">
        <v>286</v>
      </c>
      <c r="R19" s="425">
        <v>340</v>
      </c>
      <c r="S19" s="425">
        <v>268</v>
      </c>
      <c r="T19" s="425">
        <v>328</v>
      </c>
    </row>
    <row r="20" spans="1:20" ht="12">
      <c r="A20" s="306" t="str">
        <f t="shared" si="13"/>
        <v>Borders</v>
      </c>
      <c r="B20" s="307">
        <f t="shared" si="14"/>
        <v>90.751445086705203</v>
      </c>
      <c r="C20" s="307">
        <f t="shared" si="15"/>
        <v>81.675392670157066</v>
      </c>
      <c r="D20" s="308">
        <f>90</f>
        <v>90</v>
      </c>
      <c r="E20" s="308">
        <f t="shared" si="16"/>
        <v>86</v>
      </c>
      <c r="F20" s="308">
        <f t="shared" si="17"/>
        <v>94</v>
      </c>
      <c r="G20" s="308">
        <f t="shared" si="18"/>
        <v>76</v>
      </c>
      <c r="H20" s="308">
        <f t="shared" si="19"/>
        <v>87</v>
      </c>
      <c r="I20" s="314" t="str">
        <f t="shared" si="20"/>
        <v>86 - 94</v>
      </c>
      <c r="J20" s="310" t="str">
        <f t="shared" si="21"/>
        <v>76 - 87</v>
      </c>
      <c r="K20" s="311">
        <f t="shared" si="22"/>
        <v>-9.0760524165481371</v>
      </c>
      <c r="L20" s="320">
        <f t="shared" si="9"/>
        <v>-0.19531101515074548</v>
      </c>
      <c r="M20" s="320">
        <f t="shared" si="10"/>
        <v>1.3789966819782645E-2</v>
      </c>
      <c r="N20" s="313">
        <f t="shared" si="11"/>
        <v>0</v>
      </c>
      <c r="O20" s="306" t="str">
        <f t="shared" si="12"/>
        <v>Borders</v>
      </c>
      <c r="P20" s="306" t="s">
        <v>65</v>
      </c>
      <c r="Q20" s="425">
        <v>157</v>
      </c>
      <c r="R20" s="425">
        <v>173</v>
      </c>
      <c r="S20" s="425">
        <v>156</v>
      </c>
      <c r="T20" s="425">
        <v>191</v>
      </c>
    </row>
    <row r="21" spans="1:20" ht="12">
      <c r="A21" s="306" t="str">
        <f t="shared" si="13"/>
        <v>Hairmyres</v>
      </c>
      <c r="B21" s="307">
        <f t="shared" si="14"/>
        <v>85.087719298245617</v>
      </c>
      <c r="C21" s="307">
        <f t="shared" si="15"/>
        <v>80.6949806949807</v>
      </c>
      <c r="D21" s="308">
        <f>90</f>
        <v>90</v>
      </c>
      <c r="E21" s="308">
        <f t="shared" si="16"/>
        <v>80</v>
      </c>
      <c r="F21" s="308">
        <f t="shared" si="17"/>
        <v>89</v>
      </c>
      <c r="G21" s="308">
        <f t="shared" si="18"/>
        <v>75</v>
      </c>
      <c r="H21" s="308">
        <f t="shared" si="19"/>
        <v>85</v>
      </c>
      <c r="I21" s="314" t="str">
        <f t="shared" si="20"/>
        <v>80 - 89</v>
      </c>
      <c r="J21" s="310" t="str">
        <f t="shared" si="21"/>
        <v>75 - 85</v>
      </c>
      <c r="K21" s="311">
        <f t="shared" si="22"/>
        <v>-4.3927386032649167</v>
      </c>
      <c r="L21" s="320">
        <f t="shared" si="9"/>
        <v>-0.14380995151223697</v>
      </c>
      <c r="M21" s="320">
        <f t="shared" si="10"/>
        <v>5.5955179446938716E-2</v>
      </c>
      <c r="N21" s="313">
        <f t="shared" si="11"/>
        <v>0</v>
      </c>
      <c r="O21" s="306" t="str">
        <f t="shared" si="12"/>
        <v>Hairmyres</v>
      </c>
      <c r="P21" s="306" t="s">
        <v>103</v>
      </c>
      <c r="Q21" s="425">
        <v>194</v>
      </c>
      <c r="R21" s="425">
        <v>228</v>
      </c>
      <c r="S21" s="425">
        <v>209</v>
      </c>
      <c r="T21" s="425">
        <v>259</v>
      </c>
    </row>
    <row r="22" spans="1:20" ht="12">
      <c r="A22" s="306" t="str">
        <f t="shared" si="13"/>
        <v>DGRI</v>
      </c>
      <c r="B22" s="307">
        <f t="shared" si="14"/>
        <v>83.333333333333343</v>
      </c>
      <c r="C22" s="307">
        <f t="shared" si="15"/>
        <v>78.431372549019613</v>
      </c>
      <c r="D22" s="308">
        <f>90</f>
        <v>90</v>
      </c>
      <c r="E22" s="308">
        <f t="shared" si="16"/>
        <v>78</v>
      </c>
      <c r="F22" s="308">
        <f t="shared" si="17"/>
        <v>88</v>
      </c>
      <c r="G22" s="308">
        <f t="shared" si="18"/>
        <v>72</v>
      </c>
      <c r="H22" s="308">
        <f t="shared" si="19"/>
        <v>84</v>
      </c>
      <c r="I22" s="314" t="str">
        <f t="shared" si="20"/>
        <v>78 - 88</v>
      </c>
      <c r="J22" s="310" t="str">
        <f t="shared" si="21"/>
        <v>72 - 84</v>
      </c>
      <c r="K22" s="311">
        <f t="shared" si="22"/>
        <v>-4.9019607843137294</v>
      </c>
      <c r="L22" s="320">
        <f t="shared" si="9"/>
        <v>-0.16234337222842721</v>
      </c>
      <c r="M22" s="320">
        <f t="shared" si="10"/>
        <v>6.4304156542152588E-2</v>
      </c>
      <c r="N22" s="313">
        <f t="shared" si="11"/>
        <v>0</v>
      </c>
      <c r="O22" s="306" t="str">
        <f t="shared" si="12"/>
        <v>DGRI</v>
      </c>
      <c r="P22" s="306" t="s">
        <v>67</v>
      </c>
      <c r="Q22" s="425">
        <v>175</v>
      </c>
      <c r="R22" s="425">
        <v>210</v>
      </c>
      <c r="S22" s="425">
        <v>160</v>
      </c>
      <c r="T22" s="425">
        <v>204</v>
      </c>
    </row>
    <row r="23" spans="1:20" ht="12">
      <c r="A23" s="306" t="str">
        <f t="shared" si="13"/>
        <v>Wishaw</v>
      </c>
      <c r="B23" s="307">
        <f t="shared" si="14"/>
        <v>89.87341772151899</v>
      </c>
      <c r="C23" s="307">
        <f t="shared" si="15"/>
        <v>76.588628762541816</v>
      </c>
      <c r="D23" s="308">
        <f>90</f>
        <v>90</v>
      </c>
      <c r="E23" s="308">
        <f t="shared" si="16"/>
        <v>86</v>
      </c>
      <c r="F23" s="308">
        <f t="shared" si="17"/>
        <v>93</v>
      </c>
      <c r="G23" s="308">
        <f t="shared" si="18"/>
        <v>71</v>
      </c>
      <c r="H23" s="308">
        <f t="shared" si="19"/>
        <v>81</v>
      </c>
      <c r="I23" s="314" t="str">
        <f t="shared" si="20"/>
        <v>86 - 93</v>
      </c>
      <c r="J23" s="310" t="str">
        <f t="shared" si="21"/>
        <v>71 - 81</v>
      </c>
      <c r="K23" s="311">
        <f t="shared" si="22"/>
        <v>-13.284788958977174</v>
      </c>
      <c r="L23" s="320">
        <f t="shared" si="9"/>
        <v>-0.22029960562674811</v>
      </c>
      <c r="M23" s="320">
        <f t="shared" si="10"/>
        <v>-4.5396173552795474E-2</v>
      </c>
      <c r="N23" s="313">
        <f t="shared" si="11"/>
        <v>-1</v>
      </c>
      <c r="O23" s="306" t="str">
        <f t="shared" si="12"/>
        <v>Wishaw</v>
      </c>
      <c r="P23" s="306" t="s">
        <v>109</v>
      </c>
      <c r="Q23" s="425">
        <v>284</v>
      </c>
      <c r="R23" s="425">
        <v>316</v>
      </c>
      <c r="S23" s="425">
        <v>229</v>
      </c>
      <c r="T23" s="425">
        <v>299</v>
      </c>
    </row>
    <row r="24" spans="1:20" ht="12">
      <c r="A24" s="306" t="str">
        <f t="shared" si="13"/>
        <v>FVRH</v>
      </c>
      <c r="B24" s="307">
        <f t="shared" si="14"/>
        <v>81.149425287356323</v>
      </c>
      <c r="C24" s="307">
        <f t="shared" si="15"/>
        <v>76.374745417515271</v>
      </c>
      <c r="D24" s="308">
        <f>90</f>
        <v>90</v>
      </c>
      <c r="E24" s="308">
        <f t="shared" si="16"/>
        <v>77</v>
      </c>
      <c r="F24" s="308">
        <f t="shared" si="17"/>
        <v>85</v>
      </c>
      <c r="G24" s="308">
        <f t="shared" si="18"/>
        <v>72</v>
      </c>
      <c r="H24" s="308">
        <f t="shared" si="19"/>
        <v>80</v>
      </c>
      <c r="I24" s="314" t="str">
        <f t="shared" si="20"/>
        <v>77 - 85</v>
      </c>
      <c r="J24" s="310" t="str">
        <f t="shared" si="21"/>
        <v>72 - 80</v>
      </c>
      <c r="K24" s="311">
        <f t="shared" si="22"/>
        <v>-4.7746798698410515</v>
      </c>
      <c r="L24" s="320">
        <f t="shared" si="9"/>
        <v>-0.12645983004258088</v>
      </c>
      <c r="M24" s="320">
        <f t="shared" si="10"/>
        <v>3.0966232645759942E-2</v>
      </c>
      <c r="N24" s="313">
        <f t="shared" si="11"/>
        <v>0</v>
      </c>
      <c r="O24" s="306" t="str">
        <f t="shared" si="12"/>
        <v>FVRH</v>
      </c>
      <c r="P24" s="306" t="s">
        <v>75</v>
      </c>
      <c r="Q24" s="425">
        <v>353</v>
      </c>
      <c r="R24" s="425">
        <v>435</v>
      </c>
      <c r="S24" s="425">
        <v>375</v>
      </c>
      <c r="T24" s="425">
        <v>491</v>
      </c>
    </row>
    <row r="25" spans="1:20" ht="12">
      <c r="A25" s="306" t="str">
        <f t="shared" si="13"/>
        <v>Balfour</v>
      </c>
      <c r="B25" s="307">
        <f t="shared" si="14"/>
        <v>80.645161290322577</v>
      </c>
      <c r="C25" s="307">
        <f t="shared" si="15"/>
        <v>72</v>
      </c>
      <c r="D25" s="308">
        <f>90</f>
        <v>90</v>
      </c>
      <c r="E25" s="308">
        <f t="shared" si="16"/>
        <v>64</v>
      </c>
      <c r="F25" s="308">
        <f t="shared" si="17"/>
        <v>91</v>
      </c>
      <c r="G25" s="308">
        <f t="shared" si="18"/>
        <v>52</v>
      </c>
      <c r="H25" s="308">
        <f t="shared" si="19"/>
        <v>86</v>
      </c>
      <c r="I25" s="314" t="str">
        <f t="shared" si="20"/>
        <v>64 - 91</v>
      </c>
      <c r="J25" s="310" t="str">
        <f t="shared" si="21"/>
        <v>52 - 86</v>
      </c>
      <c r="K25" s="311">
        <f t="shared" si="22"/>
        <v>-8.6451612903225765</v>
      </c>
      <c r="L25" s="320">
        <f t="shared" si="9"/>
        <v>-0.422388721106841</v>
      </c>
      <c r="M25" s="320">
        <f t="shared" si="10"/>
        <v>0.24948549530038944</v>
      </c>
      <c r="N25" s="313">
        <f t="shared" si="11"/>
        <v>0</v>
      </c>
      <c r="O25" s="306" t="str">
        <f t="shared" si="12"/>
        <v>Balfour</v>
      </c>
      <c r="P25" s="306" t="s">
        <v>120</v>
      </c>
      <c r="Q25" s="425">
        <v>25</v>
      </c>
      <c r="R25" s="425">
        <v>31</v>
      </c>
      <c r="S25" s="425">
        <v>18</v>
      </c>
      <c r="T25" s="425">
        <v>25</v>
      </c>
    </row>
    <row r="26" spans="1:20" ht="12">
      <c r="A26" s="306" t="str">
        <f t="shared" si="13"/>
        <v>ARI</v>
      </c>
      <c r="B26" s="307">
        <f t="shared" si="14"/>
        <v>72.978303747534511</v>
      </c>
      <c r="C26" s="307">
        <f t="shared" si="15"/>
        <v>69.354838709677423</v>
      </c>
      <c r="D26" s="308">
        <f>90</f>
        <v>90</v>
      </c>
      <c r="E26" s="308">
        <f t="shared" si="16"/>
        <v>69</v>
      </c>
      <c r="F26" s="308">
        <f t="shared" si="17"/>
        <v>77</v>
      </c>
      <c r="G26" s="308">
        <f t="shared" si="18"/>
        <v>65</v>
      </c>
      <c r="H26" s="308">
        <f t="shared" si="19"/>
        <v>73</v>
      </c>
      <c r="I26" s="314" t="str">
        <f t="shared" si="20"/>
        <v>69 - 77</v>
      </c>
      <c r="J26" s="310" t="str">
        <f t="shared" si="21"/>
        <v>65 - 73</v>
      </c>
      <c r="K26" s="311">
        <f t="shared" si="22"/>
        <v>-3.6234650378570876</v>
      </c>
      <c r="L26" s="320">
        <f t="shared" si="9"/>
        <v>-0.11767511490586711</v>
      </c>
      <c r="M26" s="320">
        <f t="shared" si="10"/>
        <v>4.5205814148725362E-2</v>
      </c>
      <c r="N26" s="313">
        <f t="shared" si="11"/>
        <v>0</v>
      </c>
      <c r="O26" s="306" t="str">
        <f t="shared" si="12"/>
        <v>ARI</v>
      </c>
      <c r="P26" s="306" t="s">
        <v>77</v>
      </c>
      <c r="Q26" s="425">
        <v>370</v>
      </c>
      <c r="R26" s="425">
        <v>507</v>
      </c>
      <c r="S26" s="425">
        <v>387</v>
      </c>
      <c r="T26" s="425">
        <v>558</v>
      </c>
    </row>
    <row r="27" spans="1:20" ht="12">
      <c r="A27" s="306" t="str">
        <f t="shared" si="13"/>
        <v>SJH</v>
      </c>
      <c r="B27" s="307">
        <f t="shared" si="14"/>
        <v>59.024390243902438</v>
      </c>
      <c r="C27" s="307">
        <f t="shared" si="15"/>
        <v>69.047619047619051</v>
      </c>
      <c r="D27" s="308">
        <f>90</f>
        <v>90</v>
      </c>
      <c r="E27" s="308">
        <f t="shared" si="16"/>
        <v>52</v>
      </c>
      <c r="F27" s="308">
        <f t="shared" si="17"/>
        <v>66</v>
      </c>
      <c r="G27" s="308">
        <f t="shared" si="18"/>
        <v>62</v>
      </c>
      <c r="H27" s="308">
        <f t="shared" si="19"/>
        <v>75</v>
      </c>
      <c r="I27" s="314" t="str">
        <f t="shared" si="20"/>
        <v>52 - 66</v>
      </c>
      <c r="J27" s="310" t="str">
        <f t="shared" si="21"/>
        <v>62 - 75</v>
      </c>
      <c r="K27" s="311">
        <f t="shared" si="22"/>
        <v>10.023228803716613</v>
      </c>
      <c r="L27" s="320">
        <f t="shared" si="9"/>
        <v>-3.7362343987029228E-2</v>
      </c>
      <c r="M27" s="320">
        <f t="shared" si="10"/>
        <v>0.23782692006136144</v>
      </c>
      <c r="N27" s="313">
        <f t="shared" si="11"/>
        <v>0</v>
      </c>
      <c r="O27" s="306" t="str">
        <f t="shared" si="12"/>
        <v>SJH</v>
      </c>
      <c r="P27" s="306" t="s">
        <v>114</v>
      </c>
      <c r="Q27" s="425">
        <v>121</v>
      </c>
      <c r="R27" s="425">
        <v>205</v>
      </c>
      <c r="S27" s="425">
        <v>145</v>
      </c>
      <c r="T27" s="425">
        <v>210</v>
      </c>
    </row>
    <row r="28" spans="1:20" ht="12">
      <c r="A28" s="306" t="str">
        <f t="shared" si="13"/>
        <v>RIE</v>
      </c>
      <c r="B28" s="307">
        <f t="shared" si="14"/>
        <v>63.052781740370904</v>
      </c>
      <c r="C28" s="307">
        <f t="shared" si="15"/>
        <v>64.047936085219703</v>
      </c>
      <c r="D28" s="308">
        <f>90</f>
        <v>90</v>
      </c>
      <c r="E28" s="308">
        <f t="shared" si="16"/>
        <v>59</v>
      </c>
      <c r="F28" s="308">
        <f t="shared" si="17"/>
        <v>67</v>
      </c>
      <c r="G28" s="308">
        <f t="shared" si="18"/>
        <v>61</v>
      </c>
      <c r="H28" s="308">
        <f t="shared" si="19"/>
        <v>67</v>
      </c>
      <c r="I28" s="314" t="str">
        <f t="shared" si="20"/>
        <v>59 - 67</v>
      </c>
      <c r="J28" s="310" t="str">
        <f t="shared" si="21"/>
        <v>61 - 67</v>
      </c>
      <c r="K28" s="311">
        <f t="shared" si="22"/>
        <v>0.99515434484879961</v>
      </c>
      <c r="L28" s="320">
        <f t="shared" si="9"/>
        <v>-6.4242305643232925E-2</v>
      </c>
      <c r="M28" s="320">
        <f t="shared" si="10"/>
        <v>8.4145392540208988E-2</v>
      </c>
      <c r="N28" s="313">
        <f t="shared" si="11"/>
        <v>0</v>
      </c>
      <c r="O28" s="306" t="str">
        <f t="shared" si="12"/>
        <v>RIE</v>
      </c>
      <c r="P28" s="306" t="s">
        <v>111</v>
      </c>
      <c r="Q28" s="425">
        <v>442</v>
      </c>
      <c r="R28" s="425">
        <v>701</v>
      </c>
      <c r="S28" s="425">
        <v>481</v>
      </c>
      <c r="T28" s="425">
        <v>751</v>
      </c>
    </row>
    <row r="29" spans="1:20" ht="12">
      <c r="A29" s="306" t="str">
        <f t="shared" si="13"/>
        <v>PRI</v>
      </c>
      <c r="B29" s="307">
        <f t="shared" si="14"/>
        <v>73.86363636363636</v>
      </c>
      <c r="C29" s="307">
        <f t="shared" si="15"/>
        <v>63.855421686746979</v>
      </c>
      <c r="D29" s="308">
        <f>90</f>
        <v>90</v>
      </c>
      <c r="E29" s="308">
        <f t="shared" si="16"/>
        <v>67</v>
      </c>
      <c r="F29" s="308">
        <f t="shared" si="17"/>
        <v>80</v>
      </c>
      <c r="G29" s="308">
        <f t="shared" si="18"/>
        <v>56</v>
      </c>
      <c r="H29" s="308">
        <f t="shared" si="19"/>
        <v>71</v>
      </c>
      <c r="I29" s="314" t="str">
        <f t="shared" si="20"/>
        <v>67 - 80</v>
      </c>
      <c r="J29" s="310" t="str">
        <f t="shared" si="21"/>
        <v>56 - 71</v>
      </c>
      <c r="K29" s="311">
        <f t="shared" si="22"/>
        <v>-10.008214676889381</v>
      </c>
      <c r="L29" s="320">
        <f t="shared" si="9"/>
        <v>-0.24646793790595378</v>
      </c>
      <c r="M29" s="320">
        <f t="shared" si="10"/>
        <v>4.6303644368166141E-2</v>
      </c>
      <c r="N29" s="313">
        <f t="shared" si="11"/>
        <v>0</v>
      </c>
      <c r="O29" s="306" t="str">
        <f t="shared" si="12"/>
        <v>PRI</v>
      </c>
      <c r="P29" s="306" t="s">
        <v>129</v>
      </c>
      <c r="Q29" s="425">
        <v>130</v>
      </c>
      <c r="R29" s="425">
        <v>176</v>
      </c>
      <c r="S29" s="425">
        <v>106</v>
      </c>
      <c r="T29" s="425">
        <v>166</v>
      </c>
    </row>
    <row r="30" spans="1:20" ht="12">
      <c r="A30" s="306" t="str">
        <f t="shared" si="13"/>
        <v>WGH</v>
      </c>
      <c r="B30" s="307">
        <f t="shared" si="14"/>
        <v>60.4</v>
      </c>
      <c r="C30" s="307">
        <f t="shared" si="15"/>
        <v>53.977272727272727</v>
      </c>
      <c r="D30" s="308">
        <f>90</f>
        <v>90</v>
      </c>
      <c r="E30" s="308">
        <f t="shared" si="16"/>
        <v>54</v>
      </c>
      <c r="F30" s="308">
        <f t="shared" si="17"/>
        <v>66</v>
      </c>
      <c r="G30" s="308">
        <f t="shared" si="18"/>
        <v>47</v>
      </c>
      <c r="H30" s="308">
        <f t="shared" si="19"/>
        <v>61</v>
      </c>
      <c r="I30" s="314" t="str">
        <f t="shared" si="20"/>
        <v>54 - 66</v>
      </c>
      <c r="J30" s="310" t="str">
        <f t="shared" si="21"/>
        <v>47 - 61</v>
      </c>
      <c r="K30" s="311">
        <f t="shared" si="22"/>
        <v>-6.422727272727272</v>
      </c>
      <c r="L30" s="320">
        <f t="shared" si="9"/>
        <v>-0.20706635506076354</v>
      </c>
      <c r="M30" s="320">
        <f t="shared" si="10"/>
        <v>7.8611809606218164E-2</v>
      </c>
      <c r="N30" s="313">
        <f t="shared" si="11"/>
        <v>0</v>
      </c>
      <c r="O30" s="306" t="str">
        <f t="shared" si="12"/>
        <v>WGH</v>
      </c>
      <c r="P30" s="306" t="s">
        <v>117</v>
      </c>
      <c r="Q30" s="425">
        <v>151</v>
      </c>
      <c r="R30" s="425">
        <v>250</v>
      </c>
      <c r="S30" s="425">
        <v>95</v>
      </c>
      <c r="T30" s="425">
        <v>176</v>
      </c>
    </row>
    <row r="31" spans="1:20" ht="12">
      <c r="A31" s="306" t="str">
        <f t="shared" si="13"/>
        <v>Raigmore</v>
      </c>
      <c r="B31" s="307">
        <f t="shared" si="14"/>
        <v>63.84615384615384</v>
      </c>
      <c r="C31" s="307">
        <f t="shared" si="15"/>
        <v>44.061302681992338</v>
      </c>
      <c r="D31" s="308">
        <f>90</f>
        <v>90</v>
      </c>
      <c r="E31" s="308">
        <f t="shared" si="16"/>
        <v>58</v>
      </c>
      <c r="F31" s="308">
        <f t="shared" si="17"/>
        <v>69</v>
      </c>
      <c r="G31" s="308">
        <f t="shared" si="18"/>
        <v>38</v>
      </c>
      <c r="H31" s="308">
        <f t="shared" si="19"/>
        <v>50</v>
      </c>
      <c r="I31" s="314" t="str">
        <f t="shared" si="20"/>
        <v>58 - 69</v>
      </c>
      <c r="J31" s="310" t="str">
        <f t="shared" si="21"/>
        <v>38 - 50</v>
      </c>
      <c r="K31" s="311">
        <f t="shared" si="22"/>
        <v>-19.784851164161502</v>
      </c>
      <c r="L31" s="320">
        <f t="shared" si="9"/>
        <v>-0.32348544723912825</v>
      </c>
      <c r="M31" s="320">
        <f t="shared" si="10"/>
        <v>-7.2211576044101833E-2</v>
      </c>
      <c r="N31" s="313">
        <f t="shared" si="11"/>
        <v>-1</v>
      </c>
      <c r="O31" s="306" t="str">
        <f t="shared" si="12"/>
        <v>Raigmore</v>
      </c>
      <c r="P31" s="306" t="s">
        <v>100</v>
      </c>
      <c r="Q31" s="425">
        <v>166</v>
      </c>
      <c r="R31" s="425">
        <v>260</v>
      </c>
      <c r="S31" s="425">
        <v>115</v>
      </c>
      <c r="T31" s="425">
        <v>261</v>
      </c>
    </row>
    <row r="32" spans="1:20" ht="12">
      <c r="A32" s="306" t="str">
        <f t="shared" si="13"/>
        <v>Uist &amp; Barra</v>
      </c>
      <c r="B32" s="307" t="e">
        <f t="shared" si="14"/>
        <v>#DIV/0!</v>
      </c>
      <c r="C32" s="307">
        <f t="shared" si="15"/>
        <v>0</v>
      </c>
      <c r="D32" s="308">
        <f>90</f>
        <v>90</v>
      </c>
      <c r="E32" s="308" t="e">
        <f t="shared" si="16"/>
        <v>#DIV/0!</v>
      </c>
      <c r="F32" s="308" t="e">
        <f t="shared" si="17"/>
        <v>#DIV/0!</v>
      </c>
      <c r="G32" s="308">
        <f t="shared" si="18"/>
        <v>0</v>
      </c>
      <c r="H32" s="308">
        <f t="shared" si="19"/>
        <v>79</v>
      </c>
      <c r="I32" s="314" t="e">
        <f t="shared" si="20"/>
        <v>#DIV/0!</v>
      </c>
      <c r="J32" s="310" t="str">
        <f t="shared" si="21"/>
        <v>0 - 79</v>
      </c>
      <c r="K32" s="311" t="e">
        <f t="shared" si="22"/>
        <v>#DIV/0!</v>
      </c>
      <c r="L32" s="320" t="e">
        <f t="shared" si="9"/>
        <v>#DIV/0!</v>
      </c>
      <c r="M32" s="320" t="e">
        <f t="shared" si="10"/>
        <v>#DIV/0!</v>
      </c>
      <c r="N32" s="313" t="str">
        <f t="shared" si="11"/>
        <v/>
      </c>
      <c r="O32" s="306" t="str">
        <f t="shared" si="12"/>
        <v>Uist &amp; Barra</v>
      </c>
      <c r="P32" s="306" t="s">
        <v>132</v>
      </c>
      <c r="Q32" s="425"/>
      <c r="R32" s="425"/>
      <c r="S32" s="425">
        <v>0</v>
      </c>
      <c r="T32" s="425">
        <v>1</v>
      </c>
    </row>
    <row r="34" spans="15:23" ht="15">
      <c r="O34"/>
      <c r="P34"/>
      <c r="Q34"/>
      <c r="R34"/>
      <c r="S34"/>
      <c r="T34"/>
      <c r="U34"/>
      <c r="V34"/>
      <c r="W34"/>
    </row>
    <row r="35" spans="15:23" ht="15">
      <c r="O35"/>
      <c r="P35"/>
      <c r="Q35"/>
      <c r="R35"/>
      <c r="S35"/>
      <c r="T35"/>
      <c r="U35"/>
      <c r="V35"/>
      <c r="W35"/>
    </row>
    <row r="36" spans="15:23" ht="15">
      <c r="O36"/>
      <c r="P36"/>
      <c r="Q36"/>
      <c r="R36"/>
      <c r="S36"/>
      <c r="T36"/>
      <c r="U36"/>
      <c r="V36"/>
      <c r="W36"/>
    </row>
    <row r="37" spans="15:23" ht="15">
      <c r="O37"/>
      <c r="P37"/>
      <c r="Q37"/>
      <c r="R37"/>
      <c r="S37"/>
      <c r="T37"/>
      <c r="U37"/>
      <c r="V37"/>
      <c r="W37"/>
    </row>
    <row r="38" spans="15:23" ht="15">
      <c r="O38"/>
      <c r="P38"/>
      <c r="Q38"/>
      <c r="R38"/>
      <c r="S38"/>
      <c r="T38"/>
      <c r="U38"/>
      <c r="V38"/>
      <c r="W38"/>
    </row>
    <row r="39" spans="15:23" ht="15">
      <c r="O39"/>
      <c r="P39"/>
      <c r="Q39"/>
      <c r="R39"/>
      <c r="S39"/>
      <c r="T39"/>
      <c r="U39"/>
      <c r="V39"/>
      <c r="W39"/>
    </row>
    <row r="40" spans="15:23" ht="15">
      <c r="O40"/>
      <c r="P40"/>
      <c r="Q40"/>
      <c r="R40"/>
      <c r="S40"/>
      <c r="T40"/>
      <c r="U40"/>
      <c r="V40"/>
      <c r="W40"/>
    </row>
    <row r="41" spans="15:23" ht="15">
      <c r="O41"/>
      <c r="P41"/>
      <c r="Q41"/>
      <c r="R41"/>
      <c r="S41"/>
      <c r="T41"/>
      <c r="U41"/>
      <c r="V41"/>
      <c r="W41"/>
    </row>
    <row r="42" spans="15:23" ht="15">
      <c r="O42"/>
      <c r="P42"/>
      <c r="Q42"/>
      <c r="R42"/>
      <c r="S42"/>
      <c r="T42"/>
      <c r="U42"/>
      <c r="V42"/>
      <c r="W42"/>
    </row>
    <row r="43" spans="15:23" ht="15">
      <c r="O43"/>
      <c r="P43"/>
      <c r="Q43"/>
      <c r="R43"/>
      <c r="S43"/>
      <c r="T43"/>
      <c r="U43"/>
      <c r="V43"/>
      <c r="W43"/>
    </row>
    <row r="44" spans="15:23" ht="15">
      <c r="O44"/>
      <c r="P44"/>
      <c r="Q44"/>
      <c r="R44"/>
      <c r="S44"/>
      <c r="T44"/>
      <c r="U44"/>
      <c r="V44"/>
      <c r="W44"/>
    </row>
    <row r="45" spans="15:23" ht="15">
      <c r="O45"/>
      <c r="P45"/>
      <c r="Q45"/>
      <c r="R45"/>
      <c r="S45"/>
      <c r="T45"/>
      <c r="U45"/>
      <c r="V45"/>
      <c r="W45"/>
    </row>
    <row r="46" spans="15:23" ht="15">
      <c r="O46"/>
      <c r="P46"/>
      <c r="Q46"/>
      <c r="R46"/>
      <c r="S46"/>
      <c r="T46"/>
      <c r="U46"/>
      <c r="V46"/>
      <c r="W46"/>
    </row>
    <row r="47" spans="15:23" ht="15">
      <c r="O47"/>
      <c r="P47"/>
      <c r="Q47"/>
      <c r="R47"/>
      <c r="S47"/>
      <c r="T47"/>
      <c r="U47"/>
      <c r="V47"/>
      <c r="W47"/>
    </row>
    <row r="48" spans="15: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row r="55" spans="15:23" ht="15">
      <c r="O55"/>
      <c r="P55"/>
      <c r="Q55"/>
      <c r="R55"/>
      <c r="S55"/>
      <c r="T55"/>
      <c r="U55"/>
      <c r="V55"/>
      <c r="W55"/>
    </row>
    <row r="56" spans="15:23" ht="15">
      <c r="O56"/>
      <c r="P56"/>
      <c r="Q56"/>
      <c r="R56"/>
      <c r="S56"/>
      <c r="T56"/>
      <c r="U56"/>
      <c r="V56"/>
      <c r="W56"/>
    </row>
    <row r="57" spans="15:23" ht="15">
      <c r="O57"/>
      <c r="P57"/>
      <c r="Q57"/>
      <c r="R57"/>
      <c r="S57"/>
      <c r="T57"/>
      <c r="U57"/>
      <c r="V57"/>
      <c r="W57"/>
    </row>
    <row r="58" spans="15:23" ht="15">
      <c r="O58"/>
      <c r="P58"/>
      <c r="Q58"/>
      <c r="R58"/>
      <c r="S58"/>
      <c r="T58"/>
      <c r="U58"/>
      <c r="V58"/>
      <c r="W58"/>
    </row>
    <row r="59" spans="15:23" ht="15">
      <c r="O59"/>
      <c r="P59"/>
      <c r="Q59"/>
      <c r="R59"/>
      <c r="S59"/>
      <c r="T59"/>
      <c r="U59"/>
      <c r="V59"/>
      <c r="W59"/>
    </row>
    <row r="60" spans="15:23" ht="15">
      <c r="O60"/>
      <c r="P60"/>
      <c r="Q60"/>
      <c r="R60"/>
      <c r="S60"/>
      <c r="T60"/>
      <c r="U60"/>
      <c r="V60"/>
      <c r="W60"/>
    </row>
    <row r="61" spans="15:23" ht="15">
      <c r="O61"/>
      <c r="P61"/>
      <c r="Q61"/>
      <c r="R61"/>
      <c r="S61"/>
      <c r="T61"/>
      <c r="U61"/>
      <c r="V61"/>
      <c r="W61"/>
    </row>
    <row r="62" spans="15:23" ht="15">
      <c r="O62"/>
      <c r="P62"/>
      <c r="Q62"/>
      <c r="R62"/>
      <c r="S62"/>
      <c r="T62"/>
      <c r="U62"/>
      <c r="V62"/>
      <c r="W62"/>
    </row>
    <row r="63" spans="15:23" ht="15">
      <c r="O63"/>
      <c r="P63"/>
      <c r="Q63"/>
      <c r="R63"/>
      <c r="S63"/>
      <c r="T63"/>
      <c r="U63"/>
      <c r="V63"/>
      <c r="W63"/>
    </row>
    <row r="64" spans="15:23" ht="15">
      <c r="O64"/>
      <c r="P64"/>
      <c r="Q64"/>
      <c r="R64"/>
      <c r="S64"/>
      <c r="T64"/>
      <c r="U64"/>
      <c r="V64"/>
      <c r="W64"/>
    </row>
    <row r="65" spans="15:23" ht="15">
      <c r="O65"/>
      <c r="P65"/>
      <c r="Q65"/>
      <c r="R65"/>
      <c r="S65"/>
      <c r="T65"/>
      <c r="U65"/>
      <c r="V65"/>
      <c r="W65"/>
    </row>
  </sheetData>
  <sheetProtection password="B8D9" sheet="1" objects="1" scenarios="1"/>
  <sortState ref="A4:T34">
    <sortCondition descending="1" ref="C4:C34"/>
  </sortState>
  <mergeCells count="7">
    <mergeCell ref="A1:A2"/>
    <mergeCell ref="B1:H1"/>
    <mergeCell ref="O1:P1"/>
    <mergeCell ref="Q1:R1"/>
    <mergeCell ref="S1:T1"/>
    <mergeCell ref="E2:F2"/>
    <mergeCell ref="G2:H2"/>
  </mergeCells>
  <conditionalFormatting sqref="A3:A32">
    <cfRule type="expression" dxfId="24" priority="4" stopIfTrue="1">
      <formula>N3=-1</formula>
    </cfRule>
    <cfRule type="expression" dxfId="23" priority="5" stopIfTrue="1">
      <formula>N3=0</formula>
    </cfRule>
    <cfRule type="expression" dxfId="22" priority="6" stopIfTrue="1">
      <formula>N3=1</formula>
    </cfRule>
  </conditionalFormatting>
  <printOptions horizontalCentered="1"/>
  <pageMargins left="0" right="0" top="0.74803149606299213" bottom="0.74803149606299213" header="0.31496062992125984" footer="0.31496062992125984"/>
  <pageSetup paperSize="9" scale="59" orientation="landscape" r:id="rId1"/>
  <headerFooter alignWithMargins="0">
    <oddHeader>&amp;LChart 2a DATA
Percentage of stroke patients admitted to a Stroke Unit within 1 day of admission to hospital, 2014 and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25.xml><?xml version="1.0" encoding="utf-8"?>
<worksheet xmlns="http://schemas.openxmlformats.org/spreadsheetml/2006/main" xmlns:r="http://schemas.openxmlformats.org/officeDocument/2006/relationships">
  <sheetPr codeName="Sheet8"/>
  <dimension ref="B1:U35"/>
  <sheetViews>
    <sheetView workbookViewId="0"/>
  </sheetViews>
  <sheetFormatPr defaultRowHeight="12.75"/>
  <cols>
    <col min="1" max="1" width="1.7109375" style="2" customWidth="1"/>
    <col min="2" max="16384" width="9.140625" style="2"/>
  </cols>
  <sheetData>
    <row r="1" spans="2:21">
      <c r="B1" s="23" t="s">
        <v>512</v>
      </c>
      <c r="O1" s="802" t="s">
        <v>48</v>
      </c>
    </row>
    <row r="2" spans="2:21">
      <c r="O2" s="802"/>
    </row>
    <row r="3" spans="2:21">
      <c r="B3" s="212" t="s">
        <v>47</v>
      </c>
      <c r="O3" s="802"/>
    </row>
    <row r="4" spans="2:21">
      <c r="O4" s="802"/>
    </row>
    <row r="6" spans="2:21">
      <c r="O6" s="826" t="s">
        <v>465</v>
      </c>
      <c r="P6" s="826"/>
    </row>
    <row r="12" spans="2:21" ht="15">
      <c r="U12"/>
    </row>
    <row r="13" spans="2:21" ht="15">
      <c r="O13" s="199"/>
      <c r="P13" t="s">
        <v>298</v>
      </c>
      <c r="Q13"/>
      <c r="R13"/>
      <c r="S13"/>
      <c r="T13"/>
      <c r="U13"/>
    </row>
    <row r="14" spans="2:21" ht="15">
      <c r="O14" s="200"/>
      <c r="P14" t="s">
        <v>507</v>
      </c>
      <c r="Q14"/>
      <c r="R14"/>
      <c r="S14"/>
      <c r="T14"/>
      <c r="U14"/>
    </row>
    <row r="15" spans="2:21" ht="15">
      <c r="O15" s="201"/>
      <c r="P15" t="s">
        <v>508</v>
      </c>
      <c r="Q15"/>
      <c r="R15"/>
      <c r="S15"/>
      <c r="T15"/>
      <c r="U15"/>
    </row>
    <row r="16" spans="2:21" ht="15">
      <c r="O16" s="283"/>
      <c r="P16" t="s">
        <v>509</v>
      </c>
      <c r="Q16"/>
      <c r="R16"/>
      <c r="S16"/>
      <c r="T16"/>
      <c r="U16"/>
    </row>
    <row r="17" spans="2:20" ht="15">
      <c r="O17"/>
      <c r="P17" t="s">
        <v>280</v>
      </c>
      <c r="Q17"/>
      <c r="R17"/>
      <c r="S17"/>
      <c r="T17"/>
    </row>
    <row r="31" spans="2:20" ht="15">
      <c r="B31" s="206" t="s">
        <v>450</v>
      </c>
      <c r="C31" s="207"/>
      <c r="D31" s="208"/>
      <c r="E31" s="208"/>
      <c r="F31" s="208"/>
      <c r="G31" s="208"/>
      <c r="H31" s="208"/>
      <c r="I31" s="208"/>
      <c r="J31" s="207"/>
    </row>
    <row r="32" spans="2:20" s="436" customFormat="1" ht="15">
      <c r="B32" s="209" t="s">
        <v>525</v>
      </c>
      <c r="C32" s="207"/>
      <c r="D32" s="208"/>
      <c r="E32" s="208"/>
      <c r="F32" s="208"/>
      <c r="G32" s="208"/>
      <c r="H32" s="208"/>
      <c r="I32" s="208"/>
      <c r="J32" s="207"/>
    </row>
    <row r="33" spans="2:14" s="436" customFormat="1" ht="15">
      <c r="B33" s="209" t="s">
        <v>523</v>
      </c>
      <c r="C33" s="207"/>
      <c r="D33" s="208"/>
      <c r="E33" s="208"/>
      <c r="F33" s="208"/>
      <c r="G33" s="208"/>
      <c r="H33" s="208"/>
      <c r="I33" s="208"/>
      <c r="J33" s="207"/>
    </row>
    <row r="34" spans="2:14" s="436" customFormat="1">
      <c r="B34" s="825" t="s">
        <v>297</v>
      </c>
      <c r="C34" s="825"/>
      <c r="D34" s="825"/>
      <c r="E34" s="825"/>
      <c r="F34" s="825"/>
      <c r="G34" s="825"/>
      <c r="H34" s="825"/>
      <c r="I34" s="825"/>
      <c r="J34" s="825"/>
      <c r="K34" s="825"/>
      <c r="L34" s="825"/>
      <c r="M34" s="825"/>
      <c r="N34" s="825"/>
    </row>
    <row r="35" spans="2:14" s="436" customFormat="1">
      <c r="B35" s="825"/>
      <c r="C35" s="825"/>
      <c r="D35" s="825"/>
      <c r="E35" s="825"/>
      <c r="F35" s="825"/>
      <c r="G35" s="825"/>
      <c r="H35" s="825"/>
      <c r="I35" s="825"/>
      <c r="J35" s="825"/>
      <c r="K35" s="825"/>
      <c r="L35" s="825"/>
      <c r="M35" s="825"/>
      <c r="N35" s="825"/>
    </row>
  </sheetData>
  <sheetProtection password="B8D9" sheet="1" objects="1" scenarios="1"/>
  <mergeCells count="3">
    <mergeCell ref="O1:O4"/>
    <mergeCell ref="B34:N35"/>
    <mergeCell ref="O6:P6"/>
  </mergeCells>
  <hyperlinks>
    <hyperlink ref="O1" location="'List of Tables &amp; Charts'!A1" display="return to List of Tables &amp; Charts"/>
    <hyperlink ref="O6:P6" location="'Chart 2b DATA'!A1" display="view Chart 2b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26.xml><?xml version="1.0" encoding="utf-8"?>
<worksheet xmlns="http://schemas.openxmlformats.org/spreadsheetml/2006/main" xmlns:r="http://schemas.openxmlformats.org/officeDocument/2006/relationships">
  <sheetPr codeName="Sheet9">
    <pageSetUpPr fitToPage="1"/>
  </sheetPr>
  <dimension ref="A1:W64"/>
  <sheetViews>
    <sheetView workbookViewId="0">
      <selection sqref="A1:A2"/>
    </sheetView>
  </sheetViews>
  <sheetFormatPr defaultRowHeight="11.25"/>
  <cols>
    <col min="1" max="1" width="15.7109375" style="211" customWidth="1"/>
    <col min="2" max="8" width="9.140625" style="211"/>
    <col min="9" max="14" width="9.7109375" style="211" customWidth="1"/>
    <col min="15" max="15" width="10.42578125" style="211" bestFit="1" customWidth="1"/>
    <col min="16" max="16" width="45.7109375" style="211" customWidth="1"/>
    <col min="17" max="20" width="11.7109375" style="315" customWidth="1"/>
    <col min="21" max="16384" width="9.140625" style="211"/>
  </cols>
  <sheetData>
    <row r="1" spans="1:20" ht="15" customHeight="1">
      <c r="A1" s="811" t="s">
        <v>27</v>
      </c>
      <c r="B1" s="822" t="s">
        <v>44</v>
      </c>
      <c r="C1" s="814"/>
      <c r="D1" s="814"/>
      <c r="E1" s="814"/>
      <c r="F1" s="814"/>
      <c r="G1" s="814"/>
      <c r="H1" s="814"/>
      <c r="I1" s="295"/>
      <c r="J1" s="322"/>
      <c r="K1" s="322"/>
      <c r="L1" s="296"/>
      <c r="M1" s="296"/>
      <c r="N1" s="296"/>
      <c r="O1" s="815" t="s">
        <v>20</v>
      </c>
      <c r="P1" s="816"/>
      <c r="Q1" s="815">
        <v>2014</v>
      </c>
      <c r="R1" s="815"/>
      <c r="S1" s="815">
        <v>2015</v>
      </c>
      <c r="T1" s="815"/>
    </row>
    <row r="2" spans="1:20" ht="23.25" customHeight="1">
      <c r="A2" s="812"/>
      <c r="B2" s="297" t="s">
        <v>298</v>
      </c>
      <c r="C2" s="297" t="s">
        <v>491</v>
      </c>
      <c r="D2" s="298" t="s">
        <v>21</v>
      </c>
      <c r="E2" s="817" t="s">
        <v>492</v>
      </c>
      <c r="F2" s="817"/>
      <c r="G2" s="817" t="s">
        <v>493</v>
      </c>
      <c r="H2" s="818"/>
      <c r="I2" s="299" t="s">
        <v>22</v>
      </c>
      <c r="J2" s="300" t="s">
        <v>23</v>
      </c>
      <c r="K2" s="300" t="s">
        <v>24</v>
      </c>
      <c r="L2" s="302" t="s">
        <v>16</v>
      </c>
      <c r="M2" s="302" t="s">
        <v>15</v>
      </c>
      <c r="N2" s="303" t="s">
        <v>25</v>
      </c>
      <c r="O2" s="304" t="s">
        <v>26</v>
      </c>
      <c r="P2" s="305" t="s">
        <v>27</v>
      </c>
      <c r="Q2" s="305" t="s">
        <v>28</v>
      </c>
      <c r="R2" s="305" t="s">
        <v>29</v>
      </c>
      <c r="S2" s="305" t="s">
        <v>28</v>
      </c>
      <c r="T2" s="305" t="s">
        <v>29</v>
      </c>
    </row>
    <row r="3" spans="1:20" ht="12">
      <c r="A3" s="306" t="str">
        <f>O3</f>
        <v>Scotland</v>
      </c>
      <c r="B3" s="307">
        <f t="shared" ref="B3" si="0">Q3/R3*100</f>
        <v>76.960054938766163</v>
      </c>
      <c r="C3" s="307">
        <f t="shared" ref="C3" si="1">S3/T3*100</f>
        <v>79.880345668070021</v>
      </c>
      <c r="D3" s="307">
        <f>90</f>
        <v>90</v>
      </c>
      <c r="E3" s="16">
        <f t="shared" ref="E3" si="2">SUM(1*MID(I3,1,FIND(" - ",I3)-1))</f>
        <v>76</v>
      </c>
      <c r="F3" s="308">
        <f t="shared" ref="F3" si="3">SUM(1*MID(I3,FIND(" - ",I3)+2,LEN(I3)))</f>
        <v>78</v>
      </c>
      <c r="G3" s="308">
        <f t="shared" ref="G3" si="4">SUM(1*MID(J3,1,FIND(" - ",J3)-1))</f>
        <v>79</v>
      </c>
      <c r="H3" s="308">
        <f t="shared" ref="H3" si="5">SUM(1*MID(J3,FIND(" - ",J3)+2,LEN(J3)))</f>
        <v>81</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76 - 78</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79 - 81</v>
      </c>
      <c r="K3" s="311">
        <f t="shared" ref="K3" si="8">C3-B3</f>
        <v>2.9202907293038578</v>
      </c>
      <c r="L3" s="320">
        <f t="shared" ref="L3:L32" si="9">((S3/T3)-(Q3/R3))-(NORMSINV(1-(0.05/COUNTA($O$3:$O$32)))*(SQRT((((Q3/R3)*(1-(Q3/R3)))/R3)+(((S3/T3)*(1-(S3/T3)))/T3))))</f>
        <v>1.1085155939193854E-2</v>
      </c>
      <c r="M3" s="320">
        <f t="shared" ref="M3:M32" si="10">((S3/T3)-(Q3/R3))+(NORMSINV(1-(0.05/COUNTA($O$3:$O$32)))*(SQRT((((Q3/R3)*(1-(Q3/R3)))/R3)+(((S3/T3)*(1-(S3/T3)))/T3))))</f>
        <v>4.7320658646883222E-2</v>
      </c>
      <c r="N3" s="313">
        <f t="shared" ref="N3:N32" si="11">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6" t="str">
        <f t="shared" ref="O3:O32" si="12">VLOOKUP(P3,Hospitals,3,FALSE)</f>
        <v>Scotland</v>
      </c>
      <c r="P3" s="306" t="s">
        <v>286</v>
      </c>
      <c r="Q3" s="425">
        <v>6724</v>
      </c>
      <c r="R3" s="425">
        <v>8737</v>
      </c>
      <c r="S3" s="425">
        <v>7210</v>
      </c>
      <c r="T3" s="425">
        <v>9026</v>
      </c>
    </row>
    <row r="4" spans="1:20" ht="12">
      <c r="A4" s="306" t="str">
        <f t="shared" ref="A4:A32" si="13">O4</f>
        <v>Belford</v>
      </c>
      <c r="B4" s="307">
        <f t="shared" ref="B4:B32" si="14">Q4/R4*100</f>
        <v>90</v>
      </c>
      <c r="C4" s="307">
        <f t="shared" ref="C4:C32" si="15">S4/T4*100</f>
        <v>100</v>
      </c>
      <c r="D4" s="308">
        <f>90</f>
        <v>90</v>
      </c>
      <c r="E4" s="308">
        <f t="shared" ref="E4:E32" si="16">SUM(1*MID(I4,1,FIND(" - ",I4)-1))</f>
        <v>74</v>
      </c>
      <c r="F4" s="308">
        <f t="shared" ref="F4:F32" si="17">SUM(1*MID(I4,FIND(" - ",I4)+2,LEN(I4)))</f>
        <v>97</v>
      </c>
      <c r="G4" s="308">
        <f t="shared" ref="G4:G32" si="18">SUM(1*MID(J4,1,FIND(" - ",J4)-1))</f>
        <v>88</v>
      </c>
      <c r="H4" s="308">
        <f t="shared" ref="H4:H32" si="19">SUM(1*MID(J4,FIND(" - ",J4)+2,LEN(J4)))</f>
        <v>100</v>
      </c>
      <c r="I4" s="314" t="str">
        <f t="shared" ref="I4:I32"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74 - 97</v>
      </c>
      <c r="J4" s="310" t="str">
        <f t="shared" ref="J4:J32"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88 - 100</v>
      </c>
      <c r="K4" s="311">
        <f t="shared" ref="K4:K32" si="22">C4-B4</f>
        <v>10</v>
      </c>
      <c r="L4" s="320">
        <f t="shared" si="9"/>
        <v>-6.0767495987546633E-2</v>
      </c>
      <c r="M4" s="320">
        <f t="shared" si="10"/>
        <v>0.26076749598754656</v>
      </c>
      <c r="N4" s="313">
        <f t="shared" si="11"/>
        <v>0</v>
      </c>
      <c r="O4" s="306" t="str">
        <f t="shared" si="12"/>
        <v>Belford</v>
      </c>
      <c r="P4" s="306" t="s">
        <v>91</v>
      </c>
      <c r="Q4" s="425">
        <v>27</v>
      </c>
      <c r="R4" s="425">
        <v>30</v>
      </c>
      <c r="S4" s="425">
        <v>28</v>
      </c>
      <c r="T4" s="425">
        <v>28</v>
      </c>
    </row>
    <row r="5" spans="1:20" ht="12">
      <c r="A5" s="306" t="str">
        <f t="shared" si="13"/>
        <v>Uist &amp; Barra</v>
      </c>
      <c r="B5" s="307" t="e">
        <f t="shared" si="14"/>
        <v>#DIV/0!</v>
      </c>
      <c r="C5" s="307">
        <f t="shared" si="15"/>
        <v>100</v>
      </c>
      <c r="D5" s="308">
        <f>90</f>
        <v>90</v>
      </c>
      <c r="E5" s="308" t="e">
        <f t="shared" si="16"/>
        <v>#DIV/0!</v>
      </c>
      <c r="F5" s="308" t="e">
        <f t="shared" si="17"/>
        <v>#DIV/0!</v>
      </c>
      <c r="G5" s="308">
        <f t="shared" si="18"/>
        <v>21</v>
      </c>
      <c r="H5" s="308">
        <f t="shared" si="19"/>
        <v>100</v>
      </c>
      <c r="I5" s="314" t="e">
        <f t="shared" si="20"/>
        <v>#DIV/0!</v>
      </c>
      <c r="J5" s="310" t="str">
        <f t="shared" si="21"/>
        <v>21 - 100</v>
      </c>
      <c r="K5" s="311" t="e">
        <f t="shared" si="22"/>
        <v>#DIV/0!</v>
      </c>
      <c r="L5" s="320" t="e">
        <f t="shared" si="9"/>
        <v>#DIV/0!</v>
      </c>
      <c r="M5" s="320" t="e">
        <f t="shared" si="10"/>
        <v>#DIV/0!</v>
      </c>
      <c r="N5" s="313" t="str">
        <f t="shared" si="11"/>
        <v/>
      </c>
      <c r="O5" s="306" t="str">
        <f t="shared" si="12"/>
        <v>Uist &amp; Barra</v>
      </c>
      <c r="P5" s="306" t="s">
        <v>132</v>
      </c>
      <c r="Q5" s="425"/>
      <c r="R5" s="425"/>
      <c r="S5" s="425">
        <v>1</v>
      </c>
      <c r="T5" s="425">
        <v>1</v>
      </c>
    </row>
    <row r="6" spans="1:20" ht="12">
      <c r="A6" s="306" t="str">
        <f t="shared" si="13"/>
        <v>Caithness</v>
      </c>
      <c r="B6" s="307">
        <f t="shared" si="14"/>
        <v>88.571428571428569</v>
      </c>
      <c r="C6" s="307">
        <f t="shared" si="15"/>
        <v>95.833333333333343</v>
      </c>
      <c r="D6" s="308">
        <f>90</f>
        <v>90</v>
      </c>
      <c r="E6" s="308">
        <f t="shared" si="16"/>
        <v>79</v>
      </c>
      <c r="F6" s="308">
        <f t="shared" si="17"/>
        <v>94</v>
      </c>
      <c r="G6" s="308">
        <f t="shared" si="18"/>
        <v>88</v>
      </c>
      <c r="H6" s="308">
        <f t="shared" si="19"/>
        <v>99</v>
      </c>
      <c r="I6" s="314" t="str">
        <f t="shared" si="20"/>
        <v>79 - 94</v>
      </c>
      <c r="J6" s="310" t="str">
        <f t="shared" si="21"/>
        <v>88 - 99</v>
      </c>
      <c r="K6" s="311">
        <f t="shared" si="22"/>
        <v>7.2619047619047734</v>
      </c>
      <c r="L6" s="320">
        <f t="shared" si="9"/>
        <v>-5.86685624570909E-2</v>
      </c>
      <c r="M6" s="320">
        <f t="shared" si="10"/>
        <v>0.20390665769518629</v>
      </c>
      <c r="N6" s="313">
        <f t="shared" si="11"/>
        <v>0</v>
      </c>
      <c r="O6" s="306" t="str">
        <f t="shared" si="12"/>
        <v>Caithness</v>
      </c>
      <c r="P6" s="306" t="s">
        <v>94</v>
      </c>
      <c r="Q6" s="425">
        <v>62</v>
      </c>
      <c r="R6" s="425">
        <v>70</v>
      </c>
      <c r="S6" s="425">
        <v>69</v>
      </c>
      <c r="T6" s="425">
        <v>72</v>
      </c>
    </row>
    <row r="7" spans="1:20" ht="12">
      <c r="A7" s="306" t="str">
        <f t="shared" si="13"/>
        <v>Gilbert Bain</v>
      </c>
      <c r="B7" s="307">
        <f t="shared" si="14"/>
        <v>85.714285714285708</v>
      </c>
      <c r="C7" s="307">
        <f t="shared" si="15"/>
        <v>94.285714285714278</v>
      </c>
      <c r="D7" s="308">
        <f>90</f>
        <v>90</v>
      </c>
      <c r="E7" s="308">
        <f t="shared" si="16"/>
        <v>71</v>
      </c>
      <c r="F7" s="308">
        <f t="shared" si="17"/>
        <v>94</v>
      </c>
      <c r="G7" s="308">
        <f t="shared" si="18"/>
        <v>81</v>
      </c>
      <c r="H7" s="308">
        <f t="shared" si="19"/>
        <v>98</v>
      </c>
      <c r="I7" s="314" t="str">
        <f t="shared" si="20"/>
        <v>71 - 94</v>
      </c>
      <c r="J7" s="310" t="str">
        <f t="shared" si="21"/>
        <v>81 - 98</v>
      </c>
      <c r="K7" s="311">
        <f t="shared" si="22"/>
        <v>8.5714285714285694</v>
      </c>
      <c r="L7" s="320">
        <f t="shared" si="9"/>
        <v>-0.12262080650724383</v>
      </c>
      <c r="M7" s="320">
        <f t="shared" si="10"/>
        <v>0.29404937793581531</v>
      </c>
      <c r="N7" s="313">
        <f t="shared" si="11"/>
        <v>0</v>
      </c>
      <c r="O7" s="306" t="str">
        <f t="shared" si="12"/>
        <v>Gilbert Bain</v>
      </c>
      <c r="P7" s="306" t="s">
        <v>123</v>
      </c>
      <c r="Q7" s="425">
        <v>30</v>
      </c>
      <c r="R7" s="425">
        <v>35</v>
      </c>
      <c r="S7" s="425">
        <v>33</v>
      </c>
      <c r="T7" s="425">
        <v>35</v>
      </c>
    </row>
    <row r="8" spans="1:20" ht="12">
      <c r="A8" s="306" t="str">
        <f t="shared" si="13"/>
        <v>Borders</v>
      </c>
      <c r="B8" s="307">
        <f t="shared" si="14"/>
        <v>94.660194174757279</v>
      </c>
      <c r="C8" s="307">
        <f t="shared" si="15"/>
        <v>93.607305936073061</v>
      </c>
      <c r="D8" s="308">
        <f>90</f>
        <v>90</v>
      </c>
      <c r="E8" s="308">
        <f t="shared" si="16"/>
        <v>91</v>
      </c>
      <c r="F8" s="308">
        <f t="shared" si="17"/>
        <v>97</v>
      </c>
      <c r="G8" s="308">
        <f t="shared" si="18"/>
        <v>90</v>
      </c>
      <c r="H8" s="308">
        <f t="shared" si="19"/>
        <v>96</v>
      </c>
      <c r="I8" s="314" t="str">
        <f t="shared" si="20"/>
        <v>91 - 97</v>
      </c>
      <c r="J8" s="310" t="str">
        <f t="shared" si="21"/>
        <v>90 - 96</v>
      </c>
      <c r="K8" s="311">
        <f t="shared" si="22"/>
        <v>-1.0528882386842184</v>
      </c>
      <c r="L8" s="320">
        <f t="shared" si="9"/>
        <v>-7.737257606999097E-2</v>
      </c>
      <c r="M8" s="320">
        <f t="shared" si="10"/>
        <v>5.6314811296306486E-2</v>
      </c>
      <c r="N8" s="313">
        <f t="shared" si="11"/>
        <v>0</v>
      </c>
      <c r="O8" s="306" t="str">
        <f t="shared" si="12"/>
        <v>Borders</v>
      </c>
      <c r="P8" s="306" t="s">
        <v>65</v>
      </c>
      <c r="Q8" s="425">
        <v>195</v>
      </c>
      <c r="R8" s="425">
        <v>206</v>
      </c>
      <c r="S8" s="425">
        <v>205</v>
      </c>
      <c r="T8" s="425">
        <v>219</v>
      </c>
    </row>
    <row r="9" spans="1:20" ht="12">
      <c r="A9" s="306" t="str">
        <f t="shared" si="13"/>
        <v>Western Isles</v>
      </c>
      <c r="B9" s="307">
        <f t="shared" si="14"/>
        <v>95.454545454545453</v>
      </c>
      <c r="C9" s="307">
        <f t="shared" si="15"/>
        <v>91.17647058823529</v>
      </c>
      <c r="D9" s="308">
        <f>90</f>
        <v>90</v>
      </c>
      <c r="E9" s="308">
        <f t="shared" si="16"/>
        <v>78</v>
      </c>
      <c r="F9" s="308">
        <f t="shared" si="17"/>
        <v>99</v>
      </c>
      <c r="G9" s="308">
        <f t="shared" si="18"/>
        <v>77</v>
      </c>
      <c r="H9" s="308">
        <f t="shared" si="19"/>
        <v>97</v>
      </c>
      <c r="I9" s="314" t="str">
        <f t="shared" si="20"/>
        <v>78 - 99</v>
      </c>
      <c r="J9" s="310" t="str">
        <f t="shared" si="21"/>
        <v>77 - 97</v>
      </c>
      <c r="K9" s="311">
        <f t="shared" si="22"/>
        <v>-4.2780748663101633</v>
      </c>
      <c r="L9" s="320">
        <f t="shared" si="9"/>
        <v>-0.23611155004855527</v>
      </c>
      <c r="M9" s="320">
        <f t="shared" si="10"/>
        <v>0.15055005272235195</v>
      </c>
      <c r="N9" s="313">
        <f t="shared" si="11"/>
        <v>0</v>
      </c>
      <c r="O9" s="306" t="str">
        <f t="shared" si="12"/>
        <v>Western Isles</v>
      </c>
      <c r="P9" s="306" t="s">
        <v>135</v>
      </c>
      <c r="Q9" s="425">
        <v>21</v>
      </c>
      <c r="R9" s="425">
        <v>22</v>
      </c>
      <c r="S9" s="425">
        <v>31</v>
      </c>
      <c r="T9" s="425">
        <v>34</v>
      </c>
    </row>
    <row r="10" spans="1:20" ht="12">
      <c r="A10" s="306" t="str">
        <f t="shared" si="13"/>
        <v>L&amp;I</v>
      </c>
      <c r="B10" s="307">
        <f t="shared" si="14"/>
        <v>83.333333333333343</v>
      </c>
      <c r="C10" s="307">
        <f t="shared" si="15"/>
        <v>91.111111111111114</v>
      </c>
      <c r="D10" s="308">
        <f>90</f>
        <v>90</v>
      </c>
      <c r="E10" s="308">
        <f t="shared" si="16"/>
        <v>69</v>
      </c>
      <c r="F10" s="308">
        <f t="shared" si="17"/>
        <v>92</v>
      </c>
      <c r="G10" s="308">
        <f t="shared" si="18"/>
        <v>79</v>
      </c>
      <c r="H10" s="308">
        <f t="shared" si="19"/>
        <v>96</v>
      </c>
      <c r="I10" s="314" t="str">
        <f t="shared" si="20"/>
        <v>69 - 92</v>
      </c>
      <c r="J10" s="310" t="str">
        <f t="shared" si="21"/>
        <v>79 - 96</v>
      </c>
      <c r="K10" s="311">
        <f t="shared" si="22"/>
        <v>7.7777777777777715</v>
      </c>
      <c r="L10" s="320">
        <f t="shared" si="9"/>
        <v>-0.13197306231381611</v>
      </c>
      <c r="M10" s="320">
        <f t="shared" si="10"/>
        <v>0.28752861786937156</v>
      </c>
      <c r="N10" s="313">
        <f t="shared" si="11"/>
        <v>0</v>
      </c>
      <c r="O10" s="306" t="str">
        <f t="shared" si="12"/>
        <v>L&amp;I</v>
      </c>
      <c r="P10" s="306" t="s">
        <v>97</v>
      </c>
      <c r="Q10" s="425">
        <v>35</v>
      </c>
      <c r="R10" s="425">
        <v>42</v>
      </c>
      <c r="S10" s="425">
        <v>41</v>
      </c>
      <c r="T10" s="425">
        <v>45</v>
      </c>
    </row>
    <row r="11" spans="1:20" ht="12">
      <c r="A11" s="306" t="str">
        <f t="shared" si="13"/>
        <v>Wishaw</v>
      </c>
      <c r="B11" s="307">
        <f t="shared" si="14"/>
        <v>89.244186046511629</v>
      </c>
      <c r="C11" s="307">
        <f t="shared" si="15"/>
        <v>90.606060606060595</v>
      </c>
      <c r="D11" s="308">
        <f>90</f>
        <v>90</v>
      </c>
      <c r="E11" s="308">
        <f t="shared" si="16"/>
        <v>86</v>
      </c>
      <c r="F11" s="308">
        <f t="shared" si="17"/>
        <v>92</v>
      </c>
      <c r="G11" s="308">
        <f t="shared" si="18"/>
        <v>87</v>
      </c>
      <c r="H11" s="308">
        <f t="shared" si="19"/>
        <v>93</v>
      </c>
      <c r="I11" s="314" t="str">
        <f t="shared" si="20"/>
        <v>86 - 92</v>
      </c>
      <c r="J11" s="310" t="str">
        <f t="shared" si="21"/>
        <v>87 - 93</v>
      </c>
      <c r="K11" s="311">
        <f t="shared" si="22"/>
        <v>1.3618745595489656</v>
      </c>
      <c r="L11" s="320">
        <f t="shared" si="9"/>
        <v>-5.4397021310410257E-2</v>
      </c>
      <c r="M11" s="320">
        <f t="shared" si="10"/>
        <v>8.1634512501389658E-2</v>
      </c>
      <c r="N11" s="313">
        <f t="shared" si="11"/>
        <v>0</v>
      </c>
      <c r="O11" s="306" t="str">
        <f t="shared" si="12"/>
        <v>Wishaw</v>
      </c>
      <c r="P11" s="306" t="s">
        <v>109</v>
      </c>
      <c r="Q11" s="425">
        <v>307</v>
      </c>
      <c r="R11" s="425">
        <v>344</v>
      </c>
      <c r="S11" s="425">
        <v>299</v>
      </c>
      <c r="T11" s="425">
        <v>330</v>
      </c>
    </row>
    <row r="12" spans="1:20" ht="12">
      <c r="A12" s="306" t="str">
        <f t="shared" si="13"/>
        <v>GCH</v>
      </c>
      <c r="B12" s="307">
        <f t="shared" si="14"/>
        <v>97.435897435897431</v>
      </c>
      <c r="C12" s="307">
        <f t="shared" si="15"/>
        <v>87.5</v>
      </c>
      <c r="D12" s="308">
        <f>90</f>
        <v>90</v>
      </c>
      <c r="E12" s="308">
        <f t="shared" si="16"/>
        <v>87</v>
      </c>
      <c r="F12" s="308">
        <f t="shared" si="17"/>
        <v>100</v>
      </c>
      <c r="G12" s="308">
        <f t="shared" si="18"/>
        <v>74</v>
      </c>
      <c r="H12" s="308">
        <f t="shared" si="19"/>
        <v>95</v>
      </c>
      <c r="I12" s="314" t="str">
        <f t="shared" si="20"/>
        <v>87 - 100</v>
      </c>
      <c r="J12" s="310" t="str">
        <f t="shared" si="21"/>
        <v>74 - 95</v>
      </c>
      <c r="K12" s="311">
        <f t="shared" si="22"/>
        <v>-9.9358974358974308</v>
      </c>
      <c r="L12" s="320">
        <f t="shared" si="9"/>
        <v>-0.26987812858580656</v>
      </c>
      <c r="M12" s="320">
        <f t="shared" si="10"/>
        <v>7.1160179867857887E-2</v>
      </c>
      <c r="N12" s="313">
        <f t="shared" si="11"/>
        <v>0</v>
      </c>
      <c r="O12" s="306" t="str">
        <f t="shared" si="12"/>
        <v>GCH</v>
      </c>
      <c r="P12" s="306" t="s">
        <v>70</v>
      </c>
      <c r="Q12" s="425">
        <v>38</v>
      </c>
      <c r="R12" s="425">
        <v>39</v>
      </c>
      <c r="S12" s="425">
        <v>35</v>
      </c>
      <c r="T12" s="425">
        <v>40</v>
      </c>
    </row>
    <row r="13" spans="1:20" ht="12">
      <c r="A13" s="306" t="str">
        <f t="shared" si="13"/>
        <v>Raigmore</v>
      </c>
      <c r="B13" s="307">
        <f t="shared" si="14"/>
        <v>85.846153846153854</v>
      </c>
      <c r="C13" s="307">
        <f t="shared" si="15"/>
        <v>86.723163841807903</v>
      </c>
      <c r="D13" s="308">
        <f>90</f>
        <v>90</v>
      </c>
      <c r="E13" s="308">
        <f t="shared" si="16"/>
        <v>82</v>
      </c>
      <c r="F13" s="308">
        <f t="shared" si="17"/>
        <v>89</v>
      </c>
      <c r="G13" s="308">
        <f t="shared" si="18"/>
        <v>83</v>
      </c>
      <c r="H13" s="308">
        <f t="shared" si="19"/>
        <v>90</v>
      </c>
      <c r="I13" s="314" t="str">
        <f t="shared" si="20"/>
        <v>82 - 89</v>
      </c>
      <c r="J13" s="310" t="str">
        <f t="shared" si="21"/>
        <v>83 - 90</v>
      </c>
      <c r="K13" s="311">
        <f t="shared" si="22"/>
        <v>0.87700999565404913</v>
      </c>
      <c r="L13" s="320">
        <f t="shared" si="9"/>
        <v>-6.8839115424215419E-2</v>
      </c>
      <c r="M13" s="320">
        <f t="shared" si="10"/>
        <v>8.6379315337296508E-2</v>
      </c>
      <c r="N13" s="313">
        <f t="shared" si="11"/>
        <v>0</v>
      </c>
      <c r="O13" s="306" t="str">
        <f t="shared" si="12"/>
        <v>Raigmore</v>
      </c>
      <c r="P13" s="306" t="s">
        <v>100</v>
      </c>
      <c r="Q13" s="425">
        <v>279</v>
      </c>
      <c r="R13" s="425">
        <v>325</v>
      </c>
      <c r="S13" s="425">
        <v>307</v>
      </c>
      <c r="T13" s="425">
        <v>354</v>
      </c>
    </row>
    <row r="14" spans="1:20" ht="12">
      <c r="A14" s="306" t="str">
        <f t="shared" si="13"/>
        <v>DGRI</v>
      </c>
      <c r="B14" s="307">
        <f t="shared" si="14"/>
        <v>81.746031746031747</v>
      </c>
      <c r="C14" s="307">
        <f t="shared" si="15"/>
        <v>86.008230452674894</v>
      </c>
      <c r="D14" s="308">
        <f>90</f>
        <v>90</v>
      </c>
      <c r="E14" s="308">
        <f t="shared" si="16"/>
        <v>77</v>
      </c>
      <c r="F14" s="308">
        <f t="shared" si="17"/>
        <v>86</v>
      </c>
      <c r="G14" s="308">
        <f t="shared" si="18"/>
        <v>81</v>
      </c>
      <c r="H14" s="308">
        <f t="shared" si="19"/>
        <v>90</v>
      </c>
      <c r="I14" s="314" t="str">
        <f t="shared" si="20"/>
        <v>77 - 86</v>
      </c>
      <c r="J14" s="310" t="str">
        <f t="shared" si="21"/>
        <v>81 - 90</v>
      </c>
      <c r="K14" s="311">
        <f t="shared" si="22"/>
        <v>4.2621987066431473</v>
      </c>
      <c r="L14" s="320">
        <f t="shared" si="9"/>
        <v>-5.4166990309727547E-2</v>
      </c>
      <c r="M14" s="320">
        <f t="shared" si="10"/>
        <v>0.13941096444259055</v>
      </c>
      <c r="N14" s="313">
        <f t="shared" si="11"/>
        <v>0</v>
      </c>
      <c r="O14" s="306" t="str">
        <f t="shared" si="12"/>
        <v>DGRI</v>
      </c>
      <c r="P14" s="306" t="s">
        <v>67</v>
      </c>
      <c r="Q14" s="425">
        <v>206</v>
      </c>
      <c r="R14" s="425">
        <v>252</v>
      </c>
      <c r="S14" s="425">
        <v>209</v>
      </c>
      <c r="T14" s="425">
        <v>243</v>
      </c>
    </row>
    <row r="15" spans="1:20" ht="12">
      <c r="A15" s="306" t="str">
        <f t="shared" si="13"/>
        <v>Dr Grays</v>
      </c>
      <c r="B15" s="307">
        <f t="shared" si="14"/>
        <v>83.333333333333343</v>
      </c>
      <c r="C15" s="307">
        <f t="shared" si="15"/>
        <v>85.384615384615387</v>
      </c>
      <c r="D15" s="308">
        <f>90</f>
        <v>90</v>
      </c>
      <c r="E15" s="308">
        <f t="shared" si="16"/>
        <v>75</v>
      </c>
      <c r="F15" s="308">
        <f t="shared" si="17"/>
        <v>89</v>
      </c>
      <c r="G15" s="308">
        <f t="shared" si="18"/>
        <v>78</v>
      </c>
      <c r="H15" s="308">
        <f t="shared" si="19"/>
        <v>90</v>
      </c>
      <c r="I15" s="314" t="str">
        <f t="shared" si="20"/>
        <v>75 - 89</v>
      </c>
      <c r="J15" s="310" t="str">
        <f t="shared" si="21"/>
        <v>78 - 90</v>
      </c>
      <c r="K15" s="311">
        <f t="shared" si="22"/>
        <v>2.051282051282044</v>
      </c>
      <c r="L15" s="320">
        <f t="shared" si="9"/>
        <v>-0.11859066462368997</v>
      </c>
      <c r="M15" s="320">
        <f t="shared" si="10"/>
        <v>0.15961630564933085</v>
      </c>
      <c r="N15" s="313">
        <f t="shared" si="11"/>
        <v>0</v>
      </c>
      <c r="O15" s="306" t="str">
        <f t="shared" si="12"/>
        <v>Dr Grays</v>
      </c>
      <c r="P15" s="306" t="s">
        <v>79</v>
      </c>
      <c r="Q15" s="425">
        <v>90</v>
      </c>
      <c r="R15" s="425">
        <v>108</v>
      </c>
      <c r="S15" s="425">
        <v>111</v>
      </c>
      <c r="T15" s="425">
        <v>130</v>
      </c>
    </row>
    <row r="16" spans="1:20" ht="12">
      <c r="A16" s="306" t="str">
        <f t="shared" si="13"/>
        <v>FVRH</v>
      </c>
      <c r="B16" s="307">
        <f t="shared" si="14"/>
        <v>81.620553359683782</v>
      </c>
      <c r="C16" s="307">
        <f t="shared" si="15"/>
        <v>84.375</v>
      </c>
      <c r="D16" s="308">
        <f>90</f>
        <v>90</v>
      </c>
      <c r="E16" s="308">
        <f t="shared" si="16"/>
        <v>78</v>
      </c>
      <c r="F16" s="308">
        <f t="shared" si="17"/>
        <v>85</v>
      </c>
      <c r="G16" s="308">
        <f t="shared" si="18"/>
        <v>81</v>
      </c>
      <c r="H16" s="308">
        <f t="shared" si="19"/>
        <v>87</v>
      </c>
      <c r="I16" s="314" t="str">
        <f t="shared" si="20"/>
        <v>78 - 85</v>
      </c>
      <c r="J16" s="310" t="str">
        <f t="shared" si="21"/>
        <v>81 - 87</v>
      </c>
      <c r="K16" s="311">
        <f t="shared" si="22"/>
        <v>2.7544466403162176</v>
      </c>
      <c r="L16" s="320">
        <f t="shared" si="9"/>
        <v>-4.058858524613132E-2</v>
      </c>
      <c r="M16" s="320">
        <f t="shared" si="10"/>
        <v>9.5677518052455529E-2</v>
      </c>
      <c r="N16" s="313">
        <f t="shared" si="11"/>
        <v>0</v>
      </c>
      <c r="O16" s="306" t="str">
        <f t="shared" si="12"/>
        <v>FVRH</v>
      </c>
      <c r="P16" s="306" t="s">
        <v>75</v>
      </c>
      <c r="Q16" s="425">
        <v>413</v>
      </c>
      <c r="R16" s="425">
        <v>506</v>
      </c>
      <c r="S16" s="425">
        <v>459</v>
      </c>
      <c r="T16" s="425">
        <v>544</v>
      </c>
    </row>
    <row r="17" spans="1:20" ht="12">
      <c r="A17" s="306" t="str">
        <f t="shared" si="13"/>
        <v>VHK</v>
      </c>
      <c r="B17" s="307">
        <f t="shared" si="14"/>
        <v>81.558028616852155</v>
      </c>
      <c r="C17" s="307">
        <f t="shared" si="15"/>
        <v>83.596214511041012</v>
      </c>
      <c r="D17" s="308">
        <f>90</f>
        <v>90</v>
      </c>
      <c r="E17" s="308">
        <f t="shared" si="16"/>
        <v>78</v>
      </c>
      <c r="F17" s="308">
        <f t="shared" si="17"/>
        <v>84</v>
      </c>
      <c r="G17" s="308">
        <f t="shared" si="18"/>
        <v>81</v>
      </c>
      <c r="H17" s="308">
        <f t="shared" si="19"/>
        <v>86</v>
      </c>
      <c r="I17" s="314" t="str">
        <f t="shared" si="20"/>
        <v>78 - 84</v>
      </c>
      <c r="J17" s="310" t="str">
        <f t="shared" si="21"/>
        <v>81 - 86</v>
      </c>
      <c r="K17" s="311">
        <f t="shared" si="22"/>
        <v>2.0381858941888567</v>
      </c>
      <c r="L17" s="320">
        <f t="shared" si="9"/>
        <v>-4.225674369515052E-2</v>
      </c>
      <c r="M17" s="320">
        <f t="shared" si="10"/>
        <v>8.3020461578927715E-2</v>
      </c>
      <c r="N17" s="313">
        <f t="shared" si="11"/>
        <v>0</v>
      </c>
      <c r="O17" s="306" t="str">
        <f t="shared" si="12"/>
        <v>VHK</v>
      </c>
      <c r="P17" s="306" t="s">
        <v>287</v>
      </c>
      <c r="Q17" s="425">
        <v>513</v>
      </c>
      <c r="R17" s="425">
        <v>629</v>
      </c>
      <c r="S17" s="425">
        <v>530</v>
      </c>
      <c r="T17" s="425">
        <v>634</v>
      </c>
    </row>
    <row r="18" spans="1:20" ht="12">
      <c r="A18" s="306" t="str">
        <f t="shared" si="13"/>
        <v>Hairmyres</v>
      </c>
      <c r="B18" s="307">
        <f t="shared" si="14"/>
        <v>84.154929577464785</v>
      </c>
      <c r="C18" s="307">
        <f t="shared" si="15"/>
        <v>83.056478405315616</v>
      </c>
      <c r="D18" s="308">
        <f>90</f>
        <v>90</v>
      </c>
      <c r="E18" s="308">
        <f t="shared" si="16"/>
        <v>79</v>
      </c>
      <c r="F18" s="308">
        <f t="shared" si="17"/>
        <v>88</v>
      </c>
      <c r="G18" s="308">
        <f t="shared" si="18"/>
        <v>78</v>
      </c>
      <c r="H18" s="308">
        <f t="shared" si="19"/>
        <v>87</v>
      </c>
      <c r="I18" s="314" t="str">
        <f t="shared" si="20"/>
        <v>79 - 88</v>
      </c>
      <c r="J18" s="310" t="str">
        <f t="shared" si="21"/>
        <v>78 - 87</v>
      </c>
      <c r="K18" s="311">
        <f t="shared" si="22"/>
        <v>-1.0984511721491685</v>
      </c>
      <c r="L18" s="320">
        <f t="shared" si="9"/>
        <v>-0.10083483227481195</v>
      </c>
      <c r="M18" s="320">
        <f t="shared" si="10"/>
        <v>7.8865808831828491E-2</v>
      </c>
      <c r="N18" s="313">
        <f t="shared" si="11"/>
        <v>0</v>
      </c>
      <c r="O18" s="306" t="str">
        <f t="shared" si="12"/>
        <v>Hairmyres</v>
      </c>
      <c r="P18" s="306" t="s">
        <v>103</v>
      </c>
      <c r="Q18" s="425">
        <v>239</v>
      </c>
      <c r="R18" s="425">
        <v>284</v>
      </c>
      <c r="S18" s="425">
        <v>250</v>
      </c>
      <c r="T18" s="425">
        <v>301</v>
      </c>
    </row>
    <row r="19" spans="1:20" ht="12">
      <c r="A19" s="306" t="str">
        <f t="shared" si="13"/>
        <v>Ninewells</v>
      </c>
      <c r="B19" s="307">
        <f t="shared" si="14"/>
        <v>81.395348837209298</v>
      </c>
      <c r="C19" s="307">
        <f t="shared" si="15"/>
        <v>81.596452328159643</v>
      </c>
      <c r="D19" s="308">
        <f>90</f>
        <v>90</v>
      </c>
      <c r="E19" s="308">
        <f t="shared" si="16"/>
        <v>77</v>
      </c>
      <c r="F19" s="308">
        <f t="shared" si="17"/>
        <v>85</v>
      </c>
      <c r="G19" s="308">
        <f t="shared" si="18"/>
        <v>78</v>
      </c>
      <c r="H19" s="308">
        <f t="shared" si="19"/>
        <v>85</v>
      </c>
      <c r="I19" s="314" t="str">
        <f t="shared" si="20"/>
        <v>77 - 85</v>
      </c>
      <c r="J19" s="310" t="str">
        <f t="shared" si="21"/>
        <v>78 - 85</v>
      </c>
      <c r="K19" s="311">
        <f t="shared" si="22"/>
        <v>0.20110349095034508</v>
      </c>
      <c r="L19" s="320">
        <f t="shared" si="9"/>
        <v>-7.6981476927640832E-2</v>
      </c>
      <c r="M19" s="320">
        <f t="shared" si="10"/>
        <v>8.1003546746647601E-2</v>
      </c>
      <c r="N19" s="313">
        <f t="shared" si="11"/>
        <v>0</v>
      </c>
      <c r="O19" s="306" t="str">
        <f t="shared" si="12"/>
        <v>Ninewells</v>
      </c>
      <c r="P19" s="306" t="s">
        <v>126</v>
      </c>
      <c r="Q19" s="425">
        <v>315</v>
      </c>
      <c r="R19" s="425">
        <v>387</v>
      </c>
      <c r="S19" s="425">
        <v>368</v>
      </c>
      <c r="T19" s="425">
        <v>451</v>
      </c>
    </row>
    <row r="20" spans="1:20" ht="12">
      <c r="A20" s="306" t="str">
        <f t="shared" si="13"/>
        <v>SJH</v>
      </c>
      <c r="B20" s="307">
        <f t="shared" si="14"/>
        <v>80.341880341880341</v>
      </c>
      <c r="C20" s="307">
        <f t="shared" si="15"/>
        <v>81.124497991967871</v>
      </c>
      <c r="D20" s="308">
        <f>90</f>
        <v>90</v>
      </c>
      <c r="E20" s="308">
        <f t="shared" si="16"/>
        <v>75</v>
      </c>
      <c r="F20" s="308">
        <f t="shared" si="17"/>
        <v>85</v>
      </c>
      <c r="G20" s="308">
        <f t="shared" si="18"/>
        <v>76</v>
      </c>
      <c r="H20" s="308">
        <f t="shared" si="19"/>
        <v>85</v>
      </c>
      <c r="I20" s="314" t="str">
        <f t="shared" si="20"/>
        <v>75 - 85</v>
      </c>
      <c r="J20" s="310" t="str">
        <f t="shared" si="21"/>
        <v>76 - 85</v>
      </c>
      <c r="K20" s="311">
        <f t="shared" si="22"/>
        <v>0.78261765008753059</v>
      </c>
      <c r="L20" s="320">
        <f t="shared" si="9"/>
        <v>-9.7592471103578757E-2</v>
      </c>
      <c r="M20" s="320">
        <f t="shared" si="10"/>
        <v>0.11324482410532925</v>
      </c>
      <c r="N20" s="313">
        <f t="shared" si="11"/>
        <v>0</v>
      </c>
      <c r="O20" s="306" t="str">
        <f t="shared" si="12"/>
        <v>SJH</v>
      </c>
      <c r="P20" s="306" t="s">
        <v>114</v>
      </c>
      <c r="Q20" s="425">
        <v>188</v>
      </c>
      <c r="R20" s="425">
        <v>234</v>
      </c>
      <c r="S20" s="425">
        <v>202</v>
      </c>
      <c r="T20" s="425">
        <v>249</v>
      </c>
    </row>
    <row r="21" spans="1:20" ht="12">
      <c r="A21" s="306" t="str">
        <f t="shared" si="13"/>
        <v>Monklands</v>
      </c>
      <c r="B21" s="307">
        <f t="shared" si="14"/>
        <v>88.175675675675677</v>
      </c>
      <c r="C21" s="307">
        <f t="shared" si="15"/>
        <v>80.864197530864203</v>
      </c>
      <c r="D21" s="308">
        <f>90</f>
        <v>90</v>
      </c>
      <c r="E21" s="308">
        <f t="shared" si="16"/>
        <v>84</v>
      </c>
      <c r="F21" s="308">
        <f t="shared" si="17"/>
        <v>91</v>
      </c>
      <c r="G21" s="308">
        <f t="shared" si="18"/>
        <v>76</v>
      </c>
      <c r="H21" s="308">
        <f t="shared" si="19"/>
        <v>85</v>
      </c>
      <c r="I21" s="314" t="str">
        <f t="shared" si="20"/>
        <v>84 - 91</v>
      </c>
      <c r="J21" s="310" t="str">
        <f t="shared" si="21"/>
        <v>76 - 85</v>
      </c>
      <c r="K21" s="311">
        <f t="shared" si="22"/>
        <v>-7.3114781448114741</v>
      </c>
      <c r="L21" s="320">
        <f t="shared" si="9"/>
        <v>-0.15766833316123308</v>
      </c>
      <c r="M21" s="320">
        <f t="shared" si="10"/>
        <v>1.1438770265003492E-2</v>
      </c>
      <c r="N21" s="313">
        <f t="shared" si="11"/>
        <v>0</v>
      </c>
      <c r="O21" s="306" t="str">
        <f t="shared" si="12"/>
        <v>Monklands</v>
      </c>
      <c r="P21" s="306" t="s">
        <v>106</v>
      </c>
      <c r="Q21" s="425">
        <v>261</v>
      </c>
      <c r="R21" s="425">
        <v>296</v>
      </c>
      <c r="S21" s="425">
        <v>262</v>
      </c>
      <c r="T21" s="425">
        <v>324</v>
      </c>
    </row>
    <row r="22" spans="1:20" ht="12">
      <c r="A22" s="306" t="str">
        <f t="shared" si="13"/>
        <v>Crosshouse</v>
      </c>
      <c r="B22" s="307">
        <f t="shared" si="14"/>
        <v>77.014925373134318</v>
      </c>
      <c r="C22" s="307">
        <f t="shared" si="15"/>
        <v>79.896907216494853</v>
      </c>
      <c r="D22" s="308">
        <f>90</f>
        <v>90</v>
      </c>
      <c r="E22" s="308">
        <f t="shared" si="16"/>
        <v>72</v>
      </c>
      <c r="F22" s="308">
        <f t="shared" si="17"/>
        <v>81</v>
      </c>
      <c r="G22" s="308">
        <f t="shared" si="18"/>
        <v>76</v>
      </c>
      <c r="H22" s="308">
        <f t="shared" si="19"/>
        <v>84</v>
      </c>
      <c r="I22" s="314" t="str">
        <f t="shared" si="20"/>
        <v>72 - 81</v>
      </c>
      <c r="J22" s="310" t="str">
        <f t="shared" si="21"/>
        <v>76 - 84</v>
      </c>
      <c r="K22" s="311">
        <f t="shared" si="22"/>
        <v>2.8819818433605349</v>
      </c>
      <c r="L22" s="320">
        <f t="shared" si="9"/>
        <v>-6.1285483258466042E-2</v>
      </c>
      <c r="M22" s="320">
        <f t="shared" si="10"/>
        <v>0.11892512012567656</v>
      </c>
      <c r="N22" s="313">
        <f t="shared" si="11"/>
        <v>0</v>
      </c>
      <c r="O22" s="306" t="str">
        <f t="shared" si="12"/>
        <v>Crosshouse</v>
      </c>
      <c r="P22" s="306" t="s">
        <v>62</v>
      </c>
      <c r="Q22" s="425">
        <v>258</v>
      </c>
      <c r="R22" s="425">
        <v>335</v>
      </c>
      <c r="S22" s="425">
        <v>310</v>
      </c>
      <c r="T22" s="425">
        <v>388</v>
      </c>
    </row>
    <row r="23" spans="1:20" ht="12">
      <c r="A23" s="306" t="str">
        <f t="shared" si="13"/>
        <v>IRH</v>
      </c>
      <c r="B23" s="307">
        <f t="shared" si="14"/>
        <v>66.183574879227052</v>
      </c>
      <c r="C23" s="307">
        <f t="shared" si="15"/>
        <v>79.620853080568722</v>
      </c>
      <c r="D23" s="308">
        <f>90</f>
        <v>90</v>
      </c>
      <c r="E23" s="308">
        <f t="shared" si="16"/>
        <v>59</v>
      </c>
      <c r="F23" s="308">
        <f t="shared" si="17"/>
        <v>72</v>
      </c>
      <c r="G23" s="308">
        <f t="shared" si="18"/>
        <v>74</v>
      </c>
      <c r="H23" s="308">
        <f t="shared" si="19"/>
        <v>85</v>
      </c>
      <c r="I23" s="314" t="str">
        <f t="shared" si="20"/>
        <v>59 - 72</v>
      </c>
      <c r="J23" s="310" t="str">
        <f t="shared" si="21"/>
        <v>74 - 85</v>
      </c>
      <c r="K23" s="311">
        <f t="shared" si="22"/>
        <v>13.43727820134167</v>
      </c>
      <c r="L23" s="320">
        <f t="shared" si="9"/>
        <v>8.1178813743828238E-3</v>
      </c>
      <c r="M23" s="320">
        <f t="shared" si="10"/>
        <v>0.2606276826524504</v>
      </c>
      <c r="N23" s="313">
        <f t="shared" si="11"/>
        <v>1</v>
      </c>
      <c r="O23" s="306" t="str">
        <f t="shared" si="12"/>
        <v>IRH</v>
      </c>
      <c r="P23" s="306" t="s">
        <v>84</v>
      </c>
      <c r="Q23" s="425">
        <v>137</v>
      </c>
      <c r="R23" s="425">
        <v>207</v>
      </c>
      <c r="S23" s="425">
        <v>168</v>
      </c>
      <c r="T23" s="425">
        <v>211</v>
      </c>
    </row>
    <row r="24" spans="1:20" ht="12">
      <c r="A24" s="306" t="str">
        <f t="shared" si="13"/>
        <v>PRI</v>
      </c>
      <c r="B24" s="307">
        <f t="shared" si="14"/>
        <v>84.974093264248708</v>
      </c>
      <c r="C24" s="307">
        <f t="shared" si="15"/>
        <v>78.918918918918919</v>
      </c>
      <c r="D24" s="308">
        <f>90</f>
        <v>90</v>
      </c>
      <c r="E24" s="308">
        <f t="shared" si="16"/>
        <v>79</v>
      </c>
      <c r="F24" s="308">
        <f t="shared" si="17"/>
        <v>89</v>
      </c>
      <c r="G24" s="308">
        <f t="shared" si="18"/>
        <v>72</v>
      </c>
      <c r="H24" s="308">
        <f t="shared" si="19"/>
        <v>84</v>
      </c>
      <c r="I24" s="314" t="str">
        <f t="shared" si="20"/>
        <v>79 - 89</v>
      </c>
      <c r="J24" s="310" t="str">
        <f t="shared" si="21"/>
        <v>72 - 84</v>
      </c>
      <c r="K24" s="311">
        <f t="shared" si="22"/>
        <v>-6.0551743453297888</v>
      </c>
      <c r="L24" s="320">
        <f t="shared" si="9"/>
        <v>-0.1765146448236983</v>
      </c>
      <c r="M24" s="320">
        <f t="shared" si="10"/>
        <v>5.5411157917102632E-2</v>
      </c>
      <c r="N24" s="313">
        <f t="shared" si="11"/>
        <v>0</v>
      </c>
      <c r="O24" s="306" t="str">
        <f t="shared" si="12"/>
        <v>PRI</v>
      </c>
      <c r="P24" s="306" t="s">
        <v>129</v>
      </c>
      <c r="Q24" s="425">
        <v>164</v>
      </c>
      <c r="R24" s="425">
        <v>193</v>
      </c>
      <c r="S24" s="425">
        <v>146</v>
      </c>
      <c r="T24" s="425">
        <v>185</v>
      </c>
    </row>
    <row r="25" spans="1:20" ht="12">
      <c r="A25" s="306" t="str">
        <f t="shared" si="13"/>
        <v>QEUH</v>
      </c>
      <c r="B25" s="307">
        <f t="shared" si="14"/>
        <v>71.790540540540533</v>
      </c>
      <c r="C25" s="307">
        <f t="shared" si="15"/>
        <v>77.865266841644797</v>
      </c>
      <c r="D25" s="308">
        <f>90</f>
        <v>90</v>
      </c>
      <c r="E25" s="308">
        <f t="shared" si="16"/>
        <v>69</v>
      </c>
      <c r="F25" s="308">
        <f t="shared" si="17"/>
        <v>74</v>
      </c>
      <c r="G25" s="308">
        <f t="shared" si="18"/>
        <v>75</v>
      </c>
      <c r="H25" s="308">
        <f t="shared" si="19"/>
        <v>80</v>
      </c>
      <c r="I25" s="314" t="str">
        <f t="shared" si="20"/>
        <v>69 - 74</v>
      </c>
      <c r="J25" s="310" t="str">
        <f t="shared" si="21"/>
        <v>75 - 80</v>
      </c>
      <c r="K25" s="311">
        <f t="shared" si="22"/>
        <v>6.0747263011042634</v>
      </c>
      <c r="L25" s="320">
        <f t="shared" si="9"/>
        <v>8.0905112465729373E-3</v>
      </c>
      <c r="M25" s="320">
        <f t="shared" si="10"/>
        <v>0.11340401477551228</v>
      </c>
      <c r="N25" s="313">
        <f t="shared" si="11"/>
        <v>1</v>
      </c>
      <c r="O25" s="306" t="str">
        <f t="shared" si="12"/>
        <v>QEUH</v>
      </c>
      <c r="P25" s="306" t="s">
        <v>503</v>
      </c>
      <c r="Q25" s="425">
        <v>850</v>
      </c>
      <c r="R25" s="425">
        <v>1184</v>
      </c>
      <c r="S25" s="425">
        <v>890</v>
      </c>
      <c r="T25" s="425">
        <v>1143</v>
      </c>
    </row>
    <row r="26" spans="1:20" ht="12">
      <c r="A26" s="306" t="str">
        <f t="shared" si="13"/>
        <v>WGH</v>
      </c>
      <c r="B26" s="307">
        <f t="shared" si="14"/>
        <v>72.049689440993788</v>
      </c>
      <c r="C26" s="307">
        <f t="shared" si="15"/>
        <v>76.892430278884461</v>
      </c>
      <c r="D26" s="308">
        <f>90</f>
        <v>90</v>
      </c>
      <c r="E26" s="308">
        <f t="shared" si="16"/>
        <v>67</v>
      </c>
      <c r="F26" s="308">
        <f t="shared" si="17"/>
        <v>77</v>
      </c>
      <c r="G26" s="308">
        <f t="shared" si="18"/>
        <v>71</v>
      </c>
      <c r="H26" s="308">
        <f t="shared" si="19"/>
        <v>82</v>
      </c>
      <c r="I26" s="314" t="str">
        <f t="shared" si="20"/>
        <v>67 - 77</v>
      </c>
      <c r="J26" s="310" t="str">
        <f t="shared" si="21"/>
        <v>71 - 82</v>
      </c>
      <c r="K26" s="311">
        <f t="shared" si="22"/>
        <v>4.8427408378906733</v>
      </c>
      <c r="L26" s="320">
        <f t="shared" si="9"/>
        <v>-5.8749362759932602E-2</v>
      </c>
      <c r="M26" s="320">
        <f t="shared" si="10"/>
        <v>0.15560417951774597</v>
      </c>
      <c r="N26" s="313">
        <f t="shared" si="11"/>
        <v>0</v>
      </c>
      <c r="O26" s="306" t="str">
        <f t="shared" si="12"/>
        <v>WGH</v>
      </c>
      <c r="P26" s="306" t="s">
        <v>117</v>
      </c>
      <c r="Q26" s="425">
        <v>232</v>
      </c>
      <c r="R26" s="425">
        <v>322</v>
      </c>
      <c r="S26" s="425">
        <v>193</v>
      </c>
      <c r="T26" s="425">
        <v>251</v>
      </c>
    </row>
    <row r="27" spans="1:20" ht="12">
      <c r="A27" s="306" t="str">
        <f t="shared" si="13"/>
        <v>ARI</v>
      </c>
      <c r="B27" s="307">
        <f t="shared" si="14"/>
        <v>74.433656957928804</v>
      </c>
      <c r="C27" s="307">
        <f t="shared" si="15"/>
        <v>75.901875901875897</v>
      </c>
      <c r="D27" s="308">
        <f>90</f>
        <v>90</v>
      </c>
      <c r="E27" s="308">
        <f t="shared" si="16"/>
        <v>71</v>
      </c>
      <c r="F27" s="308">
        <f t="shared" si="17"/>
        <v>78</v>
      </c>
      <c r="G27" s="308">
        <f t="shared" si="18"/>
        <v>73</v>
      </c>
      <c r="H27" s="308">
        <f t="shared" si="19"/>
        <v>79</v>
      </c>
      <c r="I27" s="314" t="str">
        <f t="shared" si="20"/>
        <v>71 - 78</v>
      </c>
      <c r="J27" s="310" t="str">
        <f t="shared" si="21"/>
        <v>73 - 79</v>
      </c>
      <c r="K27" s="311">
        <f t="shared" si="22"/>
        <v>1.4682189439470932</v>
      </c>
      <c r="L27" s="320">
        <f t="shared" si="9"/>
        <v>-5.5509384129175138E-2</v>
      </c>
      <c r="M27" s="320">
        <f t="shared" si="10"/>
        <v>8.4873763008117081E-2</v>
      </c>
      <c r="N27" s="313">
        <f t="shared" si="11"/>
        <v>0</v>
      </c>
      <c r="O27" s="306" t="str">
        <f t="shared" si="12"/>
        <v>ARI</v>
      </c>
      <c r="P27" s="306" t="s">
        <v>77</v>
      </c>
      <c r="Q27" s="425">
        <v>460</v>
      </c>
      <c r="R27" s="425">
        <v>618</v>
      </c>
      <c r="S27" s="425">
        <v>526</v>
      </c>
      <c r="T27" s="425">
        <v>693</v>
      </c>
    </row>
    <row r="28" spans="1:20" ht="12">
      <c r="A28" s="306" t="str">
        <f t="shared" si="13"/>
        <v>RIE</v>
      </c>
      <c r="B28" s="307">
        <f t="shared" si="14"/>
        <v>65.322580645161281</v>
      </c>
      <c r="C28" s="307">
        <f t="shared" si="15"/>
        <v>75.612353567625135</v>
      </c>
      <c r="D28" s="308">
        <f>90</f>
        <v>90</v>
      </c>
      <c r="E28" s="308">
        <f t="shared" si="16"/>
        <v>62</v>
      </c>
      <c r="F28" s="308">
        <f t="shared" si="17"/>
        <v>68</v>
      </c>
      <c r="G28" s="308">
        <f t="shared" si="18"/>
        <v>73</v>
      </c>
      <c r="H28" s="308">
        <f t="shared" si="19"/>
        <v>78</v>
      </c>
      <c r="I28" s="314" t="str">
        <f t="shared" si="20"/>
        <v>62 - 68</v>
      </c>
      <c r="J28" s="310" t="str">
        <f t="shared" si="21"/>
        <v>73 - 78</v>
      </c>
      <c r="K28" s="311">
        <f t="shared" si="22"/>
        <v>10.289772922463854</v>
      </c>
      <c r="L28" s="320">
        <f t="shared" si="9"/>
        <v>4.012632275149558E-2</v>
      </c>
      <c r="M28" s="320">
        <f t="shared" si="10"/>
        <v>0.16566913569778136</v>
      </c>
      <c r="N28" s="313">
        <f t="shared" si="11"/>
        <v>1</v>
      </c>
      <c r="O28" s="306" t="str">
        <f t="shared" si="12"/>
        <v>RIE</v>
      </c>
      <c r="P28" s="306" t="s">
        <v>111</v>
      </c>
      <c r="Q28" s="425">
        <v>567</v>
      </c>
      <c r="R28" s="425">
        <v>868</v>
      </c>
      <c r="S28" s="425">
        <v>710</v>
      </c>
      <c r="T28" s="425">
        <v>939</v>
      </c>
    </row>
    <row r="29" spans="1:20" ht="12">
      <c r="A29" s="306" t="str">
        <f t="shared" si="13"/>
        <v>GRI</v>
      </c>
      <c r="B29" s="307">
        <f t="shared" si="14"/>
        <v>66.260162601626021</v>
      </c>
      <c r="C29" s="307">
        <f t="shared" si="15"/>
        <v>73.396226415094333</v>
      </c>
      <c r="D29" s="308">
        <f>90</f>
        <v>90</v>
      </c>
      <c r="E29" s="308">
        <f t="shared" si="16"/>
        <v>62</v>
      </c>
      <c r="F29" s="308">
        <f t="shared" si="17"/>
        <v>70</v>
      </c>
      <c r="G29" s="308">
        <f t="shared" si="18"/>
        <v>69</v>
      </c>
      <c r="H29" s="308">
        <f t="shared" si="19"/>
        <v>77</v>
      </c>
      <c r="I29" s="314" t="str">
        <f t="shared" si="20"/>
        <v>62 - 70</v>
      </c>
      <c r="J29" s="310" t="str">
        <f t="shared" si="21"/>
        <v>69 - 77</v>
      </c>
      <c r="K29" s="311">
        <f t="shared" si="22"/>
        <v>7.1360638134683114</v>
      </c>
      <c r="L29" s="320">
        <f t="shared" si="9"/>
        <v>-1.2834570617784119E-2</v>
      </c>
      <c r="M29" s="320">
        <f t="shared" si="10"/>
        <v>0.15555584688715049</v>
      </c>
      <c r="N29" s="313">
        <f t="shared" si="11"/>
        <v>0</v>
      </c>
      <c r="O29" s="306" t="str">
        <f t="shared" si="12"/>
        <v>GRI</v>
      </c>
      <c r="P29" s="306" t="s">
        <v>82</v>
      </c>
      <c r="Q29" s="425">
        <v>326</v>
      </c>
      <c r="R29" s="425">
        <v>492</v>
      </c>
      <c r="S29" s="425">
        <v>389</v>
      </c>
      <c r="T29" s="425">
        <v>530</v>
      </c>
    </row>
    <row r="30" spans="1:20" ht="12">
      <c r="A30" s="306" t="str">
        <f t="shared" si="13"/>
        <v>Balfour</v>
      </c>
      <c r="B30" s="307">
        <f t="shared" si="14"/>
        <v>75</v>
      </c>
      <c r="C30" s="307">
        <f t="shared" si="15"/>
        <v>72.5</v>
      </c>
      <c r="D30" s="308">
        <f>90</f>
        <v>90</v>
      </c>
      <c r="E30" s="308">
        <f t="shared" si="16"/>
        <v>60</v>
      </c>
      <c r="F30" s="308">
        <f t="shared" si="17"/>
        <v>86</v>
      </c>
      <c r="G30" s="308">
        <f t="shared" si="18"/>
        <v>57</v>
      </c>
      <c r="H30" s="308">
        <f t="shared" si="19"/>
        <v>84</v>
      </c>
      <c r="I30" s="314" t="str">
        <f t="shared" si="20"/>
        <v>60 - 86</v>
      </c>
      <c r="J30" s="310" t="str">
        <f t="shared" si="21"/>
        <v>57 - 84</v>
      </c>
      <c r="K30" s="311">
        <f t="shared" si="22"/>
        <v>-2.5</v>
      </c>
      <c r="L30" s="320">
        <f t="shared" si="9"/>
        <v>-0.31366422090975343</v>
      </c>
      <c r="M30" s="320">
        <f t="shared" si="10"/>
        <v>0.26366422090975339</v>
      </c>
      <c r="N30" s="313">
        <f t="shared" si="11"/>
        <v>0</v>
      </c>
      <c r="O30" s="306" t="str">
        <f t="shared" si="12"/>
        <v>Balfour</v>
      </c>
      <c r="P30" s="306" t="s">
        <v>120</v>
      </c>
      <c r="Q30" s="425">
        <v>30</v>
      </c>
      <c r="R30" s="425">
        <v>40</v>
      </c>
      <c r="S30" s="425">
        <v>29</v>
      </c>
      <c r="T30" s="425">
        <v>40</v>
      </c>
    </row>
    <row r="31" spans="1:20" ht="12">
      <c r="A31" s="306" t="str">
        <f t="shared" si="13"/>
        <v>Ayr</v>
      </c>
      <c r="B31" s="307">
        <f t="shared" si="14"/>
        <v>72.333333333333343</v>
      </c>
      <c r="C31" s="307">
        <f t="shared" si="15"/>
        <v>70.610687022900763</v>
      </c>
      <c r="D31" s="308">
        <f>90</f>
        <v>90</v>
      </c>
      <c r="E31" s="308">
        <f t="shared" si="16"/>
        <v>67</v>
      </c>
      <c r="F31" s="308">
        <f t="shared" si="17"/>
        <v>77</v>
      </c>
      <c r="G31" s="308">
        <f t="shared" si="18"/>
        <v>65</v>
      </c>
      <c r="H31" s="308">
        <f t="shared" si="19"/>
        <v>76</v>
      </c>
      <c r="I31" s="314" t="str">
        <f t="shared" si="20"/>
        <v>67 - 77</v>
      </c>
      <c r="J31" s="310" t="str">
        <f t="shared" si="21"/>
        <v>65 - 76</v>
      </c>
      <c r="K31" s="311">
        <f t="shared" si="22"/>
        <v>-1.7226463104325802</v>
      </c>
      <c r="L31" s="320">
        <f t="shared" si="9"/>
        <v>-0.12934704809718045</v>
      </c>
      <c r="M31" s="320">
        <f t="shared" si="10"/>
        <v>9.4894121888528971E-2</v>
      </c>
      <c r="N31" s="313">
        <f t="shared" si="11"/>
        <v>0</v>
      </c>
      <c r="O31" s="306" t="str">
        <f t="shared" si="12"/>
        <v>Ayr</v>
      </c>
      <c r="P31" s="306" t="s">
        <v>60</v>
      </c>
      <c r="Q31" s="425">
        <v>217</v>
      </c>
      <c r="R31" s="425">
        <v>300</v>
      </c>
      <c r="S31" s="425">
        <v>185</v>
      </c>
      <c r="T31" s="425">
        <v>262</v>
      </c>
    </row>
    <row r="32" spans="1:20" ht="12">
      <c r="A32" s="306" t="str">
        <f t="shared" si="13"/>
        <v>RAH</v>
      </c>
      <c r="B32" s="307">
        <f t="shared" si="14"/>
        <v>71.544715447154474</v>
      </c>
      <c r="C32" s="307">
        <f t="shared" si="15"/>
        <v>64</v>
      </c>
      <c r="D32" s="308">
        <f>90</f>
        <v>90</v>
      </c>
      <c r="E32" s="308">
        <f t="shared" si="16"/>
        <v>67</v>
      </c>
      <c r="F32" s="308">
        <f t="shared" si="17"/>
        <v>76</v>
      </c>
      <c r="G32" s="308">
        <f t="shared" si="18"/>
        <v>59</v>
      </c>
      <c r="H32" s="308">
        <f t="shared" si="19"/>
        <v>69</v>
      </c>
      <c r="I32" s="314" t="str">
        <f t="shared" si="20"/>
        <v>67 - 76</v>
      </c>
      <c r="J32" s="310" t="str">
        <f t="shared" si="21"/>
        <v>59 - 69</v>
      </c>
      <c r="K32" s="311">
        <f t="shared" si="22"/>
        <v>-7.5447154471544735</v>
      </c>
      <c r="L32" s="320">
        <f t="shared" si="9"/>
        <v>-0.17754822180027729</v>
      </c>
      <c r="M32" s="320">
        <f t="shared" si="10"/>
        <v>2.6653912857187892E-2</v>
      </c>
      <c r="N32" s="313">
        <f t="shared" si="11"/>
        <v>0</v>
      </c>
      <c r="O32" s="306" t="str">
        <f t="shared" si="12"/>
        <v>RAH</v>
      </c>
      <c r="P32" s="306" t="s">
        <v>87</v>
      </c>
      <c r="Q32" s="425">
        <v>264</v>
      </c>
      <c r="R32" s="425">
        <v>369</v>
      </c>
      <c r="S32" s="425">
        <v>224</v>
      </c>
      <c r="T32" s="425">
        <v>350</v>
      </c>
    </row>
    <row r="35" spans="15:23" ht="15">
      <c r="O35"/>
      <c r="P35"/>
      <c r="Q35"/>
      <c r="R35"/>
      <c r="S35"/>
      <c r="T35"/>
      <c r="U35"/>
      <c r="V35"/>
      <c r="W35"/>
    </row>
    <row r="36" spans="15:23" ht="15">
      <c r="O36"/>
      <c r="P36"/>
      <c r="Q36"/>
      <c r="R36"/>
      <c r="S36"/>
      <c r="T36"/>
      <c r="U36"/>
      <c r="V36"/>
      <c r="W36"/>
    </row>
    <row r="37" spans="15:23" ht="15">
      <c r="O37"/>
      <c r="P37"/>
      <c r="Q37"/>
      <c r="R37"/>
      <c r="S37"/>
      <c r="T37"/>
      <c r="U37"/>
      <c r="V37"/>
      <c r="W37"/>
    </row>
    <row r="38" spans="15:23" ht="15">
      <c r="O38"/>
      <c r="P38"/>
      <c r="Q38"/>
      <c r="R38"/>
      <c r="S38"/>
      <c r="T38"/>
      <c r="U38"/>
      <c r="V38"/>
      <c r="W38"/>
    </row>
    <row r="39" spans="15:23" ht="15">
      <c r="O39"/>
      <c r="P39"/>
      <c r="Q39"/>
      <c r="R39"/>
      <c r="S39"/>
      <c r="T39"/>
      <c r="U39"/>
      <c r="V39"/>
      <c r="W39"/>
    </row>
    <row r="40" spans="15:23" ht="15">
      <c r="O40"/>
      <c r="P40"/>
      <c r="Q40"/>
      <c r="R40"/>
      <c r="S40"/>
      <c r="T40"/>
      <c r="U40"/>
      <c r="V40"/>
      <c r="W40"/>
    </row>
    <row r="41" spans="15:23" ht="15">
      <c r="O41"/>
      <c r="P41"/>
      <c r="Q41"/>
      <c r="R41"/>
      <c r="S41"/>
      <c r="T41"/>
      <c r="U41"/>
      <c r="V41"/>
      <c r="W41"/>
    </row>
    <row r="42" spans="15:23" ht="15">
      <c r="O42"/>
      <c r="P42"/>
      <c r="Q42"/>
      <c r="R42"/>
      <c r="S42"/>
      <c r="T42"/>
      <c r="U42"/>
      <c r="V42"/>
      <c r="W42"/>
    </row>
    <row r="43" spans="15:23" ht="15">
      <c r="O43"/>
      <c r="P43"/>
      <c r="Q43"/>
      <c r="R43"/>
      <c r="S43"/>
      <c r="T43"/>
      <c r="U43"/>
      <c r="V43"/>
      <c r="W43"/>
    </row>
    <row r="44" spans="15:23" ht="15">
      <c r="O44"/>
      <c r="P44"/>
      <c r="Q44"/>
      <c r="R44"/>
      <c r="S44"/>
      <c r="T44"/>
      <c r="U44"/>
      <c r="V44"/>
      <c r="W44"/>
    </row>
    <row r="45" spans="15:23" ht="15">
      <c r="O45"/>
      <c r="P45"/>
      <c r="Q45"/>
      <c r="R45"/>
      <c r="S45"/>
      <c r="T45"/>
      <c r="U45"/>
      <c r="V45"/>
      <c r="W45"/>
    </row>
    <row r="46" spans="15:23" ht="15">
      <c r="O46"/>
      <c r="P46"/>
      <c r="Q46"/>
      <c r="R46"/>
      <c r="S46"/>
      <c r="T46"/>
      <c r="U46"/>
      <c r="V46"/>
      <c r="W46"/>
    </row>
    <row r="47" spans="15:23" ht="15">
      <c r="O47"/>
      <c r="P47"/>
      <c r="Q47"/>
      <c r="R47"/>
      <c r="S47"/>
      <c r="T47"/>
      <c r="U47"/>
      <c r="V47"/>
      <c r="W47"/>
    </row>
    <row r="48" spans="15: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row r="55" spans="15:23" ht="15">
      <c r="O55"/>
      <c r="P55"/>
      <c r="Q55"/>
      <c r="R55"/>
      <c r="S55"/>
      <c r="T55"/>
      <c r="U55"/>
      <c r="V55"/>
      <c r="W55"/>
    </row>
    <row r="56" spans="15:23" ht="15">
      <c r="O56"/>
      <c r="P56"/>
      <c r="Q56"/>
      <c r="R56"/>
      <c r="S56"/>
      <c r="T56"/>
      <c r="U56"/>
      <c r="V56"/>
      <c r="W56"/>
    </row>
    <row r="57" spans="15:23" ht="15">
      <c r="O57"/>
      <c r="P57"/>
      <c r="Q57"/>
      <c r="R57"/>
      <c r="S57"/>
      <c r="T57"/>
      <c r="U57"/>
      <c r="V57"/>
      <c r="W57"/>
    </row>
    <row r="58" spans="15:23" ht="15">
      <c r="O58"/>
      <c r="P58"/>
      <c r="Q58"/>
      <c r="R58"/>
      <c r="S58"/>
      <c r="T58"/>
      <c r="U58"/>
      <c r="V58"/>
      <c r="W58"/>
    </row>
    <row r="59" spans="15:23" ht="15">
      <c r="O59"/>
      <c r="P59"/>
      <c r="Q59"/>
      <c r="R59"/>
      <c r="S59"/>
      <c r="T59"/>
      <c r="U59"/>
      <c r="V59"/>
      <c r="W59"/>
    </row>
    <row r="60" spans="15:23" ht="15">
      <c r="O60"/>
      <c r="P60"/>
      <c r="Q60"/>
      <c r="R60"/>
      <c r="S60"/>
      <c r="T60"/>
      <c r="U60"/>
      <c r="V60"/>
      <c r="W60"/>
    </row>
    <row r="61" spans="15:23" ht="15">
      <c r="O61"/>
      <c r="P61"/>
      <c r="Q61"/>
      <c r="R61"/>
      <c r="S61"/>
      <c r="T61"/>
      <c r="U61"/>
      <c r="V61"/>
      <c r="W61"/>
    </row>
    <row r="62" spans="15:23" ht="15">
      <c r="O62"/>
      <c r="P62"/>
      <c r="Q62"/>
      <c r="R62"/>
      <c r="S62"/>
      <c r="T62"/>
      <c r="U62"/>
      <c r="V62"/>
      <c r="W62"/>
    </row>
    <row r="63" spans="15:23" ht="15">
      <c r="O63"/>
      <c r="P63"/>
      <c r="Q63"/>
      <c r="R63"/>
      <c r="S63"/>
      <c r="T63"/>
      <c r="U63"/>
      <c r="V63"/>
      <c r="W63"/>
    </row>
    <row r="64" spans="15:23" ht="15">
      <c r="O64"/>
      <c r="P64"/>
      <c r="Q64"/>
      <c r="R64"/>
      <c r="S64"/>
      <c r="T64"/>
      <c r="U64"/>
      <c r="V64"/>
      <c r="W64"/>
    </row>
  </sheetData>
  <sheetProtection password="B8D9" sheet="1" objects="1" scenarios="1"/>
  <sortState ref="A4:T34">
    <sortCondition descending="1" ref="C4:C34"/>
  </sortState>
  <mergeCells count="7">
    <mergeCell ref="A1:A2"/>
    <mergeCell ref="B1:H1"/>
    <mergeCell ref="O1:P1"/>
    <mergeCell ref="Q1:R1"/>
    <mergeCell ref="S1:T1"/>
    <mergeCell ref="E2:F2"/>
    <mergeCell ref="G2:H2"/>
  </mergeCells>
  <conditionalFormatting sqref="A3:A32">
    <cfRule type="expression" dxfId="21" priority="1" stopIfTrue="1">
      <formula>N3=-1</formula>
    </cfRule>
    <cfRule type="expression" dxfId="20" priority="2" stopIfTrue="1">
      <formula>N3=0</formula>
    </cfRule>
    <cfRule type="expression" dxfId="19" priority="3" stopIfTrue="1">
      <formula>N3=1</formula>
    </cfRule>
  </conditionalFormatting>
  <printOptions horizontalCentered="1"/>
  <pageMargins left="0" right="0" top="0.74803149606299213" bottom="0.74803149606299213" header="0.31496062992125984" footer="0.31496062992125984"/>
  <pageSetup paperSize="9" scale="59" orientation="landscape" r:id="rId1"/>
  <headerFooter alignWithMargins="0">
    <oddHeader>&amp;LChart 2b DATA
Percentage of stroke patients with a swallow screening on day of admission, 2014 and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27.xml><?xml version="1.0" encoding="utf-8"?>
<worksheet xmlns="http://schemas.openxmlformats.org/spreadsheetml/2006/main" xmlns:r="http://schemas.openxmlformats.org/officeDocument/2006/relationships">
  <sheetPr codeName="Sheet10"/>
  <dimension ref="B1:T38"/>
  <sheetViews>
    <sheetView workbookViewId="0"/>
  </sheetViews>
  <sheetFormatPr defaultRowHeight="12.75"/>
  <cols>
    <col min="1" max="1" width="1.7109375" style="2" customWidth="1"/>
    <col min="2" max="16384" width="9.140625" style="2"/>
  </cols>
  <sheetData>
    <row r="1" spans="2:20">
      <c r="B1" s="798" t="s">
        <v>513</v>
      </c>
      <c r="C1" s="798"/>
      <c r="D1" s="798"/>
      <c r="E1" s="798"/>
      <c r="F1" s="798"/>
      <c r="G1" s="798"/>
      <c r="H1" s="798"/>
      <c r="I1" s="798"/>
      <c r="J1" s="798"/>
      <c r="K1" s="798"/>
      <c r="L1" s="798"/>
      <c r="M1" s="798"/>
      <c r="N1" s="798"/>
      <c r="O1" s="802" t="s">
        <v>48</v>
      </c>
    </row>
    <row r="2" spans="2:20">
      <c r="B2" s="798"/>
      <c r="C2" s="798"/>
      <c r="D2" s="798"/>
      <c r="E2" s="798"/>
      <c r="F2" s="798"/>
      <c r="G2" s="798"/>
      <c r="H2" s="798"/>
      <c r="I2" s="798"/>
      <c r="J2" s="798"/>
      <c r="K2" s="798"/>
      <c r="L2" s="798"/>
      <c r="M2" s="798"/>
      <c r="N2" s="798"/>
      <c r="O2" s="802"/>
    </row>
    <row r="3" spans="2:20">
      <c r="B3" s="212" t="s">
        <v>445</v>
      </c>
      <c r="O3" s="802"/>
    </row>
    <row r="4" spans="2:20">
      <c r="O4" s="802"/>
    </row>
    <row r="6" spans="2:20">
      <c r="O6" s="826" t="s">
        <v>466</v>
      </c>
      <c r="P6" s="826"/>
    </row>
    <row r="13" spans="2:20" ht="15">
      <c r="O13" s="199"/>
      <c r="P13" t="s">
        <v>298</v>
      </c>
      <c r="Q13"/>
      <c r="R13"/>
      <c r="S13"/>
      <c r="T13"/>
    </row>
    <row r="14" spans="2:20" ht="15">
      <c r="O14" s="200"/>
      <c r="P14" t="s">
        <v>507</v>
      </c>
      <c r="Q14"/>
      <c r="R14"/>
      <c r="S14"/>
      <c r="T14"/>
    </row>
    <row r="15" spans="2:20" ht="15">
      <c r="O15" s="201"/>
      <c r="P15" t="s">
        <v>508</v>
      </c>
      <c r="Q15"/>
      <c r="R15"/>
      <c r="S15"/>
      <c r="T15"/>
    </row>
    <row r="16" spans="2:20" ht="15">
      <c r="O16" s="283"/>
      <c r="P16" t="s">
        <v>509</v>
      </c>
      <c r="Q16"/>
      <c r="R16"/>
      <c r="S16"/>
      <c r="T16"/>
    </row>
    <row r="17" spans="2:20" ht="15">
      <c r="O17"/>
      <c r="P17" t="s">
        <v>280</v>
      </c>
      <c r="Q17"/>
      <c r="R17"/>
      <c r="S17"/>
      <c r="T17"/>
    </row>
    <row r="31" spans="2:20">
      <c r="B31" s="206" t="s">
        <v>451</v>
      </c>
    </row>
    <row r="32" spans="2:20" ht="24.75" customHeight="1">
      <c r="B32" s="769" t="s">
        <v>641</v>
      </c>
      <c r="C32" s="769"/>
      <c r="D32" s="769"/>
      <c r="E32" s="769"/>
      <c r="F32" s="769"/>
      <c r="G32" s="769"/>
      <c r="H32" s="769"/>
      <c r="I32" s="769"/>
      <c r="J32" s="769"/>
      <c r="K32" s="769"/>
      <c r="L32" s="769"/>
      <c r="M32" s="769"/>
      <c r="N32" s="769"/>
      <c r="O32" s="292"/>
    </row>
    <row r="33" spans="2:15" s="515" customFormat="1" ht="24.75" customHeight="1">
      <c r="B33" s="769"/>
      <c r="C33" s="769"/>
      <c r="D33" s="769"/>
      <c r="E33" s="769"/>
      <c r="F33" s="769"/>
      <c r="G33" s="769"/>
      <c r="H33" s="769"/>
      <c r="I33" s="769"/>
      <c r="J33" s="769"/>
      <c r="K33" s="769"/>
      <c r="L33" s="769"/>
      <c r="M33" s="769"/>
      <c r="N33" s="769"/>
      <c r="O33" s="514"/>
    </row>
    <row r="34" spans="2:15" ht="24.75" customHeight="1">
      <c r="B34" s="827" t="s">
        <v>285</v>
      </c>
      <c r="C34" s="827"/>
      <c r="D34" s="827"/>
      <c r="E34" s="827"/>
      <c r="F34" s="827"/>
      <c r="G34" s="827"/>
      <c r="H34" s="827"/>
      <c r="I34" s="827"/>
      <c r="J34" s="827"/>
      <c r="K34" s="827"/>
      <c r="L34" s="827"/>
      <c r="M34" s="827"/>
      <c r="N34" s="827"/>
      <c r="O34" s="292"/>
    </row>
    <row r="35" spans="2:15" s="436" customFormat="1" ht="15">
      <c r="B35" s="209" t="s">
        <v>524</v>
      </c>
      <c r="C35" s="207"/>
      <c r="D35" s="208"/>
      <c r="E35" s="208"/>
      <c r="F35" s="208"/>
      <c r="G35" s="208"/>
      <c r="H35" s="208"/>
      <c r="I35" s="208"/>
      <c r="J35" s="207"/>
    </row>
    <row r="36" spans="2:15" s="436" customFormat="1" ht="15">
      <c r="B36" s="209" t="s">
        <v>523</v>
      </c>
      <c r="C36" s="207"/>
      <c r="D36" s="208"/>
      <c r="E36" s="208"/>
      <c r="F36" s="208"/>
      <c r="G36" s="208"/>
      <c r="H36" s="208"/>
      <c r="I36" s="208"/>
      <c r="J36" s="207"/>
    </row>
    <row r="37" spans="2:15" s="436" customFormat="1">
      <c r="B37" s="825" t="s">
        <v>444</v>
      </c>
      <c r="C37" s="825"/>
      <c r="D37" s="825"/>
      <c r="E37" s="825"/>
      <c r="F37" s="825"/>
      <c r="G37" s="825"/>
      <c r="H37" s="825"/>
      <c r="I37" s="825"/>
      <c r="J37" s="825"/>
      <c r="K37" s="825"/>
      <c r="L37" s="825"/>
      <c r="M37" s="825"/>
      <c r="N37" s="825"/>
    </row>
    <row r="38" spans="2:15" s="436" customFormat="1">
      <c r="B38" s="825"/>
      <c r="C38" s="825"/>
      <c r="D38" s="825"/>
      <c r="E38" s="825"/>
      <c r="F38" s="825"/>
      <c r="G38" s="825"/>
      <c r="H38" s="825"/>
      <c r="I38" s="825"/>
      <c r="J38" s="825"/>
      <c r="K38" s="825"/>
      <c r="L38" s="825"/>
      <c r="M38" s="825"/>
      <c r="N38" s="825"/>
    </row>
  </sheetData>
  <sheetProtection password="B8D9" sheet="1" objects="1" scenarios="1"/>
  <mergeCells count="6">
    <mergeCell ref="O1:O4"/>
    <mergeCell ref="B34:N34"/>
    <mergeCell ref="B37:N38"/>
    <mergeCell ref="B1:N2"/>
    <mergeCell ref="O6:P6"/>
    <mergeCell ref="B32:N33"/>
  </mergeCells>
  <hyperlinks>
    <hyperlink ref="O1" location="'List of Tables &amp; Charts'!A1" display="return to List of Tables &amp; Charts"/>
    <hyperlink ref="O6:P6" location="'Chart 2c DATA'!A1" display="view Chart 2c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28.xml><?xml version="1.0" encoding="utf-8"?>
<worksheet xmlns="http://schemas.openxmlformats.org/spreadsheetml/2006/main" xmlns:r="http://schemas.openxmlformats.org/officeDocument/2006/relationships">
  <sheetPr codeName="Sheet11">
    <pageSetUpPr fitToPage="1"/>
  </sheetPr>
  <dimension ref="A1:W64"/>
  <sheetViews>
    <sheetView workbookViewId="0">
      <selection sqref="A1:A2"/>
    </sheetView>
  </sheetViews>
  <sheetFormatPr defaultRowHeight="11.25"/>
  <cols>
    <col min="1" max="1" width="15.7109375" style="211" customWidth="1"/>
    <col min="2" max="8" width="9.140625" style="211"/>
    <col min="9" max="14" width="9.7109375" style="211" customWidth="1"/>
    <col min="15" max="15" width="10.42578125" style="211" bestFit="1" customWidth="1"/>
    <col min="16" max="16" width="45.7109375" style="211" customWidth="1"/>
    <col min="17" max="20" width="11.7109375" style="315" customWidth="1"/>
    <col min="21" max="16384" width="9.140625" style="211"/>
  </cols>
  <sheetData>
    <row r="1" spans="1:20" ht="15" customHeight="1">
      <c r="A1" s="811" t="s">
        <v>27</v>
      </c>
      <c r="B1" s="822" t="s">
        <v>44</v>
      </c>
      <c r="C1" s="814"/>
      <c r="D1" s="814"/>
      <c r="E1" s="814"/>
      <c r="F1" s="814"/>
      <c r="G1" s="814"/>
      <c r="H1" s="814"/>
      <c r="I1" s="295"/>
      <c r="J1" s="322"/>
      <c r="K1" s="322"/>
      <c r="L1" s="296"/>
      <c r="M1" s="296"/>
      <c r="N1" s="296"/>
      <c r="O1" s="815" t="s">
        <v>20</v>
      </c>
      <c r="P1" s="816"/>
      <c r="Q1" s="815">
        <v>2014</v>
      </c>
      <c r="R1" s="815"/>
      <c r="S1" s="815">
        <v>2015</v>
      </c>
      <c r="T1" s="815"/>
    </row>
    <row r="2" spans="1:20" ht="23.25" customHeight="1">
      <c r="A2" s="821"/>
      <c r="B2" s="297" t="s">
        <v>298</v>
      </c>
      <c r="C2" s="297" t="s">
        <v>491</v>
      </c>
      <c r="D2" s="298" t="s">
        <v>21</v>
      </c>
      <c r="E2" s="828" t="s">
        <v>492</v>
      </c>
      <c r="F2" s="829"/>
      <c r="G2" s="830" t="s">
        <v>493</v>
      </c>
      <c r="H2" s="831"/>
      <c r="I2" s="299" t="s">
        <v>23</v>
      </c>
      <c r="J2" s="300" t="s">
        <v>300</v>
      </c>
      <c r="K2" s="300" t="s">
        <v>24</v>
      </c>
      <c r="L2" s="323" t="s">
        <v>45</v>
      </c>
      <c r="M2" s="323" t="s">
        <v>46</v>
      </c>
      <c r="N2" s="303" t="s">
        <v>25</v>
      </c>
      <c r="O2" s="304" t="s">
        <v>26</v>
      </c>
      <c r="P2" s="305" t="s">
        <v>27</v>
      </c>
      <c r="Q2" s="305" t="s">
        <v>28</v>
      </c>
      <c r="R2" s="305" t="s">
        <v>29</v>
      </c>
      <c r="S2" s="305" t="s">
        <v>28</v>
      </c>
      <c r="T2" s="305" t="s">
        <v>29</v>
      </c>
    </row>
    <row r="3" spans="1:20" ht="12">
      <c r="A3" s="306" t="str">
        <f>O3</f>
        <v>Scotland</v>
      </c>
      <c r="B3" s="307">
        <f t="shared" ref="B3:B32" si="0">Q3/R3*100</f>
        <v>89.710426919995427</v>
      </c>
      <c r="C3" s="307">
        <f t="shared" ref="C3:C32" si="1">S3/T3*100</f>
        <v>91.458010192776428</v>
      </c>
      <c r="D3" s="307">
        <f>90</f>
        <v>90</v>
      </c>
      <c r="E3" s="16">
        <f t="shared" ref="E3:E32" si="2">SUM(1*MID(I3,1,FIND(" - ",I3)-1))</f>
        <v>89</v>
      </c>
      <c r="F3" s="308">
        <f t="shared" ref="F3:F32" si="3">SUM(1*MID(I3,FIND(" - ",I3)+2,LEN(I3)))</f>
        <v>90</v>
      </c>
      <c r="G3" s="308">
        <f t="shared" ref="G3:G32" si="4">SUM(1*MID(J3,1,FIND(" - ",J3)-1))</f>
        <v>91</v>
      </c>
      <c r="H3" s="308">
        <f t="shared" ref="H3:H32" si="5">SUM(1*MID(J3,FIND(" - ",J3)+2,LEN(J3)))</f>
        <v>92</v>
      </c>
      <c r="I3" s="309" t="str">
        <f t="shared" ref="I3:I32"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89 - 90</v>
      </c>
      <c r="J3" s="310" t="str">
        <f t="shared" ref="J3:J32"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91 - 92</v>
      </c>
      <c r="K3" s="311">
        <f t="shared" ref="K3:K32" si="8">C3-B3</f>
        <v>1.7475832727810001</v>
      </c>
      <c r="L3" s="324">
        <f t="shared" ref="L3:L32" si="9">((S3/T3)-(Q3/R3))-(NORMSINV(1-(0.05/COUNTA($O$3:$O$32)))*(SQRT((((Q3/R3)*(1-(Q3/R3)))/R3)+(((S3/T3)*(1-(S3/T3)))/T3))))</f>
        <v>4.6075446683573607E-3</v>
      </c>
      <c r="M3" s="324">
        <f t="shared" ref="M3:M32" si="10">((S3/T3)-(Q3/R3))+(NORMSINV(1-(0.05/COUNTA($O$3:$O$32)))*(SQRT((((Q3/R3)*(1-(Q3/R3)))/R3)+(((S3/T3)*(1-(S3/T3)))/T3))))</f>
        <v>3.0344120787262757E-2</v>
      </c>
      <c r="N3" s="313">
        <f t="shared" ref="N3:N32" si="11">IF(ISERR(IF(AND(((S3/T3)-(Q3/R3))-(NORMSINV(1-(0.05/COUNTA($P$3:$P$32)))*(SQRT((((Q3/R3)*(1-(Q3/R3)))/R3)+(((S3/T3)*(1-(S3/T3)))/T3))))&gt;0,((S3/T3)-(Q3/R3))+(NORMSINV(1-(0.05/COUNTA($P$3:$P$32)))*(SQRT((((Q3/R3)*(1-(Q3/R3)))/R3)+(((S3/T3)*(1-(S3/T3)))/T3))))&gt;0),1,IF(AND(((S3/T3)-(Q3/R3))-(NORMSINV(1-(0.05/COUNTA($P$3:$P$32)))*(SQRT((((Q3/R3)*(1-(Q3/R3)))/R3)+(((S3/T3)*(1-(S3/T3)))/T3))))&lt;0,((S3/T3)-(Q3/R3))+(NORMSINV(1-(0.05/COUNTA($P$3:$P$32)))*(SQRT((((Q3/R3)*(1-(Q3/R3)))/R3)+(((S3/T3)*(1-(S3/T3)))/T3))))&lt;0),-1,0))),"",IF(AND(((S3/T3)-(Q3/R3))-(NORMSINV(1-(0.05/COUNTA($P$3:$P$32)))*(SQRT((((Q3/R3)*(1-(Q3/R3)))/R3)+(((S3/T3)*(1-(S3/T3)))/T3))))&gt;0,((S3/T3)-(Q3/R3))+(NORMSINV(1-(0.05/COUNTA($P$3:$P$32)))*(SQRT((((Q3/R3)*(1-(Q3/R3)))/R3)+(((S3/T3)*(1-(S3/T3)))/T3))))&gt;0),1,IF(AND(((S3/T3)-(Q3/R3))-(NORMSINV(1-(0.05/COUNTA($P$3:$P$32)))*(SQRT((((Q3/R3)*(1-(Q3/R3)))/R3)+(((S3/T3)*(1-(S3/T3)))/T3))))&lt;0,((S3/T3)-(Q3/R3))+(NORMSINV(1-(0.05/COUNTA($P$3:$P$32)))*(SQRT((((Q3/R3)*(1-(Q3/R3)))/R3)+(((S3/T3)*(1-(S3/T3)))/T3))))&lt;0),-1,0)))</f>
        <v>1</v>
      </c>
      <c r="O3" s="306" t="str">
        <f t="shared" ref="O3:O32" si="12">VLOOKUP(P3,Hospitals,3,FALSE)</f>
        <v>Scotland</v>
      </c>
      <c r="P3" s="306" t="s">
        <v>286</v>
      </c>
      <c r="Q3" s="425">
        <v>7838</v>
      </c>
      <c r="R3" s="425">
        <v>8737</v>
      </c>
      <c r="S3" s="425">
        <v>8255</v>
      </c>
      <c r="T3" s="425">
        <v>9026</v>
      </c>
    </row>
    <row r="4" spans="1:20" ht="12">
      <c r="A4" s="306" t="str">
        <f t="shared" ref="A4:A32" si="13">O4</f>
        <v>Borders</v>
      </c>
      <c r="B4" s="307">
        <f t="shared" si="0"/>
        <v>98.543689320388353</v>
      </c>
      <c r="C4" s="307">
        <f t="shared" si="1"/>
        <v>99.086757990867582</v>
      </c>
      <c r="D4" s="308">
        <f>90</f>
        <v>90</v>
      </c>
      <c r="E4" s="308">
        <f t="shared" si="2"/>
        <v>96</v>
      </c>
      <c r="F4" s="308">
        <f t="shared" si="3"/>
        <v>100</v>
      </c>
      <c r="G4" s="308">
        <f t="shared" si="4"/>
        <v>97</v>
      </c>
      <c r="H4" s="308">
        <f t="shared" si="5"/>
        <v>100</v>
      </c>
      <c r="I4" s="314" t="str">
        <f t="shared" si="6"/>
        <v>96 - 100</v>
      </c>
      <c r="J4" s="310" t="str">
        <f t="shared" si="7"/>
        <v>97 - 100</v>
      </c>
      <c r="K4" s="311">
        <f t="shared" si="8"/>
        <v>0.54306867047922935</v>
      </c>
      <c r="L4" s="324">
        <f t="shared" si="9"/>
        <v>-2.5491452366667056E-2</v>
      </c>
      <c r="M4" s="324">
        <f t="shared" si="10"/>
        <v>3.6352825776251652E-2</v>
      </c>
      <c r="N4" s="313">
        <f t="shared" si="11"/>
        <v>0</v>
      </c>
      <c r="O4" s="306" t="str">
        <f t="shared" si="12"/>
        <v>Borders</v>
      </c>
      <c r="P4" s="306" t="s">
        <v>65</v>
      </c>
      <c r="Q4" s="425">
        <v>203</v>
      </c>
      <c r="R4" s="425">
        <v>206</v>
      </c>
      <c r="S4" s="425">
        <v>217</v>
      </c>
      <c r="T4" s="425">
        <v>219</v>
      </c>
    </row>
    <row r="5" spans="1:20" ht="12">
      <c r="A5" s="306" t="str">
        <f t="shared" si="13"/>
        <v>Caithness</v>
      </c>
      <c r="B5" s="307">
        <f t="shared" si="0"/>
        <v>91.428571428571431</v>
      </c>
      <c r="C5" s="307">
        <f t="shared" si="1"/>
        <v>97.222222222222214</v>
      </c>
      <c r="D5" s="308">
        <f>90</f>
        <v>90</v>
      </c>
      <c r="E5" s="308">
        <f t="shared" si="2"/>
        <v>83</v>
      </c>
      <c r="F5" s="308">
        <f t="shared" si="3"/>
        <v>96</v>
      </c>
      <c r="G5" s="308">
        <f t="shared" si="4"/>
        <v>90</v>
      </c>
      <c r="H5" s="308">
        <f t="shared" si="5"/>
        <v>99</v>
      </c>
      <c r="I5" s="314" t="str">
        <f t="shared" si="6"/>
        <v>83 - 96</v>
      </c>
      <c r="J5" s="310" t="str">
        <f t="shared" si="7"/>
        <v>90 - 99</v>
      </c>
      <c r="K5" s="311">
        <f t="shared" si="8"/>
        <v>5.7936507936507837</v>
      </c>
      <c r="L5" s="324">
        <f t="shared" si="9"/>
        <v>-5.5539201760332321E-2</v>
      </c>
      <c r="M5" s="324">
        <f t="shared" si="10"/>
        <v>0.17141221763334824</v>
      </c>
      <c r="N5" s="313">
        <f t="shared" si="11"/>
        <v>0</v>
      </c>
      <c r="O5" s="306" t="str">
        <f t="shared" si="12"/>
        <v>Caithness</v>
      </c>
      <c r="P5" s="306" t="s">
        <v>94</v>
      </c>
      <c r="Q5" s="425">
        <v>64</v>
      </c>
      <c r="R5" s="425">
        <v>70</v>
      </c>
      <c r="S5" s="425">
        <v>70</v>
      </c>
      <c r="T5" s="425">
        <v>72</v>
      </c>
    </row>
    <row r="6" spans="1:20" ht="12">
      <c r="A6" s="306" t="str">
        <f t="shared" si="13"/>
        <v>Western Isles</v>
      </c>
      <c r="B6" s="307">
        <f t="shared" si="0"/>
        <v>95.454545454545453</v>
      </c>
      <c r="C6" s="307">
        <f t="shared" si="1"/>
        <v>97.058823529411768</v>
      </c>
      <c r="D6" s="308">
        <f>90</f>
        <v>90</v>
      </c>
      <c r="E6" s="308">
        <f t="shared" si="2"/>
        <v>78</v>
      </c>
      <c r="F6" s="308">
        <f t="shared" si="3"/>
        <v>99</v>
      </c>
      <c r="G6" s="308">
        <f t="shared" si="4"/>
        <v>85</v>
      </c>
      <c r="H6" s="308">
        <f t="shared" si="5"/>
        <v>99</v>
      </c>
      <c r="I6" s="314" t="str">
        <f t="shared" si="6"/>
        <v>78 - 99</v>
      </c>
      <c r="J6" s="310" t="str">
        <f t="shared" si="7"/>
        <v>85 - 99</v>
      </c>
      <c r="K6" s="311">
        <f t="shared" si="8"/>
        <v>1.6042780748663148</v>
      </c>
      <c r="L6" s="324">
        <f t="shared" si="9"/>
        <v>-0.13960059741789033</v>
      </c>
      <c r="M6" s="324">
        <f t="shared" si="10"/>
        <v>0.17168615891521644</v>
      </c>
      <c r="N6" s="313">
        <f t="shared" si="11"/>
        <v>0</v>
      </c>
      <c r="O6" s="306" t="str">
        <f t="shared" si="12"/>
        <v>Western Isles</v>
      </c>
      <c r="P6" s="306" t="s">
        <v>135</v>
      </c>
      <c r="Q6" s="425">
        <v>21</v>
      </c>
      <c r="R6" s="425">
        <v>22</v>
      </c>
      <c r="S6" s="425">
        <v>33</v>
      </c>
      <c r="T6" s="425">
        <v>34</v>
      </c>
    </row>
    <row r="7" spans="1:20" ht="12">
      <c r="A7" s="306" t="str">
        <f t="shared" si="13"/>
        <v>SJH</v>
      </c>
      <c r="B7" s="307">
        <f t="shared" si="0"/>
        <v>96.15384615384616</v>
      </c>
      <c r="C7" s="307">
        <f t="shared" si="1"/>
        <v>96.787148594377513</v>
      </c>
      <c r="D7" s="308">
        <f>90</f>
        <v>90</v>
      </c>
      <c r="E7" s="308">
        <f t="shared" si="2"/>
        <v>93</v>
      </c>
      <c r="F7" s="308">
        <f t="shared" si="3"/>
        <v>98</v>
      </c>
      <c r="G7" s="308">
        <f t="shared" si="4"/>
        <v>94</v>
      </c>
      <c r="H7" s="308">
        <f t="shared" si="5"/>
        <v>98</v>
      </c>
      <c r="I7" s="314" t="str">
        <f t="shared" si="6"/>
        <v>93 - 98</v>
      </c>
      <c r="J7" s="310" t="str">
        <f t="shared" si="7"/>
        <v>94 - 98</v>
      </c>
      <c r="K7" s="311">
        <f t="shared" si="8"/>
        <v>0.63330244053135232</v>
      </c>
      <c r="L7" s="324">
        <f t="shared" si="9"/>
        <v>-4.3038428977265938E-2</v>
      </c>
      <c r="M7" s="324">
        <f t="shared" si="10"/>
        <v>5.57044777878931E-2</v>
      </c>
      <c r="N7" s="313">
        <f t="shared" si="11"/>
        <v>0</v>
      </c>
      <c r="O7" s="306" t="str">
        <f t="shared" si="12"/>
        <v>SJH</v>
      </c>
      <c r="P7" s="306" t="s">
        <v>114</v>
      </c>
      <c r="Q7" s="425">
        <v>225</v>
      </c>
      <c r="R7" s="425">
        <v>234</v>
      </c>
      <c r="S7" s="425">
        <v>241</v>
      </c>
      <c r="T7" s="425">
        <v>249</v>
      </c>
    </row>
    <row r="8" spans="1:20" ht="12">
      <c r="A8" s="306" t="str">
        <f t="shared" si="13"/>
        <v>Wishaw</v>
      </c>
      <c r="B8" s="307">
        <f t="shared" si="0"/>
        <v>95.930232558139537</v>
      </c>
      <c r="C8" s="307">
        <f t="shared" si="1"/>
        <v>96.36363636363636</v>
      </c>
      <c r="D8" s="308">
        <f>90</f>
        <v>90</v>
      </c>
      <c r="E8" s="308">
        <f t="shared" si="2"/>
        <v>93</v>
      </c>
      <c r="F8" s="308">
        <f t="shared" si="3"/>
        <v>98</v>
      </c>
      <c r="G8" s="308">
        <f t="shared" si="4"/>
        <v>94</v>
      </c>
      <c r="H8" s="308">
        <f t="shared" si="5"/>
        <v>98</v>
      </c>
      <c r="I8" s="314" t="str">
        <f t="shared" si="6"/>
        <v>93 - 98</v>
      </c>
      <c r="J8" s="310" t="str">
        <f t="shared" si="7"/>
        <v>94 - 98</v>
      </c>
      <c r="K8" s="311">
        <f t="shared" si="8"/>
        <v>0.43340380549682322</v>
      </c>
      <c r="L8" s="324">
        <f t="shared" si="9"/>
        <v>-3.9170152408172856E-2</v>
      </c>
      <c r="M8" s="324">
        <f t="shared" si="10"/>
        <v>4.783822851810933E-2</v>
      </c>
      <c r="N8" s="313">
        <f t="shared" si="11"/>
        <v>0</v>
      </c>
      <c r="O8" s="306" t="str">
        <f t="shared" si="12"/>
        <v>Wishaw</v>
      </c>
      <c r="P8" s="306" t="s">
        <v>109</v>
      </c>
      <c r="Q8" s="425">
        <v>330</v>
      </c>
      <c r="R8" s="425">
        <v>344</v>
      </c>
      <c r="S8" s="425">
        <v>318</v>
      </c>
      <c r="T8" s="425">
        <v>330</v>
      </c>
    </row>
    <row r="9" spans="1:20" ht="12">
      <c r="A9" s="306" t="str">
        <f t="shared" si="13"/>
        <v>FVRH</v>
      </c>
      <c r="B9" s="307">
        <f t="shared" si="0"/>
        <v>94.664031620553359</v>
      </c>
      <c r="C9" s="307">
        <f t="shared" si="1"/>
        <v>96.32352941176471</v>
      </c>
      <c r="D9" s="308">
        <f>90</f>
        <v>90</v>
      </c>
      <c r="E9" s="308">
        <f t="shared" si="2"/>
        <v>92</v>
      </c>
      <c r="F9" s="308">
        <f t="shared" si="3"/>
        <v>96</v>
      </c>
      <c r="G9" s="308">
        <f t="shared" si="4"/>
        <v>94</v>
      </c>
      <c r="H9" s="308">
        <f t="shared" si="5"/>
        <v>98</v>
      </c>
      <c r="I9" s="314" t="str">
        <f t="shared" si="6"/>
        <v>92 - 96</v>
      </c>
      <c r="J9" s="310" t="str">
        <f t="shared" si="7"/>
        <v>94 - 98</v>
      </c>
      <c r="K9" s="311">
        <f t="shared" si="8"/>
        <v>1.6594977912113507</v>
      </c>
      <c r="L9" s="324">
        <f t="shared" si="9"/>
        <v>-2.1099711869462807E-2</v>
      </c>
      <c r="M9" s="324">
        <f t="shared" si="10"/>
        <v>5.4289667693689821E-2</v>
      </c>
      <c r="N9" s="313">
        <f t="shared" si="11"/>
        <v>0</v>
      </c>
      <c r="O9" s="306" t="str">
        <f t="shared" si="12"/>
        <v>FVRH</v>
      </c>
      <c r="P9" s="306" t="s">
        <v>75</v>
      </c>
      <c r="Q9" s="425">
        <v>479</v>
      </c>
      <c r="R9" s="425">
        <v>506</v>
      </c>
      <c r="S9" s="425">
        <v>524</v>
      </c>
      <c r="T9" s="425">
        <v>544</v>
      </c>
    </row>
    <row r="10" spans="1:20" ht="12">
      <c r="A10" s="306" t="str">
        <f t="shared" si="13"/>
        <v>VHK</v>
      </c>
      <c r="B10" s="307">
        <f t="shared" si="0"/>
        <v>93.322734499205083</v>
      </c>
      <c r="C10" s="307">
        <f t="shared" si="1"/>
        <v>95.583596214511047</v>
      </c>
      <c r="D10" s="308">
        <f>90</f>
        <v>90</v>
      </c>
      <c r="E10" s="308">
        <f t="shared" si="2"/>
        <v>91</v>
      </c>
      <c r="F10" s="308">
        <f t="shared" si="3"/>
        <v>95</v>
      </c>
      <c r="G10" s="308">
        <f t="shared" si="4"/>
        <v>94</v>
      </c>
      <c r="H10" s="308">
        <f t="shared" si="5"/>
        <v>97</v>
      </c>
      <c r="I10" s="314" t="str">
        <f t="shared" si="6"/>
        <v>91 - 95</v>
      </c>
      <c r="J10" s="310" t="str">
        <f t="shared" si="7"/>
        <v>94 - 97</v>
      </c>
      <c r="K10" s="311">
        <f t="shared" si="8"/>
        <v>2.260861715305964</v>
      </c>
      <c r="L10" s="324">
        <f t="shared" si="9"/>
        <v>-1.5169053073103109E-2</v>
      </c>
      <c r="M10" s="324">
        <f t="shared" si="10"/>
        <v>6.0386287379222345E-2</v>
      </c>
      <c r="N10" s="313">
        <f t="shared" si="11"/>
        <v>0</v>
      </c>
      <c r="O10" s="306" t="str">
        <f t="shared" si="12"/>
        <v>VHK</v>
      </c>
      <c r="P10" s="306" t="s">
        <v>287</v>
      </c>
      <c r="Q10" s="425">
        <v>587</v>
      </c>
      <c r="R10" s="425">
        <v>629</v>
      </c>
      <c r="S10" s="425">
        <v>606</v>
      </c>
      <c r="T10" s="425">
        <v>634</v>
      </c>
    </row>
    <row r="11" spans="1:20" ht="12">
      <c r="A11" s="306" t="str">
        <f t="shared" si="13"/>
        <v>Hairmyres</v>
      </c>
      <c r="B11" s="307">
        <f t="shared" si="0"/>
        <v>92.605633802816897</v>
      </c>
      <c r="C11" s="307">
        <f t="shared" si="1"/>
        <v>95.016611295681059</v>
      </c>
      <c r="D11" s="308">
        <f>90</f>
        <v>90</v>
      </c>
      <c r="E11" s="308">
        <f t="shared" si="2"/>
        <v>89</v>
      </c>
      <c r="F11" s="308">
        <f t="shared" si="3"/>
        <v>95</v>
      </c>
      <c r="G11" s="308">
        <f t="shared" si="4"/>
        <v>92</v>
      </c>
      <c r="H11" s="308">
        <f t="shared" si="5"/>
        <v>97</v>
      </c>
      <c r="I11" s="314" t="str">
        <f t="shared" si="6"/>
        <v>89 - 95</v>
      </c>
      <c r="J11" s="310" t="str">
        <f t="shared" si="7"/>
        <v>92 - 97</v>
      </c>
      <c r="K11" s="311">
        <f t="shared" si="8"/>
        <v>2.4109774928641627</v>
      </c>
      <c r="L11" s="324">
        <f t="shared" si="9"/>
        <v>-3.4478394552946302E-2</v>
      </c>
      <c r="M11" s="324">
        <f t="shared" si="10"/>
        <v>8.2697944410229568E-2</v>
      </c>
      <c r="N11" s="313">
        <f t="shared" si="11"/>
        <v>0</v>
      </c>
      <c r="O11" s="306" t="str">
        <f t="shared" si="12"/>
        <v>Hairmyres</v>
      </c>
      <c r="P11" s="306" t="s">
        <v>103</v>
      </c>
      <c r="Q11" s="425">
        <v>263</v>
      </c>
      <c r="R11" s="425">
        <v>284</v>
      </c>
      <c r="S11" s="425">
        <v>286</v>
      </c>
      <c r="T11" s="425">
        <v>301</v>
      </c>
    </row>
    <row r="12" spans="1:20" ht="12">
      <c r="A12" s="306" t="str">
        <f t="shared" si="13"/>
        <v>PRI</v>
      </c>
      <c r="B12" s="307">
        <f t="shared" si="0"/>
        <v>95.854922279792746</v>
      </c>
      <c r="C12" s="307">
        <f t="shared" si="1"/>
        <v>94.594594594594597</v>
      </c>
      <c r="D12" s="308">
        <f>90</f>
        <v>90</v>
      </c>
      <c r="E12" s="308">
        <f t="shared" si="2"/>
        <v>92</v>
      </c>
      <c r="F12" s="308">
        <f t="shared" si="3"/>
        <v>98</v>
      </c>
      <c r="G12" s="308">
        <f t="shared" si="4"/>
        <v>90</v>
      </c>
      <c r="H12" s="308">
        <f t="shared" si="5"/>
        <v>97</v>
      </c>
      <c r="I12" s="314" t="str">
        <f t="shared" si="6"/>
        <v>92 - 98</v>
      </c>
      <c r="J12" s="310" t="str">
        <f t="shared" si="7"/>
        <v>90 - 97</v>
      </c>
      <c r="K12" s="311">
        <f t="shared" si="8"/>
        <v>-1.2603276851981491</v>
      </c>
      <c r="L12" s="324">
        <f t="shared" si="9"/>
        <v>-7.7061405938001579E-2</v>
      </c>
      <c r="M12" s="324">
        <f t="shared" si="10"/>
        <v>5.1854852234038615E-2</v>
      </c>
      <c r="N12" s="313">
        <f t="shared" si="11"/>
        <v>0</v>
      </c>
      <c r="O12" s="306" t="str">
        <f t="shared" si="12"/>
        <v>PRI</v>
      </c>
      <c r="P12" s="306" t="s">
        <v>129</v>
      </c>
      <c r="Q12" s="425">
        <v>185</v>
      </c>
      <c r="R12" s="425">
        <v>193</v>
      </c>
      <c r="S12" s="425">
        <v>175</v>
      </c>
      <c r="T12" s="425">
        <v>185</v>
      </c>
    </row>
    <row r="13" spans="1:20" ht="12">
      <c r="A13" s="306" t="str">
        <f t="shared" si="13"/>
        <v>QEUH</v>
      </c>
      <c r="B13" s="307">
        <f t="shared" si="0"/>
        <v>94.087837837837839</v>
      </c>
      <c r="C13" s="307">
        <f t="shared" si="1"/>
        <v>94.488188976377955</v>
      </c>
      <c r="D13" s="308">
        <f>90</f>
        <v>90</v>
      </c>
      <c r="E13" s="308">
        <f t="shared" si="2"/>
        <v>93</v>
      </c>
      <c r="F13" s="308">
        <f t="shared" si="3"/>
        <v>95</v>
      </c>
      <c r="G13" s="308">
        <f t="shared" si="4"/>
        <v>93</v>
      </c>
      <c r="H13" s="308">
        <f t="shared" si="5"/>
        <v>96</v>
      </c>
      <c r="I13" s="314" t="str">
        <f t="shared" si="6"/>
        <v>93 - 95</v>
      </c>
      <c r="J13" s="310" t="str">
        <f t="shared" si="7"/>
        <v>93 - 96</v>
      </c>
      <c r="K13" s="311">
        <f t="shared" si="8"/>
        <v>0.40035113854011684</v>
      </c>
      <c r="L13" s="324">
        <f t="shared" si="9"/>
        <v>-2.4233356215682796E-2</v>
      </c>
      <c r="M13" s="324">
        <f t="shared" si="10"/>
        <v>3.2240378986485026E-2</v>
      </c>
      <c r="N13" s="313">
        <f t="shared" si="11"/>
        <v>0</v>
      </c>
      <c r="O13" s="306" t="str">
        <f t="shared" si="12"/>
        <v>QEUH</v>
      </c>
      <c r="P13" s="306" t="s">
        <v>503</v>
      </c>
      <c r="Q13" s="425">
        <v>1114</v>
      </c>
      <c r="R13" s="425">
        <v>1184</v>
      </c>
      <c r="S13" s="425">
        <v>1080</v>
      </c>
      <c r="T13" s="425">
        <v>1143</v>
      </c>
    </row>
    <row r="14" spans="1:20" ht="12">
      <c r="A14" s="306" t="str">
        <f t="shared" si="13"/>
        <v>ARI</v>
      </c>
      <c r="B14" s="307">
        <f t="shared" si="0"/>
        <v>89.805825242718456</v>
      </c>
      <c r="C14" s="307">
        <f t="shared" si="1"/>
        <v>93.21789321789322</v>
      </c>
      <c r="D14" s="308">
        <f>90</f>
        <v>90</v>
      </c>
      <c r="E14" s="308">
        <f t="shared" si="2"/>
        <v>87</v>
      </c>
      <c r="F14" s="308">
        <f t="shared" si="3"/>
        <v>92</v>
      </c>
      <c r="G14" s="308">
        <f t="shared" si="4"/>
        <v>91</v>
      </c>
      <c r="H14" s="308">
        <f t="shared" si="5"/>
        <v>95</v>
      </c>
      <c r="I14" s="314" t="str">
        <f t="shared" si="6"/>
        <v>87 - 92</v>
      </c>
      <c r="J14" s="310" t="str">
        <f t="shared" si="7"/>
        <v>91 - 95</v>
      </c>
      <c r="K14" s="311">
        <f t="shared" si="8"/>
        <v>3.4120679751747645</v>
      </c>
      <c r="L14" s="324">
        <f t="shared" si="9"/>
        <v>-1.1291237282266949E-2</v>
      </c>
      <c r="M14" s="324">
        <f t="shared" si="10"/>
        <v>7.9532596785762355E-2</v>
      </c>
      <c r="N14" s="313">
        <f t="shared" si="11"/>
        <v>0</v>
      </c>
      <c r="O14" s="306" t="str">
        <f t="shared" si="12"/>
        <v>ARI</v>
      </c>
      <c r="P14" s="306" t="s">
        <v>77</v>
      </c>
      <c r="Q14" s="425">
        <v>555</v>
      </c>
      <c r="R14" s="425">
        <v>618</v>
      </c>
      <c r="S14" s="425">
        <v>646</v>
      </c>
      <c r="T14" s="425">
        <v>693</v>
      </c>
    </row>
    <row r="15" spans="1:20" ht="12">
      <c r="A15" s="306" t="str">
        <f t="shared" si="13"/>
        <v>Dr Grays</v>
      </c>
      <c r="B15" s="307">
        <f t="shared" si="0"/>
        <v>90.740740740740748</v>
      </c>
      <c r="C15" s="307">
        <f t="shared" si="1"/>
        <v>92.307692307692307</v>
      </c>
      <c r="D15" s="308">
        <f>90</f>
        <v>90</v>
      </c>
      <c r="E15" s="308">
        <f t="shared" si="2"/>
        <v>84</v>
      </c>
      <c r="F15" s="308">
        <f t="shared" si="3"/>
        <v>95</v>
      </c>
      <c r="G15" s="308">
        <f t="shared" si="4"/>
        <v>86</v>
      </c>
      <c r="H15" s="308">
        <f t="shared" si="5"/>
        <v>96</v>
      </c>
      <c r="I15" s="314" t="str">
        <f t="shared" si="6"/>
        <v>84 - 95</v>
      </c>
      <c r="J15" s="310" t="str">
        <f t="shared" si="7"/>
        <v>86 - 96</v>
      </c>
      <c r="K15" s="311">
        <f t="shared" si="8"/>
        <v>1.566951566951559</v>
      </c>
      <c r="L15" s="324">
        <f t="shared" si="9"/>
        <v>-9.1139281878385728E-2</v>
      </c>
      <c r="M15" s="324">
        <f t="shared" si="10"/>
        <v>0.1224783132174171</v>
      </c>
      <c r="N15" s="313">
        <f t="shared" si="11"/>
        <v>0</v>
      </c>
      <c r="O15" s="306" t="str">
        <f t="shared" si="12"/>
        <v>Dr Grays</v>
      </c>
      <c r="P15" s="306" t="s">
        <v>79</v>
      </c>
      <c r="Q15" s="425">
        <v>98</v>
      </c>
      <c r="R15" s="425">
        <v>108</v>
      </c>
      <c r="S15" s="425">
        <v>120</v>
      </c>
      <c r="T15" s="425">
        <v>130</v>
      </c>
    </row>
    <row r="16" spans="1:20" ht="12">
      <c r="A16" s="306" t="str">
        <f t="shared" si="13"/>
        <v>DGRI</v>
      </c>
      <c r="B16" s="307">
        <f t="shared" si="0"/>
        <v>90.873015873015873</v>
      </c>
      <c r="C16" s="307">
        <f t="shared" si="1"/>
        <v>91.769547325102891</v>
      </c>
      <c r="D16" s="308">
        <f>90</f>
        <v>90</v>
      </c>
      <c r="E16" s="308">
        <f t="shared" si="2"/>
        <v>87</v>
      </c>
      <c r="F16" s="308">
        <f t="shared" si="3"/>
        <v>94</v>
      </c>
      <c r="G16" s="308">
        <f t="shared" si="4"/>
        <v>88</v>
      </c>
      <c r="H16" s="308">
        <f t="shared" si="5"/>
        <v>95</v>
      </c>
      <c r="I16" s="314" t="str">
        <f t="shared" si="6"/>
        <v>87 - 94</v>
      </c>
      <c r="J16" s="310" t="str">
        <f t="shared" si="7"/>
        <v>88 - 95</v>
      </c>
      <c r="K16" s="311">
        <f t="shared" si="8"/>
        <v>0.89653145208701801</v>
      </c>
      <c r="L16" s="324">
        <f t="shared" si="9"/>
        <v>-6.528715068439403E-2</v>
      </c>
      <c r="M16" s="324">
        <f t="shared" si="10"/>
        <v>8.3217779726134283E-2</v>
      </c>
      <c r="N16" s="313">
        <f t="shared" si="11"/>
        <v>0</v>
      </c>
      <c r="O16" s="306" t="str">
        <f t="shared" si="12"/>
        <v>DGRI</v>
      </c>
      <c r="P16" s="306" t="s">
        <v>67</v>
      </c>
      <c r="Q16" s="425">
        <v>229</v>
      </c>
      <c r="R16" s="425">
        <v>252</v>
      </c>
      <c r="S16" s="425">
        <v>223</v>
      </c>
      <c r="T16" s="425">
        <v>243</v>
      </c>
    </row>
    <row r="17" spans="1:20" ht="12">
      <c r="A17" s="306" t="str">
        <f t="shared" si="13"/>
        <v>RIE</v>
      </c>
      <c r="B17" s="307">
        <f t="shared" si="0"/>
        <v>89.285714285714292</v>
      </c>
      <c r="C17" s="307">
        <f t="shared" si="1"/>
        <v>91.054313099041522</v>
      </c>
      <c r="D17" s="308">
        <f>90</f>
        <v>90</v>
      </c>
      <c r="E17" s="308">
        <f t="shared" si="2"/>
        <v>87</v>
      </c>
      <c r="F17" s="308">
        <f t="shared" si="3"/>
        <v>91</v>
      </c>
      <c r="G17" s="308">
        <f t="shared" si="4"/>
        <v>89</v>
      </c>
      <c r="H17" s="308">
        <f t="shared" si="5"/>
        <v>93</v>
      </c>
      <c r="I17" s="314" t="str">
        <f t="shared" si="6"/>
        <v>87 - 91</v>
      </c>
      <c r="J17" s="310" t="str">
        <f t="shared" si="7"/>
        <v>89 - 93</v>
      </c>
      <c r="K17" s="311">
        <f t="shared" si="8"/>
        <v>1.7685988133272303</v>
      </c>
      <c r="L17" s="324">
        <f t="shared" si="9"/>
        <v>-2.3506999910003358E-2</v>
      </c>
      <c r="M17" s="324">
        <f t="shared" si="10"/>
        <v>5.8878976176548116E-2</v>
      </c>
      <c r="N17" s="313">
        <f t="shared" si="11"/>
        <v>0</v>
      </c>
      <c r="O17" s="306" t="str">
        <f t="shared" si="12"/>
        <v>RIE</v>
      </c>
      <c r="P17" s="306" t="s">
        <v>111</v>
      </c>
      <c r="Q17" s="425">
        <v>775</v>
      </c>
      <c r="R17" s="425">
        <v>868</v>
      </c>
      <c r="S17" s="425">
        <v>855</v>
      </c>
      <c r="T17" s="425">
        <v>939</v>
      </c>
    </row>
    <row r="18" spans="1:20" ht="12">
      <c r="A18" s="306" t="str">
        <f t="shared" si="13"/>
        <v>IRH</v>
      </c>
      <c r="B18" s="307">
        <f t="shared" si="0"/>
        <v>86.956521739130437</v>
      </c>
      <c r="C18" s="307">
        <f t="shared" si="1"/>
        <v>90.995260663507111</v>
      </c>
      <c r="D18" s="308">
        <f>90</f>
        <v>90</v>
      </c>
      <c r="E18" s="308">
        <f t="shared" si="2"/>
        <v>82</v>
      </c>
      <c r="F18" s="308">
        <f t="shared" si="3"/>
        <v>91</v>
      </c>
      <c r="G18" s="308">
        <f t="shared" si="4"/>
        <v>86</v>
      </c>
      <c r="H18" s="308">
        <f t="shared" si="5"/>
        <v>94</v>
      </c>
      <c r="I18" s="314" t="str">
        <f t="shared" si="6"/>
        <v>82 - 91</v>
      </c>
      <c r="J18" s="310" t="str">
        <f t="shared" si="7"/>
        <v>86 - 94</v>
      </c>
      <c r="K18" s="311">
        <f t="shared" si="8"/>
        <v>4.0387389243766734</v>
      </c>
      <c r="L18" s="324">
        <f t="shared" si="9"/>
        <v>-4.9425207255523296E-2</v>
      </c>
      <c r="M18" s="324">
        <f t="shared" si="10"/>
        <v>0.13019998574305675</v>
      </c>
      <c r="N18" s="313">
        <f t="shared" si="11"/>
        <v>0</v>
      </c>
      <c r="O18" s="306" t="str">
        <f t="shared" si="12"/>
        <v>IRH</v>
      </c>
      <c r="P18" s="306" t="s">
        <v>84</v>
      </c>
      <c r="Q18" s="425">
        <v>180</v>
      </c>
      <c r="R18" s="425">
        <v>207</v>
      </c>
      <c r="S18" s="425">
        <v>192</v>
      </c>
      <c r="T18" s="425">
        <v>211</v>
      </c>
    </row>
    <row r="19" spans="1:20" ht="12">
      <c r="A19" s="306" t="str">
        <f t="shared" si="13"/>
        <v>GCH</v>
      </c>
      <c r="B19" s="307">
        <f t="shared" si="0"/>
        <v>100</v>
      </c>
      <c r="C19" s="307">
        <f t="shared" si="1"/>
        <v>90</v>
      </c>
      <c r="D19" s="308">
        <f>90</f>
        <v>90</v>
      </c>
      <c r="E19" s="308">
        <f t="shared" si="2"/>
        <v>91</v>
      </c>
      <c r="F19" s="308">
        <f t="shared" si="3"/>
        <v>100</v>
      </c>
      <c r="G19" s="308">
        <f t="shared" si="4"/>
        <v>77</v>
      </c>
      <c r="H19" s="308">
        <f t="shared" si="5"/>
        <v>96</v>
      </c>
      <c r="I19" s="314" t="str">
        <f t="shared" si="6"/>
        <v>91 - 100</v>
      </c>
      <c r="J19" s="310" t="str">
        <f t="shared" si="7"/>
        <v>77 - 96</v>
      </c>
      <c r="K19" s="311">
        <f t="shared" si="8"/>
        <v>-10</v>
      </c>
      <c r="L19" s="324">
        <f t="shared" si="9"/>
        <v>-0.23922873562802816</v>
      </c>
      <c r="M19" s="324">
        <f t="shared" si="10"/>
        <v>3.92287356280282E-2</v>
      </c>
      <c r="N19" s="313">
        <f t="shared" si="11"/>
        <v>0</v>
      </c>
      <c r="O19" s="306" t="str">
        <f t="shared" si="12"/>
        <v>GCH</v>
      </c>
      <c r="P19" s="306" t="s">
        <v>70</v>
      </c>
      <c r="Q19" s="425">
        <v>39</v>
      </c>
      <c r="R19" s="425">
        <v>39</v>
      </c>
      <c r="S19" s="425">
        <v>36</v>
      </c>
      <c r="T19" s="425">
        <v>40</v>
      </c>
    </row>
    <row r="20" spans="1:20" ht="12">
      <c r="A20" s="306" t="str">
        <f t="shared" si="13"/>
        <v>WGH</v>
      </c>
      <c r="B20" s="307">
        <f t="shared" si="0"/>
        <v>90.683229813664596</v>
      </c>
      <c r="C20" s="307">
        <f t="shared" si="1"/>
        <v>89.243027888446207</v>
      </c>
      <c r="D20" s="308">
        <f>90</f>
        <v>90</v>
      </c>
      <c r="E20" s="308">
        <f t="shared" si="2"/>
        <v>87</v>
      </c>
      <c r="F20" s="308">
        <f t="shared" si="3"/>
        <v>93</v>
      </c>
      <c r="G20" s="308">
        <f t="shared" si="4"/>
        <v>85</v>
      </c>
      <c r="H20" s="308">
        <f t="shared" si="5"/>
        <v>93</v>
      </c>
      <c r="I20" s="314" t="str">
        <f t="shared" si="6"/>
        <v>87 - 93</v>
      </c>
      <c r="J20" s="310" t="str">
        <f t="shared" si="7"/>
        <v>85 - 93</v>
      </c>
      <c r="K20" s="311">
        <f t="shared" si="8"/>
        <v>-1.4402019252183891</v>
      </c>
      <c r="L20" s="324">
        <f t="shared" si="9"/>
        <v>-8.8938029245467842E-2</v>
      </c>
      <c r="M20" s="324">
        <f t="shared" si="10"/>
        <v>6.0133990741100096E-2</v>
      </c>
      <c r="N20" s="313">
        <f t="shared" si="11"/>
        <v>0</v>
      </c>
      <c r="O20" s="306" t="str">
        <f t="shared" si="12"/>
        <v>WGH</v>
      </c>
      <c r="P20" s="306" t="s">
        <v>117</v>
      </c>
      <c r="Q20" s="425">
        <v>292</v>
      </c>
      <c r="R20" s="425">
        <v>322</v>
      </c>
      <c r="S20" s="425">
        <v>224</v>
      </c>
      <c r="T20" s="425">
        <v>251</v>
      </c>
    </row>
    <row r="21" spans="1:20" ht="12">
      <c r="A21" s="306" t="str">
        <f t="shared" si="13"/>
        <v>RAH</v>
      </c>
      <c r="B21" s="307">
        <f t="shared" si="0"/>
        <v>75.06775067750678</v>
      </c>
      <c r="C21" s="307">
        <f t="shared" si="1"/>
        <v>89.142857142857139</v>
      </c>
      <c r="D21" s="308">
        <f>90</f>
        <v>90</v>
      </c>
      <c r="E21" s="308">
        <f t="shared" si="2"/>
        <v>70</v>
      </c>
      <c r="F21" s="308">
        <f t="shared" si="3"/>
        <v>79</v>
      </c>
      <c r="G21" s="308">
        <f t="shared" si="4"/>
        <v>85</v>
      </c>
      <c r="H21" s="308">
        <f t="shared" si="5"/>
        <v>92</v>
      </c>
      <c r="I21" s="314" t="str">
        <f t="shared" si="6"/>
        <v>70 - 79</v>
      </c>
      <c r="J21" s="310" t="str">
        <f t="shared" si="7"/>
        <v>85 - 92</v>
      </c>
      <c r="K21" s="311">
        <f t="shared" si="8"/>
        <v>14.075106465350359</v>
      </c>
      <c r="L21" s="324">
        <f t="shared" si="9"/>
        <v>5.8579339666096936E-2</v>
      </c>
      <c r="M21" s="324">
        <f t="shared" si="10"/>
        <v>0.22292278964091053</v>
      </c>
      <c r="N21" s="313">
        <f t="shared" si="11"/>
        <v>1</v>
      </c>
      <c r="O21" s="306" t="str">
        <f t="shared" si="12"/>
        <v>RAH</v>
      </c>
      <c r="P21" s="306" t="s">
        <v>87</v>
      </c>
      <c r="Q21" s="425">
        <v>277</v>
      </c>
      <c r="R21" s="425">
        <v>369</v>
      </c>
      <c r="S21" s="425">
        <v>312</v>
      </c>
      <c r="T21" s="425">
        <v>350</v>
      </c>
    </row>
    <row r="22" spans="1:20" ht="12">
      <c r="A22" s="306" t="str">
        <f t="shared" si="13"/>
        <v>GRI</v>
      </c>
      <c r="B22" s="307">
        <f t="shared" si="0"/>
        <v>85.975609756097555</v>
      </c>
      <c r="C22" s="307">
        <f t="shared" si="1"/>
        <v>87.735849056603783</v>
      </c>
      <c r="D22" s="308">
        <f>90</f>
        <v>90</v>
      </c>
      <c r="E22" s="308">
        <f t="shared" si="2"/>
        <v>83</v>
      </c>
      <c r="F22" s="308">
        <f t="shared" si="3"/>
        <v>89</v>
      </c>
      <c r="G22" s="308">
        <f t="shared" si="4"/>
        <v>85</v>
      </c>
      <c r="H22" s="308">
        <f t="shared" si="5"/>
        <v>90</v>
      </c>
      <c r="I22" s="314" t="str">
        <f t="shared" si="6"/>
        <v>83 - 89</v>
      </c>
      <c r="J22" s="310" t="str">
        <f t="shared" si="7"/>
        <v>85 - 90</v>
      </c>
      <c r="K22" s="311">
        <f t="shared" si="8"/>
        <v>1.7602393005062282</v>
      </c>
      <c r="L22" s="324">
        <f t="shared" si="9"/>
        <v>-4.4530462283931413E-2</v>
      </c>
      <c r="M22" s="324">
        <f t="shared" si="10"/>
        <v>7.9735248294055747E-2</v>
      </c>
      <c r="N22" s="313">
        <f t="shared" si="11"/>
        <v>0</v>
      </c>
      <c r="O22" s="306" t="str">
        <f t="shared" si="12"/>
        <v>GRI</v>
      </c>
      <c r="P22" s="306" t="s">
        <v>82</v>
      </c>
      <c r="Q22" s="425">
        <v>423</v>
      </c>
      <c r="R22" s="425">
        <v>492</v>
      </c>
      <c r="S22" s="425">
        <v>465</v>
      </c>
      <c r="T22" s="425">
        <v>530</v>
      </c>
    </row>
    <row r="23" spans="1:20" ht="12">
      <c r="A23" s="306" t="str">
        <f t="shared" si="13"/>
        <v>Crosshouse</v>
      </c>
      <c r="B23" s="307">
        <f t="shared" si="0"/>
        <v>89.253731343283576</v>
      </c>
      <c r="C23" s="307">
        <f t="shared" si="1"/>
        <v>87.628865979381445</v>
      </c>
      <c r="D23" s="308">
        <f>90</f>
        <v>90</v>
      </c>
      <c r="E23" s="308">
        <f t="shared" si="2"/>
        <v>85</v>
      </c>
      <c r="F23" s="308">
        <f t="shared" si="3"/>
        <v>92</v>
      </c>
      <c r="G23" s="308">
        <f t="shared" si="4"/>
        <v>84</v>
      </c>
      <c r="H23" s="308">
        <f t="shared" si="5"/>
        <v>91</v>
      </c>
      <c r="I23" s="314" t="str">
        <f t="shared" si="6"/>
        <v>85 - 92</v>
      </c>
      <c r="J23" s="310" t="str">
        <f t="shared" si="7"/>
        <v>84 - 91</v>
      </c>
      <c r="K23" s="311">
        <f t="shared" si="8"/>
        <v>-1.6248653639021313</v>
      </c>
      <c r="L23" s="324">
        <f t="shared" si="9"/>
        <v>-8.6061427245319302E-2</v>
      </c>
      <c r="M23" s="324">
        <f t="shared" si="10"/>
        <v>5.3564119967276516E-2</v>
      </c>
      <c r="N23" s="313">
        <f t="shared" si="11"/>
        <v>0</v>
      </c>
      <c r="O23" s="306" t="str">
        <f t="shared" si="12"/>
        <v>Crosshouse</v>
      </c>
      <c r="P23" s="306" t="s">
        <v>62</v>
      </c>
      <c r="Q23" s="425">
        <v>299</v>
      </c>
      <c r="R23" s="425">
        <v>335</v>
      </c>
      <c r="S23" s="425">
        <v>340</v>
      </c>
      <c r="T23" s="425">
        <v>388</v>
      </c>
    </row>
    <row r="24" spans="1:20" ht="12">
      <c r="A24" s="306" t="str">
        <f t="shared" si="13"/>
        <v>Raigmore</v>
      </c>
      <c r="B24" s="307">
        <f t="shared" si="0"/>
        <v>90.153846153846146</v>
      </c>
      <c r="C24" s="307">
        <f t="shared" si="1"/>
        <v>87.005649717514117</v>
      </c>
      <c r="D24" s="308">
        <f>90</f>
        <v>90</v>
      </c>
      <c r="E24" s="308">
        <f t="shared" si="2"/>
        <v>86</v>
      </c>
      <c r="F24" s="308">
        <f t="shared" si="3"/>
        <v>93</v>
      </c>
      <c r="G24" s="308">
        <f t="shared" si="4"/>
        <v>83</v>
      </c>
      <c r="H24" s="308">
        <f t="shared" si="5"/>
        <v>90</v>
      </c>
      <c r="I24" s="314" t="str">
        <f t="shared" si="6"/>
        <v>86 - 93</v>
      </c>
      <c r="J24" s="310" t="str">
        <f t="shared" si="7"/>
        <v>83 - 90</v>
      </c>
      <c r="K24" s="311">
        <f t="shared" si="8"/>
        <v>-3.1481964363320287</v>
      </c>
      <c r="L24" s="324">
        <f t="shared" si="9"/>
        <v>-0.10292873664977878</v>
      </c>
      <c r="M24" s="324">
        <f t="shared" si="10"/>
        <v>3.9964807923138196E-2</v>
      </c>
      <c r="N24" s="313">
        <f t="shared" si="11"/>
        <v>0</v>
      </c>
      <c r="O24" s="306" t="str">
        <f t="shared" si="12"/>
        <v>Raigmore</v>
      </c>
      <c r="P24" s="306" t="s">
        <v>100</v>
      </c>
      <c r="Q24" s="425">
        <v>293</v>
      </c>
      <c r="R24" s="425">
        <v>325</v>
      </c>
      <c r="S24" s="425">
        <v>308</v>
      </c>
      <c r="T24" s="425">
        <v>354</v>
      </c>
    </row>
    <row r="25" spans="1:20" ht="12">
      <c r="A25" s="306" t="str">
        <f t="shared" si="13"/>
        <v>L&amp;I</v>
      </c>
      <c r="B25" s="307">
        <f t="shared" si="0"/>
        <v>92.857142857142861</v>
      </c>
      <c r="C25" s="307">
        <f t="shared" si="1"/>
        <v>86.666666666666671</v>
      </c>
      <c r="D25" s="308">
        <f>90</f>
        <v>90</v>
      </c>
      <c r="E25" s="308">
        <f t="shared" si="2"/>
        <v>81</v>
      </c>
      <c r="F25" s="308">
        <f t="shared" si="3"/>
        <v>98</v>
      </c>
      <c r="G25" s="308">
        <f t="shared" si="4"/>
        <v>74</v>
      </c>
      <c r="H25" s="308">
        <f t="shared" si="5"/>
        <v>94</v>
      </c>
      <c r="I25" s="314" t="str">
        <f t="shared" si="6"/>
        <v>81 - 98</v>
      </c>
      <c r="J25" s="310" t="str">
        <f t="shared" si="7"/>
        <v>74 - 94</v>
      </c>
      <c r="K25" s="311">
        <f t="shared" si="8"/>
        <v>-6.1904761904761898</v>
      </c>
      <c r="L25" s="324">
        <f t="shared" si="9"/>
        <v>-0.25092578152124334</v>
      </c>
      <c r="M25" s="324">
        <f t="shared" si="10"/>
        <v>0.12711625771171955</v>
      </c>
      <c r="N25" s="313">
        <f t="shared" si="11"/>
        <v>0</v>
      </c>
      <c r="O25" s="306" t="str">
        <f t="shared" si="12"/>
        <v>L&amp;I</v>
      </c>
      <c r="P25" s="306" t="s">
        <v>97</v>
      </c>
      <c r="Q25" s="425">
        <v>39</v>
      </c>
      <c r="R25" s="425">
        <v>42</v>
      </c>
      <c r="S25" s="425">
        <v>39</v>
      </c>
      <c r="T25" s="425">
        <v>45</v>
      </c>
    </row>
    <row r="26" spans="1:20" ht="12">
      <c r="A26" s="306" t="str">
        <f t="shared" si="13"/>
        <v>Monklands</v>
      </c>
      <c r="B26" s="307">
        <f t="shared" si="0"/>
        <v>87.837837837837839</v>
      </c>
      <c r="C26" s="307">
        <f t="shared" si="1"/>
        <v>86.111111111111114</v>
      </c>
      <c r="D26" s="308">
        <f>90</f>
        <v>90</v>
      </c>
      <c r="E26" s="308">
        <f t="shared" si="2"/>
        <v>84</v>
      </c>
      <c r="F26" s="308">
        <f t="shared" si="3"/>
        <v>91</v>
      </c>
      <c r="G26" s="308">
        <f t="shared" si="4"/>
        <v>82</v>
      </c>
      <c r="H26" s="308">
        <f t="shared" si="5"/>
        <v>89</v>
      </c>
      <c r="I26" s="314" t="str">
        <f t="shared" si="6"/>
        <v>84 - 91</v>
      </c>
      <c r="J26" s="310" t="str">
        <f t="shared" si="7"/>
        <v>82 - 89</v>
      </c>
      <c r="K26" s="311">
        <f t="shared" si="8"/>
        <v>-1.7267267267267243</v>
      </c>
      <c r="L26" s="324">
        <f t="shared" si="9"/>
        <v>-9.6574352000554808E-2</v>
      </c>
      <c r="M26" s="324">
        <f t="shared" si="10"/>
        <v>6.2039817466020331E-2</v>
      </c>
      <c r="N26" s="313">
        <f t="shared" si="11"/>
        <v>0</v>
      </c>
      <c r="O26" s="306" t="str">
        <f t="shared" si="12"/>
        <v>Monklands</v>
      </c>
      <c r="P26" s="306" t="s">
        <v>106</v>
      </c>
      <c r="Q26" s="425">
        <v>260</v>
      </c>
      <c r="R26" s="425">
        <v>296</v>
      </c>
      <c r="S26" s="425">
        <v>279</v>
      </c>
      <c r="T26" s="425">
        <v>324</v>
      </c>
    </row>
    <row r="27" spans="1:20" ht="12">
      <c r="A27" s="306" t="str">
        <f t="shared" si="13"/>
        <v>Gilbert Bain</v>
      </c>
      <c r="B27" s="307">
        <f t="shared" si="0"/>
        <v>80</v>
      </c>
      <c r="C27" s="307">
        <f t="shared" si="1"/>
        <v>85.714285714285708</v>
      </c>
      <c r="D27" s="308">
        <f>90</f>
        <v>90</v>
      </c>
      <c r="E27" s="308">
        <f t="shared" si="2"/>
        <v>64</v>
      </c>
      <c r="F27" s="308">
        <f t="shared" si="3"/>
        <v>90</v>
      </c>
      <c r="G27" s="308">
        <f t="shared" si="4"/>
        <v>71</v>
      </c>
      <c r="H27" s="308">
        <f t="shared" si="5"/>
        <v>94</v>
      </c>
      <c r="I27" s="314" t="str">
        <f t="shared" si="6"/>
        <v>64 - 90</v>
      </c>
      <c r="J27" s="310" t="str">
        <f t="shared" si="7"/>
        <v>71 - 94</v>
      </c>
      <c r="K27" s="311">
        <f t="shared" si="8"/>
        <v>5.7142857142857082</v>
      </c>
      <c r="L27" s="324">
        <f t="shared" si="9"/>
        <v>-0.20653496504380509</v>
      </c>
      <c r="M27" s="324">
        <f t="shared" si="10"/>
        <v>0.32082067932951919</v>
      </c>
      <c r="N27" s="313">
        <f t="shared" si="11"/>
        <v>0</v>
      </c>
      <c r="O27" s="306" t="str">
        <f t="shared" si="12"/>
        <v>Gilbert Bain</v>
      </c>
      <c r="P27" s="306" t="s">
        <v>123</v>
      </c>
      <c r="Q27" s="425">
        <v>28</v>
      </c>
      <c r="R27" s="425">
        <v>35</v>
      </c>
      <c r="S27" s="425">
        <v>30</v>
      </c>
      <c r="T27" s="425">
        <v>35</v>
      </c>
    </row>
    <row r="28" spans="1:20" ht="12">
      <c r="A28" s="306" t="str">
        <f t="shared" si="13"/>
        <v>Ninewells</v>
      </c>
      <c r="B28" s="307">
        <f t="shared" si="0"/>
        <v>80.361757105943155</v>
      </c>
      <c r="C28" s="307">
        <f t="shared" si="1"/>
        <v>82.261640798226168</v>
      </c>
      <c r="D28" s="308">
        <f>90</f>
        <v>90</v>
      </c>
      <c r="E28" s="308">
        <f t="shared" si="2"/>
        <v>76</v>
      </c>
      <c r="F28" s="308">
        <f t="shared" si="3"/>
        <v>84</v>
      </c>
      <c r="G28" s="308">
        <f t="shared" si="4"/>
        <v>78</v>
      </c>
      <c r="H28" s="308">
        <f t="shared" si="5"/>
        <v>86</v>
      </c>
      <c r="I28" s="314" t="str">
        <f t="shared" si="6"/>
        <v>76 - 84</v>
      </c>
      <c r="J28" s="310" t="str">
        <f t="shared" si="7"/>
        <v>78 - 86</v>
      </c>
      <c r="K28" s="311">
        <f t="shared" si="8"/>
        <v>1.8998836922830122</v>
      </c>
      <c r="L28" s="324">
        <f t="shared" si="9"/>
        <v>-6.037858046759921E-2</v>
      </c>
      <c r="M28" s="324">
        <f t="shared" si="10"/>
        <v>9.8376254313259429E-2</v>
      </c>
      <c r="N28" s="313">
        <f t="shared" si="11"/>
        <v>0</v>
      </c>
      <c r="O28" s="306" t="str">
        <f t="shared" si="12"/>
        <v>Ninewells</v>
      </c>
      <c r="P28" s="306" t="s">
        <v>126</v>
      </c>
      <c r="Q28" s="425">
        <v>311</v>
      </c>
      <c r="R28" s="425">
        <v>387</v>
      </c>
      <c r="S28" s="425">
        <v>371</v>
      </c>
      <c r="T28" s="425">
        <v>451</v>
      </c>
    </row>
    <row r="29" spans="1:20" ht="12">
      <c r="A29" s="306" t="str">
        <f t="shared" si="13"/>
        <v>Belford</v>
      </c>
      <c r="B29" s="307">
        <f t="shared" si="0"/>
        <v>93.333333333333329</v>
      </c>
      <c r="C29" s="307">
        <f t="shared" si="1"/>
        <v>82.142857142857139</v>
      </c>
      <c r="D29" s="308">
        <f>90</f>
        <v>90</v>
      </c>
      <c r="E29" s="308">
        <f t="shared" si="2"/>
        <v>79</v>
      </c>
      <c r="F29" s="308">
        <f t="shared" si="3"/>
        <v>98</v>
      </c>
      <c r="G29" s="308">
        <f t="shared" si="4"/>
        <v>64</v>
      </c>
      <c r="H29" s="308">
        <f t="shared" si="5"/>
        <v>92</v>
      </c>
      <c r="I29" s="314" t="str">
        <f t="shared" si="6"/>
        <v>79 - 98</v>
      </c>
      <c r="J29" s="310" t="str">
        <f t="shared" si="7"/>
        <v>64 - 92</v>
      </c>
      <c r="K29" s="311">
        <f t="shared" si="8"/>
        <v>-11.19047619047619</v>
      </c>
      <c r="L29" s="324">
        <f t="shared" si="9"/>
        <v>-0.36290768328723944</v>
      </c>
      <c r="M29" s="324">
        <f t="shared" si="10"/>
        <v>0.13909815947771553</v>
      </c>
      <c r="N29" s="313">
        <f t="shared" si="11"/>
        <v>0</v>
      </c>
      <c r="O29" s="306" t="str">
        <f t="shared" si="12"/>
        <v>Belford</v>
      </c>
      <c r="P29" s="306" t="s">
        <v>91</v>
      </c>
      <c r="Q29" s="425">
        <v>28</v>
      </c>
      <c r="R29" s="425">
        <v>30</v>
      </c>
      <c r="S29" s="425">
        <v>23</v>
      </c>
      <c r="T29" s="425">
        <v>28</v>
      </c>
    </row>
    <row r="30" spans="1:20" ht="12">
      <c r="A30" s="306" t="str">
        <f t="shared" si="13"/>
        <v>Ayr</v>
      </c>
      <c r="B30" s="307">
        <f t="shared" si="0"/>
        <v>76.666666666666671</v>
      </c>
      <c r="C30" s="307">
        <f t="shared" si="1"/>
        <v>80.916030534351151</v>
      </c>
      <c r="D30" s="308">
        <f>90</f>
        <v>90</v>
      </c>
      <c r="E30" s="308">
        <f t="shared" si="2"/>
        <v>72</v>
      </c>
      <c r="F30" s="308">
        <f t="shared" si="3"/>
        <v>81</v>
      </c>
      <c r="G30" s="308">
        <f t="shared" si="4"/>
        <v>76</v>
      </c>
      <c r="H30" s="308">
        <f t="shared" si="5"/>
        <v>85</v>
      </c>
      <c r="I30" s="314" t="str">
        <f t="shared" si="6"/>
        <v>72 - 81</v>
      </c>
      <c r="J30" s="310" t="str">
        <f t="shared" si="7"/>
        <v>76 - 85</v>
      </c>
      <c r="K30" s="311">
        <f t="shared" si="8"/>
        <v>4.2493638676844796</v>
      </c>
      <c r="L30" s="324">
        <f t="shared" si="9"/>
        <v>-5.8576375960403951E-2</v>
      </c>
      <c r="M30" s="324">
        <f t="shared" si="10"/>
        <v>0.14356365331409343</v>
      </c>
      <c r="N30" s="313">
        <f t="shared" si="11"/>
        <v>0</v>
      </c>
      <c r="O30" s="306" t="str">
        <f t="shared" si="12"/>
        <v>Ayr</v>
      </c>
      <c r="P30" s="306" t="s">
        <v>60</v>
      </c>
      <c r="Q30" s="425">
        <v>230</v>
      </c>
      <c r="R30" s="425">
        <v>300</v>
      </c>
      <c r="S30" s="425">
        <v>212</v>
      </c>
      <c r="T30" s="425">
        <v>262</v>
      </c>
    </row>
    <row r="31" spans="1:20" ht="12">
      <c r="A31" s="306" t="str">
        <f t="shared" si="13"/>
        <v>Balfour</v>
      </c>
      <c r="B31" s="307">
        <f t="shared" si="0"/>
        <v>27.500000000000004</v>
      </c>
      <c r="C31" s="307">
        <f t="shared" si="1"/>
        <v>75</v>
      </c>
      <c r="D31" s="308">
        <f>90</f>
        <v>90</v>
      </c>
      <c r="E31" s="308">
        <f t="shared" si="2"/>
        <v>16</v>
      </c>
      <c r="F31" s="308">
        <f t="shared" si="3"/>
        <v>43</v>
      </c>
      <c r="G31" s="308">
        <f t="shared" si="4"/>
        <v>60</v>
      </c>
      <c r="H31" s="308">
        <f t="shared" si="5"/>
        <v>86</v>
      </c>
      <c r="I31" s="314" t="str">
        <f t="shared" si="6"/>
        <v>16 - 43</v>
      </c>
      <c r="J31" s="310" t="str">
        <f t="shared" si="7"/>
        <v>60 - 86</v>
      </c>
      <c r="K31" s="311">
        <f t="shared" si="8"/>
        <v>47.5</v>
      </c>
      <c r="L31" s="324">
        <f t="shared" si="9"/>
        <v>0.18633577909024657</v>
      </c>
      <c r="M31" s="324">
        <f t="shared" si="10"/>
        <v>0.76366422090975339</v>
      </c>
      <c r="N31" s="313">
        <f t="shared" si="11"/>
        <v>1</v>
      </c>
      <c r="O31" s="306" t="str">
        <f t="shared" si="12"/>
        <v>Balfour</v>
      </c>
      <c r="P31" s="306" t="s">
        <v>120</v>
      </c>
      <c r="Q31" s="425">
        <v>11</v>
      </c>
      <c r="R31" s="425">
        <v>40</v>
      </c>
      <c r="S31" s="425">
        <v>30</v>
      </c>
      <c r="T31" s="425">
        <v>40</v>
      </c>
    </row>
    <row r="32" spans="1:20" ht="12">
      <c r="A32" s="306" t="str">
        <f t="shared" si="13"/>
        <v>Uist &amp; Barra</v>
      </c>
      <c r="B32" s="307" t="e">
        <f t="shared" si="0"/>
        <v>#DIV/0!</v>
      </c>
      <c r="C32" s="307">
        <f t="shared" si="1"/>
        <v>0</v>
      </c>
      <c r="D32" s="308">
        <f>90</f>
        <v>90</v>
      </c>
      <c r="E32" s="308" t="e">
        <f t="shared" si="2"/>
        <v>#DIV/0!</v>
      </c>
      <c r="F32" s="308" t="e">
        <f t="shared" si="3"/>
        <v>#DIV/0!</v>
      </c>
      <c r="G32" s="308">
        <f t="shared" si="4"/>
        <v>0</v>
      </c>
      <c r="H32" s="308">
        <f t="shared" si="5"/>
        <v>79</v>
      </c>
      <c r="I32" s="314" t="e">
        <f t="shared" si="6"/>
        <v>#DIV/0!</v>
      </c>
      <c r="J32" s="310" t="str">
        <f t="shared" si="7"/>
        <v>0 - 79</v>
      </c>
      <c r="K32" s="311" t="e">
        <f t="shared" si="8"/>
        <v>#DIV/0!</v>
      </c>
      <c r="L32" s="324" t="e">
        <f t="shared" si="9"/>
        <v>#DIV/0!</v>
      </c>
      <c r="M32" s="324" t="e">
        <f t="shared" si="10"/>
        <v>#DIV/0!</v>
      </c>
      <c r="N32" s="313" t="str">
        <f t="shared" si="11"/>
        <v/>
      </c>
      <c r="O32" s="306" t="str">
        <f t="shared" si="12"/>
        <v>Uist &amp; Barra</v>
      </c>
      <c r="P32" s="306" t="s">
        <v>132</v>
      </c>
      <c r="Q32" s="425"/>
      <c r="R32" s="425"/>
      <c r="S32" s="425">
        <v>0</v>
      </c>
      <c r="T32" s="425">
        <v>1</v>
      </c>
    </row>
    <row r="34" spans="15:23" ht="15">
      <c r="O34"/>
      <c r="P34"/>
      <c r="Q34"/>
      <c r="R34"/>
      <c r="S34"/>
      <c r="T34"/>
      <c r="U34"/>
      <c r="V34"/>
      <c r="W34"/>
    </row>
    <row r="35" spans="15:23" ht="15">
      <c r="O35"/>
      <c r="P35"/>
      <c r="Q35"/>
      <c r="R35"/>
      <c r="S35"/>
      <c r="T35"/>
      <c r="U35"/>
      <c r="V35"/>
      <c r="W35"/>
    </row>
    <row r="36" spans="15:23" ht="15">
      <c r="O36"/>
      <c r="P36"/>
      <c r="Q36"/>
      <c r="R36"/>
      <c r="S36"/>
      <c r="T36"/>
      <c r="U36"/>
      <c r="V36"/>
      <c r="W36"/>
    </row>
    <row r="37" spans="15:23" ht="15">
      <c r="O37"/>
      <c r="P37"/>
      <c r="Q37"/>
      <c r="R37"/>
      <c r="S37"/>
      <c r="T37"/>
      <c r="U37"/>
      <c r="V37"/>
      <c r="W37"/>
    </row>
    <row r="38" spans="15:23" ht="15">
      <c r="O38"/>
      <c r="P38"/>
      <c r="Q38"/>
      <c r="R38"/>
      <c r="S38"/>
      <c r="T38"/>
      <c r="U38"/>
      <c r="V38"/>
      <c r="W38"/>
    </row>
    <row r="39" spans="15:23" ht="15">
      <c r="O39"/>
      <c r="P39"/>
      <c r="Q39"/>
      <c r="R39"/>
      <c r="S39"/>
      <c r="T39"/>
      <c r="U39"/>
      <c r="V39"/>
      <c r="W39"/>
    </row>
    <row r="40" spans="15:23" ht="15">
      <c r="O40"/>
      <c r="P40"/>
      <c r="Q40"/>
      <c r="R40"/>
      <c r="S40"/>
      <c r="T40"/>
      <c r="U40"/>
      <c r="V40"/>
      <c r="W40"/>
    </row>
    <row r="41" spans="15:23" ht="15">
      <c r="O41"/>
      <c r="P41"/>
      <c r="Q41"/>
      <c r="R41"/>
      <c r="S41"/>
      <c r="T41"/>
      <c r="U41"/>
      <c r="V41"/>
      <c r="W41"/>
    </row>
    <row r="42" spans="15:23" ht="15">
      <c r="O42"/>
      <c r="P42"/>
      <c r="Q42"/>
      <c r="R42"/>
      <c r="S42"/>
      <c r="T42"/>
      <c r="U42"/>
      <c r="V42"/>
      <c r="W42"/>
    </row>
    <row r="43" spans="15:23" ht="15">
      <c r="O43"/>
      <c r="P43"/>
      <c r="Q43"/>
      <c r="R43"/>
      <c r="S43"/>
      <c r="T43"/>
      <c r="U43"/>
      <c r="V43"/>
      <c r="W43"/>
    </row>
    <row r="44" spans="15:23" ht="15">
      <c r="O44"/>
      <c r="P44"/>
      <c r="Q44"/>
      <c r="R44"/>
      <c r="S44"/>
      <c r="T44"/>
      <c r="U44"/>
      <c r="V44"/>
      <c r="W44"/>
    </row>
    <row r="45" spans="15:23" ht="15">
      <c r="O45"/>
      <c r="P45"/>
      <c r="Q45"/>
      <c r="R45"/>
      <c r="S45"/>
      <c r="T45"/>
      <c r="U45"/>
      <c r="V45"/>
      <c r="W45"/>
    </row>
    <row r="46" spans="15:23" ht="15">
      <c r="O46"/>
      <c r="P46"/>
      <c r="Q46"/>
      <c r="R46"/>
      <c r="S46"/>
      <c r="T46"/>
      <c r="U46"/>
      <c r="V46"/>
      <c r="W46"/>
    </row>
    <row r="47" spans="15:23" ht="15">
      <c r="O47"/>
      <c r="P47"/>
      <c r="Q47"/>
      <c r="R47"/>
      <c r="S47"/>
      <c r="T47"/>
      <c r="U47"/>
      <c r="V47"/>
      <c r="W47"/>
    </row>
    <row r="48" spans="15: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row r="55" spans="15:23" ht="15">
      <c r="O55"/>
      <c r="P55"/>
      <c r="Q55"/>
      <c r="R55"/>
      <c r="S55"/>
      <c r="T55"/>
      <c r="U55"/>
      <c r="V55"/>
      <c r="W55"/>
    </row>
    <row r="56" spans="15:23" ht="15">
      <c r="O56"/>
      <c r="P56"/>
      <c r="Q56"/>
      <c r="R56"/>
      <c r="S56"/>
      <c r="T56"/>
      <c r="U56"/>
      <c r="V56"/>
      <c r="W56"/>
    </row>
    <row r="57" spans="15:23" ht="15">
      <c r="O57"/>
      <c r="P57"/>
      <c r="Q57"/>
      <c r="R57"/>
      <c r="S57"/>
      <c r="T57"/>
      <c r="U57"/>
      <c r="V57"/>
      <c r="W57"/>
    </row>
    <row r="58" spans="15:23" ht="15">
      <c r="O58"/>
      <c r="P58"/>
      <c r="Q58"/>
      <c r="R58"/>
      <c r="S58"/>
      <c r="T58"/>
      <c r="U58"/>
      <c r="V58"/>
      <c r="W58"/>
    </row>
    <row r="59" spans="15:23" ht="15">
      <c r="O59"/>
      <c r="P59"/>
      <c r="Q59"/>
      <c r="R59"/>
      <c r="S59"/>
      <c r="T59"/>
      <c r="U59"/>
      <c r="V59"/>
      <c r="W59"/>
    </row>
    <row r="60" spans="15:23" ht="15">
      <c r="O60"/>
      <c r="P60"/>
      <c r="Q60"/>
      <c r="R60"/>
      <c r="S60"/>
      <c r="T60"/>
      <c r="U60"/>
      <c r="V60"/>
      <c r="W60"/>
    </row>
    <row r="61" spans="15:23" ht="15">
      <c r="O61"/>
      <c r="P61"/>
      <c r="Q61"/>
      <c r="R61"/>
      <c r="S61"/>
      <c r="T61"/>
      <c r="U61"/>
      <c r="V61"/>
      <c r="W61"/>
    </row>
    <row r="62" spans="15:23" ht="15">
      <c r="O62"/>
      <c r="P62"/>
      <c r="Q62"/>
      <c r="R62"/>
      <c r="S62"/>
      <c r="T62"/>
      <c r="U62"/>
      <c r="V62"/>
      <c r="W62"/>
    </row>
    <row r="63" spans="15:23" ht="15">
      <c r="O63"/>
      <c r="P63"/>
      <c r="Q63"/>
      <c r="R63"/>
      <c r="S63"/>
      <c r="T63"/>
      <c r="U63"/>
      <c r="V63"/>
      <c r="W63"/>
    </row>
    <row r="64" spans="15:23" ht="15">
      <c r="O64"/>
      <c r="P64"/>
      <c r="Q64"/>
      <c r="R64"/>
      <c r="S64"/>
      <c r="T64"/>
      <c r="U64"/>
      <c r="V64"/>
      <c r="W64"/>
    </row>
  </sheetData>
  <sheetProtection password="B8D9" sheet="1" objects="1" scenarios="1"/>
  <sortState ref="A4:T34">
    <sortCondition descending="1" ref="C4:C34"/>
  </sortState>
  <mergeCells count="7">
    <mergeCell ref="A1:A2"/>
    <mergeCell ref="B1:H1"/>
    <mergeCell ref="O1:P1"/>
    <mergeCell ref="Q1:R1"/>
    <mergeCell ref="S1:T1"/>
    <mergeCell ref="E2:F2"/>
    <mergeCell ref="G2:H2"/>
  </mergeCells>
  <conditionalFormatting sqref="A3:A32">
    <cfRule type="expression" dxfId="18" priority="1" stopIfTrue="1">
      <formula>N3=-1</formula>
    </cfRule>
    <cfRule type="expression" dxfId="17" priority="2" stopIfTrue="1">
      <formula>N3=0</formula>
    </cfRule>
    <cfRule type="expression" dxfId="16" priority="3" stopIfTrue="1">
      <formula>N3=1</formula>
    </cfRule>
  </conditionalFormatting>
  <printOptions horizontalCentered="1"/>
  <pageMargins left="0" right="0" top="0.74803149606299213" bottom="0.74803149606299213" header="0.31496062992125984" footer="0.31496062992125984"/>
  <pageSetup paperSize="9" scale="59" orientation="landscape" r:id="rId1"/>
  <headerFooter alignWithMargins="0">
    <oddHeader>&amp;LChart 2c DATA
Percentage of stroke patients with a brain scan within 24 hours of admission, 2014 and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29.xml><?xml version="1.0" encoding="utf-8"?>
<worksheet xmlns="http://schemas.openxmlformats.org/spreadsheetml/2006/main" xmlns:r="http://schemas.openxmlformats.org/officeDocument/2006/relationships">
  <sheetPr codeName="Sheet12"/>
  <dimension ref="B1:T36"/>
  <sheetViews>
    <sheetView workbookViewId="0"/>
  </sheetViews>
  <sheetFormatPr defaultRowHeight="12.75"/>
  <cols>
    <col min="1" max="1" width="1.7109375" style="2" customWidth="1"/>
    <col min="2" max="16384" width="9.140625" style="2"/>
  </cols>
  <sheetData>
    <row r="1" spans="2:20">
      <c r="B1" s="795" t="s">
        <v>514</v>
      </c>
      <c r="C1" s="795"/>
      <c r="D1" s="795"/>
      <c r="E1" s="795"/>
      <c r="F1" s="795"/>
      <c r="G1" s="795"/>
      <c r="H1" s="795"/>
      <c r="I1" s="795"/>
      <c r="J1" s="795"/>
      <c r="K1" s="795"/>
      <c r="L1" s="795"/>
      <c r="M1" s="795"/>
      <c r="N1" s="795"/>
      <c r="O1" s="802" t="s">
        <v>48</v>
      </c>
      <c r="R1" s="92"/>
    </row>
    <row r="2" spans="2:20">
      <c r="B2" s="795"/>
      <c r="C2" s="795"/>
      <c r="D2" s="795"/>
      <c r="E2" s="795"/>
      <c r="F2" s="795"/>
      <c r="G2" s="795"/>
      <c r="H2" s="795"/>
      <c r="I2" s="795"/>
      <c r="J2" s="795"/>
      <c r="K2" s="795"/>
      <c r="L2" s="795"/>
      <c r="M2" s="795"/>
      <c r="N2" s="795"/>
      <c r="O2" s="802"/>
      <c r="R2" s="92"/>
    </row>
    <row r="3" spans="2:20">
      <c r="B3" s="212" t="s">
        <v>764</v>
      </c>
      <c r="O3" s="802"/>
      <c r="R3" s="92"/>
    </row>
    <row r="4" spans="2:20">
      <c r="O4" s="802"/>
      <c r="R4" s="92"/>
    </row>
    <row r="6" spans="2:20">
      <c r="O6" s="826" t="s">
        <v>467</v>
      </c>
      <c r="P6" s="826"/>
    </row>
    <row r="13" spans="2:20" ht="15">
      <c r="O13" s="199"/>
      <c r="P13" t="s">
        <v>298</v>
      </c>
      <c r="Q13"/>
      <c r="R13"/>
      <c r="S13"/>
      <c r="T13"/>
    </row>
    <row r="14" spans="2:20" ht="15">
      <c r="O14" s="200"/>
      <c r="P14" t="s">
        <v>507</v>
      </c>
      <c r="Q14"/>
      <c r="R14"/>
      <c r="S14"/>
      <c r="T14"/>
    </row>
    <row r="15" spans="2:20" ht="15">
      <c r="O15" s="201"/>
      <c r="P15" t="s">
        <v>508</v>
      </c>
      <c r="Q15"/>
      <c r="R15"/>
      <c r="S15"/>
      <c r="T15"/>
    </row>
    <row r="16" spans="2:20" ht="15">
      <c r="O16" s="283"/>
      <c r="P16" t="s">
        <v>509</v>
      </c>
      <c r="Q16"/>
      <c r="R16"/>
      <c r="S16"/>
      <c r="T16"/>
    </row>
    <row r="17" spans="2:20" ht="15">
      <c r="O17"/>
      <c r="P17" t="s">
        <v>280</v>
      </c>
      <c r="Q17"/>
      <c r="R17"/>
      <c r="S17"/>
      <c r="T17"/>
    </row>
    <row r="31" spans="2:20">
      <c r="B31" s="206" t="s">
        <v>452</v>
      </c>
    </row>
    <row r="32" spans="2:20" ht="15">
      <c r="B32" s="832" t="s">
        <v>674</v>
      </c>
      <c r="C32" s="800"/>
      <c r="D32" s="800"/>
      <c r="E32" s="800"/>
      <c r="F32" s="800"/>
      <c r="G32" s="800"/>
      <c r="H32" s="800"/>
      <c r="I32" s="800"/>
      <c r="J32" s="800"/>
      <c r="K32" s="800"/>
      <c r="L32" s="800"/>
      <c r="M32" s="800"/>
      <c r="N32" s="800"/>
    </row>
    <row r="33" spans="2:14" s="436" customFormat="1" ht="15">
      <c r="B33" s="209" t="s">
        <v>522</v>
      </c>
      <c r="C33" s="207"/>
      <c r="D33" s="208"/>
      <c r="E33" s="208"/>
      <c r="F33" s="208"/>
      <c r="G33" s="208"/>
      <c r="H33" s="208"/>
      <c r="I33" s="208"/>
      <c r="J33" s="207"/>
    </row>
    <row r="34" spans="2:14" s="436" customFormat="1" ht="15">
      <c r="B34" s="209" t="s">
        <v>523</v>
      </c>
      <c r="C34" s="207"/>
      <c r="D34" s="208"/>
      <c r="E34" s="208"/>
      <c r="F34" s="208"/>
      <c r="G34" s="208"/>
      <c r="H34" s="208"/>
      <c r="I34" s="208"/>
      <c r="J34" s="207"/>
    </row>
    <row r="35" spans="2:14" s="436" customFormat="1">
      <c r="B35" s="825" t="s">
        <v>9</v>
      </c>
      <c r="C35" s="825"/>
      <c r="D35" s="825"/>
      <c r="E35" s="825"/>
      <c r="F35" s="825"/>
      <c r="G35" s="825"/>
      <c r="H35" s="825"/>
      <c r="I35" s="825"/>
      <c r="J35" s="825"/>
      <c r="K35" s="825"/>
      <c r="L35" s="825"/>
      <c r="M35" s="825"/>
      <c r="N35" s="825"/>
    </row>
    <row r="36" spans="2:14" s="436" customFormat="1">
      <c r="B36" s="825"/>
      <c r="C36" s="825"/>
      <c r="D36" s="825"/>
      <c r="E36" s="825"/>
      <c r="F36" s="825"/>
      <c r="G36" s="825"/>
      <c r="H36" s="825"/>
      <c r="I36" s="825"/>
      <c r="J36" s="825"/>
      <c r="K36" s="825"/>
      <c r="L36" s="825"/>
      <c r="M36" s="825"/>
      <c r="N36" s="825"/>
    </row>
  </sheetData>
  <sheetProtection password="B8D9" sheet="1" objects="1" scenarios="1"/>
  <mergeCells count="5">
    <mergeCell ref="B1:N2"/>
    <mergeCell ref="O1:O4"/>
    <mergeCell ref="B32:N32"/>
    <mergeCell ref="B35:N36"/>
    <mergeCell ref="O6:P6"/>
  </mergeCells>
  <hyperlinks>
    <hyperlink ref="O1" location="'List of Tables &amp; Charts'!A1" display="return to List of Tables &amp; Charts"/>
    <hyperlink ref="O6:P6" location="'Chart 2d DATA'!A1" display="view Chart 2d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3.xml><?xml version="1.0" encoding="utf-8"?>
<worksheet xmlns="http://schemas.openxmlformats.org/spreadsheetml/2006/main" xmlns:r="http://schemas.openxmlformats.org/officeDocument/2006/relationships">
  <sheetPr codeName="Sheet22">
    <pageSetUpPr fitToPage="1"/>
  </sheetPr>
  <dimension ref="B1:S55"/>
  <sheetViews>
    <sheetView workbookViewId="0"/>
  </sheetViews>
  <sheetFormatPr defaultRowHeight="12.75"/>
  <cols>
    <col min="1" max="1" width="1.7109375" style="336" customWidth="1"/>
    <col min="2" max="2" width="35.7109375" style="336" customWidth="1"/>
    <col min="3" max="4" width="8.7109375" style="336" customWidth="1"/>
    <col min="5" max="12" width="9.7109375" style="336" customWidth="1"/>
    <col min="13" max="13" width="10.7109375" style="336" customWidth="1"/>
    <col min="14" max="18" width="9.7109375" style="336" customWidth="1"/>
    <col min="19" max="23" width="10.7109375" style="336" customWidth="1"/>
    <col min="24" max="16384" width="9.140625" style="336"/>
  </cols>
  <sheetData>
    <row r="1" spans="2:19">
      <c r="B1" s="761" t="s">
        <v>572</v>
      </c>
      <c r="C1" s="761"/>
      <c r="D1" s="761"/>
      <c r="E1" s="761"/>
      <c r="F1" s="761"/>
      <c r="G1" s="761"/>
      <c r="H1" s="761"/>
      <c r="I1" s="761"/>
      <c r="J1" s="761"/>
    </row>
    <row r="2" spans="2:19">
      <c r="B2" s="761"/>
      <c r="C2" s="761"/>
      <c r="D2" s="761"/>
      <c r="E2" s="761"/>
      <c r="F2" s="761"/>
      <c r="G2" s="761"/>
      <c r="H2" s="761"/>
      <c r="I2" s="761"/>
      <c r="J2" s="761"/>
    </row>
    <row r="3" spans="2:19">
      <c r="B3" s="458" t="s">
        <v>48</v>
      </c>
    </row>
    <row r="4" spans="2:19">
      <c r="B4" s="728" t="s">
        <v>727</v>
      </c>
    </row>
    <row r="5" spans="2:19" ht="25.5" customHeight="1">
      <c r="B5" s="361"/>
      <c r="C5" s="362"/>
      <c r="D5" s="762" t="s">
        <v>338</v>
      </c>
      <c r="E5" s="763"/>
      <c r="F5" s="763"/>
      <c r="G5" s="763"/>
      <c r="H5" s="763"/>
      <c r="I5" s="763"/>
      <c r="J5" s="763"/>
      <c r="K5" s="763"/>
      <c r="L5" s="763"/>
      <c r="M5" s="763"/>
      <c r="N5" s="763"/>
      <c r="O5" s="763"/>
      <c r="P5" s="763"/>
      <c r="Q5" s="763"/>
      <c r="R5" s="763"/>
      <c r="S5" s="765"/>
    </row>
    <row r="6" spans="2:19" ht="51">
      <c r="B6" s="361" t="s">
        <v>343</v>
      </c>
      <c r="C6" s="362"/>
      <c r="D6" s="363" t="s">
        <v>181</v>
      </c>
      <c r="E6" s="363" t="s">
        <v>35</v>
      </c>
      <c r="F6" s="363" t="s">
        <v>30</v>
      </c>
      <c r="G6" s="363" t="s">
        <v>33</v>
      </c>
      <c r="H6" s="363" t="s">
        <v>32</v>
      </c>
      <c r="I6" s="363" t="s">
        <v>37</v>
      </c>
      <c r="J6" s="363" t="s">
        <v>36</v>
      </c>
      <c r="K6" s="363" t="s">
        <v>42</v>
      </c>
      <c r="L6" s="363" t="s">
        <v>38</v>
      </c>
      <c r="M6" s="363" t="s">
        <v>31</v>
      </c>
      <c r="N6" s="363" t="s">
        <v>40</v>
      </c>
      <c r="O6" s="363" t="s">
        <v>43</v>
      </c>
      <c r="P6" s="363" t="s">
        <v>41</v>
      </c>
      <c r="Q6" s="363" t="s">
        <v>34</v>
      </c>
      <c r="R6" s="363" t="s">
        <v>39</v>
      </c>
      <c r="S6" s="364" t="s">
        <v>269</v>
      </c>
    </row>
    <row r="7" spans="2:19">
      <c r="B7" s="702"/>
      <c r="C7" s="702"/>
      <c r="D7" s="703"/>
      <c r="E7" s="703"/>
      <c r="F7" s="703"/>
      <c r="G7" s="703"/>
      <c r="H7" s="703"/>
      <c r="I7" s="703"/>
      <c r="J7" s="703"/>
      <c r="K7" s="703"/>
      <c r="L7" s="703"/>
      <c r="M7" s="703"/>
      <c r="N7" s="703"/>
      <c r="O7" s="703"/>
      <c r="P7" s="703"/>
      <c r="Q7" s="703"/>
      <c r="R7" s="703"/>
      <c r="S7" s="703"/>
    </row>
    <row r="8" spans="2:19">
      <c r="B8" s="717" t="s">
        <v>337</v>
      </c>
      <c r="C8" s="718" t="s">
        <v>279</v>
      </c>
      <c r="D8" s="719">
        <v>9026</v>
      </c>
      <c r="E8" s="719">
        <v>670</v>
      </c>
      <c r="F8" s="719">
        <v>219</v>
      </c>
      <c r="G8" s="719">
        <v>275</v>
      </c>
      <c r="H8" s="719">
        <v>685</v>
      </c>
      <c r="I8" s="719">
        <v>527</v>
      </c>
      <c r="J8" s="719">
        <v>787</v>
      </c>
      <c r="K8" s="719">
        <v>1935</v>
      </c>
      <c r="L8" s="719">
        <v>580</v>
      </c>
      <c r="M8" s="719">
        <v>1047</v>
      </c>
      <c r="N8" s="719">
        <v>1360</v>
      </c>
      <c r="O8" s="719">
        <v>41</v>
      </c>
      <c r="P8" s="719">
        <v>36</v>
      </c>
      <c r="Q8" s="719">
        <v>572</v>
      </c>
      <c r="R8" s="719">
        <v>33</v>
      </c>
      <c r="S8" s="719">
        <v>259</v>
      </c>
    </row>
    <row r="9" spans="2:19">
      <c r="B9" s="551"/>
      <c r="C9" s="551"/>
      <c r="D9" s="705"/>
      <c r="E9" s="705"/>
      <c r="F9" s="705"/>
      <c r="G9" s="705"/>
      <c r="H9" s="705"/>
      <c r="I9" s="705"/>
      <c r="J9" s="705"/>
      <c r="K9" s="705"/>
      <c r="L9" s="705"/>
      <c r="M9" s="705"/>
      <c r="N9" s="705"/>
      <c r="O9" s="705"/>
      <c r="P9" s="705"/>
      <c r="Q9" s="705"/>
      <c r="R9" s="705"/>
      <c r="S9" s="705"/>
    </row>
    <row r="10" spans="2:19">
      <c r="B10" s="704" t="s">
        <v>316</v>
      </c>
      <c r="C10" s="551"/>
      <c r="D10" s="705"/>
      <c r="E10" s="705"/>
      <c r="F10" s="705"/>
      <c r="G10" s="705"/>
      <c r="H10" s="705"/>
      <c r="I10" s="705"/>
      <c r="J10" s="705"/>
      <c r="K10" s="705"/>
      <c r="L10" s="705"/>
      <c r="M10" s="705"/>
      <c r="N10" s="705"/>
      <c r="O10" s="705"/>
      <c r="P10" s="705"/>
      <c r="Q10" s="705"/>
      <c r="R10" s="705"/>
      <c r="S10" s="705"/>
    </row>
    <row r="11" spans="2:19">
      <c r="B11" s="720" t="s">
        <v>315</v>
      </c>
      <c r="C11" s="718" t="s">
        <v>279</v>
      </c>
      <c r="D11" s="719">
        <v>7766</v>
      </c>
      <c r="E11" s="719">
        <v>554</v>
      </c>
      <c r="F11" s="719">
        <v>182</v>
      </c>
      <c r="G11" s="719">
        <v>240</v>
      </c>
      <c r="H11" s="719">
        <v>601</v>
      </c>
      <c r="I11" s="719">
        <v>460</v>
      </c>
      <c r="J11" s="719">
        <v>663</v>
      </c>
      <c r="K11" s="719">
        <v>1664</v>
      </c>
      <c r="L11" s="719">
        <v>493</v>
      </c>
      <c r="M11" s="719">
        <v>929</v>
      </c>
      <c r="N11" s="719">
        <v>1172</v>
      </c>
      <c r="O11" s="719">
        <v>31</v>
      </c>
      <c r="P11" s="719">
        <v>31</v>
      </c>
      <c r="Q11" s="719">
        <v>497</v>
      </c>
      <c r="R11" s="719">
        <v>27</v>
      </c>
      <c r="S11" s="719">
        <v>222</v>
      </c>
    </row>
    <row r="12" spans="2:19">
      <c r="B12" s="551"/>
      <c r="C12" s="707" t="s">
        <v>141</v>
      </c>
      <c r="D12" s="708">
        <f>D11/D$8*100</f>
        <v>86.040327941502326</v>
      </c>
      <c r="E12" s="708">
        <f t="shared" ref="E12:S12" si="0">E11/E$8*100</f>
        <v>82.68656716417911</v>
      </c>
      <c r="F12" s="708">
        <f t="shared" si="0"/>
        <v>83.105022831050221</v>
      </c>
      <c r="G12" s="708">
        <f t="shared" si="0"/>
        <v>87.272727272727266</v>
      </c>
      <c r="H12" s="708">
        <f t="shared" si="0"/>
        <v>87.737226277372258</v>
      </c>
      <c r="I12" s="708">
        <f t="shared" si="0"/>
        <v>87.286527514231508</v>
      </c>
      <c r="J12" s="708">
        <f t="shared" si="0"/>
        <v>84.243964421855139</v>
      </c>
      <c r="K12" s="708">
        <f t="shared" si="0"/>
        <v>85.99483204134367</v>
      </c>
      <c r="L12" s="708">
        <f t="shared" si="0"/>
        <v>85</v>
      </c>
      <c r="M12" s="708">
        <f t="shared" si="0"/>
        <v>88.729703915950324</v>
      </c>
      <c r="N12" s="708">
        <f t="shared" si="0"/>
        <v>86.176470588235304</v>
      </c>
      <c r="O12" s="708">
        <f t="shared" si="0"/>
        <v>75.609756097560975</v>
      </c>
      <c r="P12" s="708">
        <f t="shared" si="0"/>
        <v>86.111111111111114</v>
      </c>
      <c r="Q12" s="708">
        <f t="shared" si="0"/>
        <v>86.888111888111879</v>
      </c>
      <c r="R12" s="708">
        <f t="shared" si="0"/>
        <v>81.818181818181827</v>
      </c>
      <c r="S12" s="708">
        <f t="shared" si="0"/>
        <v>85.714285714285708</v>
      </c>
    </row>
    <row r="13" spans="2:19">
      <c r="B13" s="720" t="s">
        <v>314</v>
      </c>
      <c r="C13" s="718" t="s">
        <v>279</v>
      </c>
      <c r="D13" s="719">
        <v>1084</v>
      </c>
      <c r="E13" s="719">
        <v>95</v>
      </c>
      <c r="F13" s="719">
        <v>30</v>
      </c>
      <c r="G13" s="719">
        <v>30</v>
      </c>
      <c r="H13" s="719">
        <v>76</v>
      </c>
      <c r="I13" s="719">
        <v>63</v>
      </c>
      <c r="J13" s="719">
        <v>105</v>
      </c>
      <c r="K13" s="719">
        <v>236</v>
      </c>
      <c r="L13" s="719">
        <v>71</v>
      </c>
      <c r="M13" s="719">
        <v>107</v>
      </c>
      <c r="N13" s="719">
        <v>157</v>
      </c>
      <c r="O13" s="719">
        <v>7</v>
      </c>
      <c r="P13" s="719">
        <v>4</v>
      </c>
      <c r="Q13" s="719">
        <v>63</v>
      </c>
      <c r="R13" s="719">
        <v>4</v>
      </c>
      <c r="S13" s="719">
        <v>36</v>
      </c>
    </row>
    <row r="14" spans="2:19">
      <c r="B14" s="551"/>
      <c r="C14" s="707" t="s">
        <v>141</v>
      </c>
      <c r="D14" s="708">
        <f t="shared" ref="D14:S14" si="1">D13/D$8*100</f>
        <v>12.009749612231332</v>
      </c>
      <c r="E14" s="708">
        <f t="shared" si="1"/>
        <v>14.17910447761194</v>
      </c>
      <c r="F14" s="708">
        <f t="shared" si="1"/>
        <v>13.698630136986301</v>
      </c>
      <c r="G14" s="708">
        <f t="shared" si="1"/>
        <v>10.909090909090908</v>
      </c>
      <c r="H14" s="708">
        <f t="shared" si="1"/>
        <v>11.094890510948906</v>
      </c>
      <c r="I14" s="708">
        <f t="shared" si="1"/>
        <v>11.954459203036052</v>
      </c>
      <c r="J14" s="708">
        <f t="shared" si="1"/>
        <v>13.341804320203304</v>
      </c>
      <c r="K14" s="708">
        <f t="shared" si="1"/>
        <v>12.196382428940568</v>
      </c>
      <c r="L14" s="708">
        <f t="shared" si="1"/>
        <v>12.241379310344827</v>
      </c>
      <c r="M14" s="708">
        <f t="shared" si="1"/>
        <v>10.219675262655205</v>
      </c>
      <c r="N14" s="708">
        <f t="shared" si="1"/>
        <v>11.544117647058824</v>
      </c>
      <c r="O14" s="708">
        <f t="shared" si="1"/>
        <v>17.073170731707318</v>
      </c>
      <c r="P14" s="708">
        <f t="shared" si="1"/>
        <v>11.111111111111111</v>
      </c>
      <c r="Q14" s="708">
        <f t="shared" si="1"/>
        <v>11.013986013986015</v>
      </c>
      <c r="R14" s="708">
        <f t="shared" si="1"/>
        <v>12.121212121212121</v>
      </c>
      <c r="S14" s="708">
        <f t="shared" si="1"/>
        <v>13.8996138996139</v>
      </c>
    </row>
    <row r="15" spans="2:19">
      <c r="B15" s="551"/>
      <c r="C15" s="551"/>
      <c r="D15" s="705"/>
      <c r="E15" s="705"/>
      <c r="F15" s="705"/>
      <c r="G15" s="705"/>
      <c r="H15" s="705"/>
      <c r="I15" s="705"/>
      <c r="J15" s="705"/>
      <c r="K15" s="705"/>
      <c r="L15" s="705"/>
      <c r="M15" s="705"/>
      <c r="N15" s="705"/>
      <c r="O15" s="705"/>
      <c r="P15" s="705"/>
      <c r="Q15" s="705"/>
      <c r="R15" s="705"/>
      <c r="S15" s="705"/>
    </row>
    <row r="16" spans="2:19">
      <c r="B16" s="704" t="s">
        <v>336</v>
      </c>
      <c r="C16" s="551"/>
      <c r="D16" s="705"/>
      <c r="E16" s="705"/>
      <c r="F16" s="705"/>
      <c r="G16" s="705"/>
      <c r="H16" s="705"/>
      <c r="I16" s="705"/>
      <c r="J16" s="705"/>
      <c r="K16" s="705"/>
      <c r="L16" s="705"/>
      <c r="M16" s="705"/>
      <c r="N16" s="705"/>
      <c r="O16" s="705"/>
      <c r="P16" s="705"/>
      <c r="Q16" s="705"/>
      <c r="R16" s="705"/>
      <c r="S16" s="705"/>
    </row>
    <row r="17" spans="2:19">
      <c r="B17" s="720" t="s">
        <v>313</v>
      </c>
      <c r="C17" s="718" t="s">
        <v>279</v>
      </c>
      <c r="D17" s="719">
        <v>4555</v>
      </c>
      <c r="E17" s="719">
        <v>327</v>
      </c>
      <c r="F17" s="719">
        <v>118</v>
      </c>
      <c r="G17" s="719">
        <v>141</v>
      </c>
      <c r="H17" s="719">
        <v>331</v>
      </c>
      <c r="I17" s="719">
        <v>261</v>
      </c>
      <c r="J17" s="719">
        <v>404</v>
      </c>
      <c r="K17" s="719">
        <v>994</v>
      </c>
      <c r="L17" s="719">
        <v>271</v>
      </c>
      <c r="M17" s="719">
        <v>544</v>
      </c>
      <c r="N17" s="719">
        <v>693</v>
      </c>
      <c r="O17" s="719">
        <v>16</v>
      </c>
      <c r="P17" s="719">
        <v>21</v>
      </c>
      <c r="Q17" s="719">
        <v>287</v>
      </c>
      <c r="R17" s="719">
        <v>14</v>
      </c>
      <c r="S17" s="719">
        <v>133</v>
      </c>
    </row>
    <row r="18" spans="2:19">
      <c r="B18" s="551"/>
      <c r="C18" s="707" t="s">
        <v>141</v>
      </c>
      <c r="D18" s="708">
        <f t="shared" ref="D18:S18" si="2">D17/D$8*100</f>
        <v>50.465322401949919</v>
      </c>
      <c r="E18" s="708">
        <f t="shared" si="2"/>
        <v>48.805970149253731</v>
      </c>
      <c r="F18" s="708">
        <f t="shared" si="2"/>
        <v>53.881278538812779</v>
      </c>
      <c r="G18" s="708">
        <f t="shared" si="2"/>
        <v>51.272727272727266</v>
      </c>
      <c r="H18" s="708">
        <f t="shared" si="2"/>
        <v>48.321167883211679</v>
      </c>
      <c r="I18" s="708">
        <f t="shared" si="2"/>
        <v>49.525616698292218</v>
      </c>
      <c r="J18" s="708">
        <f t="shared" si="2"/>
        <v>51.334180432020325</v>
      </c>
      <c r="K18" s="708">
        <f t="shared" si="2"/>
        <v>51.36950904392765</v>
      </c>
      <c r="L18" s="708">
        <f t="shared" si="2"/>
        <v>46.724137931034484</v>
      </c>
      <c r="M18" s="708">
        <f t="shared" si="2"/>
        <v>51.95797516714422</v>
      </c>
      <c r="N18" s="708">
        <f t="shared" si="2"/>
        <v>50.955882352941174</v>
      </c>
      <c r="O18" s="708">
        <f t="shared" si="2"/>
        <v>39.024390243902438</v>
      </c>
      <c r="P18" s="708">
        <f t="shared" si="2"/>
        <v>58.333333333333336</v>
      </c>
      <c r="Q18" s="708">
        <f t="shared" si="2"/>
        <v>50.17482517482518</v>
      </c>
      <c r="R18" s="708">
        <f t="shared" si="2"/>
        <v>42.424242424242422</v>
      </c>
      <c r="S18" s="708">
        <f t="shared" si="2"/>
        <v>51.351351351351347</v>
      </c>
    </row>
    <row r="19" spans="2:19">
      <c r="B19" s="551"/>
      <c r="C19" s="709"/>
      <c r="D19" s="708"/>
      <c r="E19" s="708"/>
      <c r="F19" s="708"/>
      <c r="G19" s="708"/>
      <c r="H19" s="708"/>
      <c r="I19" s="708"/>
      <c r="J19" s="708"/>
      <c r="K19" s="708"/>
      <c r="L19" s="708"/>
      <c r="M19" s="708"/>
      <c r="N19" s="708"/>
      <c r="O19" s="708"/>
      <c r="P19" s="708"/>
      <c r="Q19" s="708"/>
      <c r="R19" s="708"/>
      <c r="S19" s="708"/>
    </row>
    <row r="20" spans="2:19">
      <c r="B20" s="720" t="s">
        <v>339</v>
      </c>
      <c r="C20" s="718" t="s">
        <v>313</v>
      </c>
      <c r="D20" s="721">
        <v>70.790000000000006</v>
      </c>
      <c r="E20" s="721">
        <v>71.400000000000006</v>
      </c>
      <c r="F20" s="721">
        <v>73.95</v>
      </c>
      <c r="G20" s="721">
        <v>72.19</v>
      </c>
      <c r="H20" s="721">
        <v>72.69</v>
      </c>
      <c r="I20" s="721">
        <v>69.56</v>
      </c>
      <c r="J20" s="721">
        <v>72.2</v>
      </c>
      <c r="K20" s="721">
        <v>69.39</v>
      </c>
      <c r="L20" s="721">
        <v>71.98</v>
      </c>
      <c r="M20" s="721">
        <v>69.14</v>
      </c>
      <c r="N20" s="721">
        <v>71.53</v>
      </c>
      <c r="O20" s="721">
        <v>65.44</v>
      </c>
      <c r="P20" s="721">
        <v>69.239999999999995</v>
      </c>
      <c r="Q20" s="721">
        <v>72</v>
      </c>
      <c r="R20" s="721">
        <v>69.930000000000007</v>
      </c>
      <c r="S20" s="721">
        <v>67.62</v>
      </c>
    </row>
    <row r="21" spans="2:19">
      <c r="B21" s="706"/>
      <c r="C21" s="705" t="s">
        <v>312</v>
      </c>
      <c r="D21" s="710">
        <v>75.930000000000007</v>
      </c>
      <c r="E21" s="710">
        <v>75.400000000000006</v>
      </c>
      <c r="F21" s="710">
        <v>77.5</v>
      </c>
      <c r="G21" s="710">
        <v>77.19</v>
      </c>
      <c r="H21" s="710">
        <v>75.34</v>
      </c>
      <c r="I21" s="710">
        <v>77.59</v>
      </c>
      <c r="J21" s="710">
        <v>77.47</v>
      </c>
      <c r="K21" s="710">
        <v>75.069999999999993</v>
      </c>
      <c r="L21" s="710">
        <v>74.69</v>
      </c>
      <c r="M21" s="710">
        <v>75.72</v>
      </c>
      <c r="N21" s="710">
        <v>76.72</v>
      </c>
      <c r="O21" s="710">
        <v>78.319999999999993</v>
      </c>
      <c r="P21" s="710">
        <v>78.53</v>
      </c>
      <c r="Q21" s="710">
        <v>75.150000000000006</v>
      </c>
      <c r="R21" s="710">
        <v>78.260000000000005</v>
      </c>
      <c r="S21" s="710">
        <v>74.849999999999994</v>
      </c>
    </row>
    <row r="22" spans="2:19">
      <c r="B22" s="706"/>
      <c r="C22" s="705"/>
      <c r="D22" s="710"/>
      <c r="E22" s="710"/>
      <c r="F22" s="710"/>
      <c r="G22" s="710"/>
      <c r="H22" s="710"/>
      <c r="I22" s="710"/>
      <c r="J22" s="710"/>
      <c r="K22" s="710"/>
      <c r="L22" s="710"/>
      <c r="M22" s="710"/>
      <c r="N22" s="710"/>
      <c r="O22" s="710"/>
      <c r="P22" s="710"/>
      <c r="Q22" s="710"/>
      <c r="R22" s="710"/>
      <c r="S22" s="710"/>
    </row>
    <row r="23" spans="2:19">
      <c r="B23" s="704" t="s">
        <v>335</v>
      </c>
      <c r="C23" s="551"/>
      <c r="D23" s="705"/>
      <c r="E23" s="705"/>
      <c r="F23" s="705"/>
      <c r="G23" s="705"/>
      <c r="H23" s="705"/>
      <c r="I23" s="705"/>
      <c r="J23" s="705"/>
      <c r="K23" s="705"/>
      <c r="L23" s="705"/>
      <c r="M23" s="705"/>
      <c r="N23" s="705"/>
      <c r="O23" s="705"/>
      <c r="P23" s="705"/>
      <c r="Q23" s="705"/>
      <c r="R23" s="705"/>
      <c r="S23" s="705"/>
    </row>
    <row r="24" spans="2:19" ht="25.5" customHeight="1">
      <c r="B24" s="720" t="s">
        <v>331</v>
      </c>
      <c r="C24" s="718" t="s">
        <v>279</v>
      </c>
      <c r="D24" s="719">
        <v>1438</v>
      </c>
      <c r="E24" s="719">
        <v>106</v>
      </c>
      <c r="F24" s="719">
        <v>18</v>
      </c>
      <c r="G24" s="719">
        <v>31</v>
      </c>
      <c r="H24" s="719">
        <v>96</v>
      </c>
      <c r="I24" s="719">
        <v>75</v>
      </c>
      <c r="J24" s="719">
        <v>95</v>
      </c>
      <c r="K24" s="719">
        <v>376</v>
      </c>
      <c r="L24" s="719">
        <v>88</v>
      </c>
      <c r="M24" s="719">
        <v>187</v>
      </c>
      <c r="N24" s="719">
        <v>214</v>
      </c>
      <c r="O24" s="719">
        <v>6</v>
      </c>
      <c r="P24" s="719">
        <v>4</v>
      </c>
      <c r="Q24" s="719">
        <v>81</v>
      </c>
      <c r="R24" s="719">
        <v>5</v>
      </c>
      <c r="S24" s="719">
        <v>56</v>
      </c>
    </row>
    <row r="25" spans="2:19">
      <c r="B25" s="711"/>
      <c r="C25" s="707" t="s">
        <v>141</v>
      </c>
      <c r="D25" s="708">
        <f t="shared" ref="D25:S25" si="3">D24/D$8*100</f>
        <v>15.931752714380679</v>
      </c>
      <c r="E25" s="708">
        <f t="shared" si="3"/>
        <v>15.82089552238806</v>
      </c>
      <c r="F25" s="708">
        <f t="shared" si="3"/>
        <v>8.2191780821917799</v>
      </c>
      <c r="G25" s="708">
        <f t="shared" si="3"/>
        <v>11.272727272727273</v>
      </c>
      <c r="H25" s="708">
        <f t="shared" si="3"/>
        <v>14.014598540145986</v>
      </c>
      <c r="I25" s="708">
        <f t="shared" si="3"/>
        <v>14.231499051233396</v>
      </c>
      <c r="J25" s="708">
        <f t="shared" si="3"/>
        <v>12.07115628970775</v>
      </c>
      <c r="K25" s="708">
        <f t="shared" si="3"/>
        <v>19.431524547803615</v>
      </c>
      <c r="L25" s="708">
        <f t="shared" si="3"/>
        <v>15.172413793103448</v>
      </c>
      <c r="M25" s="708">
        <f t="shared" si="3"/>
        <v>17.860553963705826</v>
      </c>
      <c r="N25" s="708">
        <f t="shared" si="3"/>
        <v>15.735294117647058</v>
      </c>
      <c r="O25" s="708">
        <f t="shared" si="3"/>
        <v>14.634146341463413</v>
      </c>
      <c r="P25" s="708">
        <f t="shared" si="3"/>
        <v>11.111111111111111</v>
      </c>
      <c r="Q25" s="708">
        <f t="shared" si="3"/>
        <v>14.160839160839162</v>
      </c>
      <c r="R25" s="708">
        <f t="shared" si="3"/>
        <v>15.151515151515152</v>
      </c>
      <c r="S25" s="708">
        <f t="shared" si="3"/>
        <v>21.621621621621621</v>
      </c>
    </row>
    <row r="26" spans="2:19" ht="25.5" customHeight="1">
      <c r="B26" s="720" t="s">
        <v>332</v>
      </c>
      <c r="C26" s="718" t="s">
        <v>279</v>
      </c>
      <c r="D26" s="719">
        <v>4514</v>
      </c>
      <c r="E26" s="719">
        <v>345</v>
      </c>
      <c r="F26" s="719">
        <v>117</v>
      </c>
      <c r="G26" s="719">
        <v>142</v>
      </c>
      <c r="H26" s="719">
        <v>347</v>
      </c>
      <c r="I26" s="719">
        <v>260</v>
      </c>
      <c r="J26" s="719">
        <v>399</v>
      </c>
      <c r="K26" s="719">
        <v>943</v>
      </c>
      <c r="L26" s="719">
        <v>304</v>
      </c>
      <c r="M26" s="719">
        <v>544</v>
      </c>
      <c r="N26" s="719">
        <v>631</v>
      </c>
      <c r="O26" s="719">
        <v>21</v>
      </c>
      <c r="P26" s="719">
        <v>20</v>
      </c>
      <c r="Q26" s="719">
        <v>296</v>
      </c>
      <c r="R26" s="719">
        <v>14</v>
      </c>
      <c r="S26" s="719">
        <v>131</v>
      </c>
    </row>
    <row r="27" spans="2:19">
      <c r="B27" s="711"/>
      <c r="C27" s="707" t="s">
        <v>141</v>
      </c>
      <c r="D27" s="708">
        <f t="shared" ref="D27:S27" si="4">D26/D$8*100</f>
        <v>50.011079104808331</v>
      </c>
      <c r="E27" s="708">
        <f t="shared" si="4"/>
        <v>51.492537313432841</v>
      </c>
      <c r="F27" s="708">
        <f t="shared" si="4"/>
        <v>53.424657534246577</v>
      </c>
      <c r="G27" s="708">
        <f t="shared" si="4"/>
        <v>51.636363636363633</v>
      </c>
      <c r="H27" s="708">
        <f t="shared" si="4"/>
        <v>50.656934306569347</v>
      </c>
      <c r="I27" s="708">
        <f t="shared" si="4"/>
        <v>49.335863377609108</v>
      </c>
      <c r="J27" s="708">
        <f t="shared" si="4"/>
        <v>50.69885641677255</v>
      </c>
      <c r="K27" s="708">
        <f t="shared" si="4"/>
        <v>48.73385012919897</v>
      </c>
      <c r="L27" s="708">
        <f t="shared" si="4"/>
        <v>52.413793103448278</v>
      </c>
      <c r="M27" s="708">
        <f t="shared" si="4"/>
        <v>51.95797516714422</v>
      </c>
      <c r="N27" s="708">
        <f t="shared" si="4"/>
        <v>46.397058823529413</v>
      </c>
      <c r="O27" s="708">
        <f t="shared" si="4"/>
        <v>51.219512195121951</v>
      </c>
      <c r="P27" s="708">
        <f t="shared" si="4"/>
        <v>55.555555555555557</v>
      </c>
      <c r="Q27" s="708">
        <f t="shared" si="4"/>
        <v>51.748251748251747</v>
      </c>
      <c r="R27" s="708">
        <f t="shared" si="4"/>
        <v>42.424242424242422</v>
      </c>
      <c r="S27" s="708">
        <f t="shared" si="4"/>
        <v>50.579150579150578</v>
      </c>
    </row>
    <row r="28" spans="2:19" ht="25.5" customHeight="1">
      <c r="B28" s="720" t="s">
        <v>333</v>
      </c>
      <c r="C28" s="718" t="s">
        <v>279</v>
      </c>
      <c r="D28" s="719">
        <v>3074</v>
      </c>
      <c r="E28" s="719">
        <v>219</v>
      </c>
      <c r="F28" s="719">
        <v>84</v>
      </c>
      <c r="G28" s="719">
        <v>102</v>
      </c>
      <c r="H28" s="719">
        <v>242</v>
      </c>
      <c r="I28" s="719">
        <v>192</v>
      </c>
      <c r="J28" s="719">
        <v>293</v>
      </c>
      <c r="K28" s="719">
        <v>616</v>
      </c>
      <c r="L28" s="719">
        <v>188</v>
      </c>
      <c r="M28" s="719">
        <v>316</v>
      </c>
      <c r="N28" s="719">
        <v>515</v>
      </c>
      <c r="O28" s="719">
        <v>14</v>
      </c>
      <c r="P28" s="719">
        <v>12</v>
      </c>
      <c r="Q28" s="719">
        <v>195</v>
      </c>
      <c r="R28" s="719">
        <v>14</v>
      </c>
      <c r="S28" s="719">
        <v>72</v>
      </c>
    </row>
    <row r="29" spans="2:19">
      <c r="B29" s="551"/>
      <c r="C29" s="707" t="s">
        <v>141</v>
      </c>
      <c r="D29" s="708">
        <f t="shared" ref="D29:S29" si="5">D28/D$8*100</f>
        <v>34.05716818081099</v>
      </c>
      <c r="E29" s="708">
        <f t="shared" si="5"/>
        <v>32.686567164179102</v>
      </c>
      <c r="F29" s="708">
        <f t="shared" si="5"/>
        <v>38.356164383561641</v>
      </c>
      <c r="G29" s="708">
        <f t="shared" si="5"/>
        <v>37.090909090909093</v>
      </c>
      <c r="H29" s="708">
        <f t="shared" si="5"/>
        <v>35.32846715328467</v>
      </c>
      <c r="I29" s="708">
        <f t="shared" si="5"/>
        <v>36.432637571157493</v>
      </c>
      <c r="J29" s="708">
        <f t="shared" si="5"/>
        <v>37.229987293519699</v>
      </c>
      <c r="K29" s="708">
        <f t="shared" si="5"/>
        <v>31.834625322997418</v>
      </c>
      <c r="L29" s="708">
        <f t="shared" si="5"/>
        <v>32.41379310344827</v>
      </c>
      <c r="M29" s="708">
        <f t="shared" si="5"/>
        <v>30.181470869149951</v>
      </c>
      <c r="N29" s="708">
        <f t="shared" si="5"/>
        <v>37.867647058823529</v>
      </c>
      <c r="O29" s="708">
        <f t="shared" si="5"/>
        <v>34.146341463414636</v>
      </c>
      <c r="P29" s="708">
        <f t="shared" si="5"/>
        <v>33.333333333333329</v>
      </c>
      <c r="Q29" s="708">
        <f t="shared" si="5"/>
        <v>34.090909090909086</v>
      </c>
      <c r="R29" s="708">
        <f t="shared" si="5"/>
        <v>42.424242424242422</v>
      </c>
      <c r="S29" s="708">
        <f t="shared" si="5"/>
        <v>27.799227799227801</v>
      </c>
    </row>
    <row r="30" spans="2:19">
      <c r="B30" s="551"/>
      <c r="C30" s="551"/>
      <c r="D30" s="705"/>
      <c r="E30" s="705"/>
      <c r="F30" s="705"/>
      <c r="G30" s="705"/>
      <c r="H30" s="705"/>
      <c r="I30" s="705"/>
      <c r="J30" s="705"/>
      <c r="K30" s="705"/>
      <c r="L30" s="705"/>
      <c r="M30" s="705"/>
      <c r="N30" s="705"/>
      <c r="O30" s="705"/>
      <c r="P30" s="705"/>
      <c r="Q30" s="705"/>
      <c r="R30" s="705"/>
      <c r="S30" s="705"/>
    </row>
    <row r="31" spans="2:19">
      <c r="B31" s="704" t="s">
        <v>334</v>
      </c>
      <c r="C31" s="551"/>
      <c r="D31" s="705"/>
      <c r="E31" s="705"/>
      <c r="F31" s="705"/>
      <c r="G31" s="705"/>
      <c r="H31" s="705"/>
      <c r="I31" s="705"/>
      <c r="J31" s="705"/>
      <c r="K31" s="705"/>
      <c r="L31" s="705"/>
      <c r="M31" s="705"/>
      <c r="N31" s="705"/>
      <c r="O31" s="705"/>
      <c r="P31" s="705"/>
      <c r="Q31" s="705"/>
      <c r="R31" s="705"/>
      <c r="S31" s="705"/>
    </row>
    <row r="32" spans="2:19" ht="25.5">
      <c r="B32" s="720" t="s">
        <v>362</v>
      </c>
      <c r="C32" s="722" t="s">
        <v>279</v>
      </c>
      <c r="D32" s="719">
        <v>7342</v>
      </c>
      <c r="E32" s="719">
        <v>556</v>
      </c>
      <c r="F32" s="719">
        <v>177</v>
      </c>
      <c r="G32" s="719">
        <v>240</v>
      </c>
      <c r="H32" s="719">
        <v>541</v>
      </c>
      <c r="I32" s="719">
        <v>393</v>
      </c>
      <c r="J32" s="719">
        <v>671</v>
      </c>
      <c r="K32" s="719">
        <v>1583</v>
      </c>
      <c r="L32" s="719">
        <v>474</v>
      </c>
      <c r="M32" s="719">
        <v>860</v>
      </c>
      <c r="N32" s="719">
        <v>1099</v>
      </c>
      <c r="O32" s="719">
        <v>37</v>
      </c>
      <c r="P32" s="719">
        <v>28</v>
      </c>
      <c r="Q32" s="719">
        <v>422</v>
      </c>
      <c r="R32" s="719">
        <v>28</v>
      </c>
      <c r="S32" s="719">
        <v>233</v>
      </c>
    </row>
    <row r="33" spans="2:19">
      <c r="B33" s="711"/>
      <c r="C33" s="707" t="s">
        <v>141</v>
      </c>
      <c r="D33" s="708">
        <f t="shared" ref="D33:S33" si="6">D32/D$8*100</f>
        <v>81.342787502769781</v>
      </c>
      <c r="E33" s="708">
        <f t="shared" si="6"/>
        <v>82.985074626865668</v>
      </c>
      <c r="F33" s="708">
        <f t="shared" si="6"/>
        <v>80.821917808219183</v>
      </c>
      <c r="G33" s="708">
        <f t="shared" si="6"/>
        <v>87.272727272727266</v>
      </c>
      <c r="H33" s="708">
        <f t="shared" si="6"/>
        <v>78.978102189781012</v>
      </c>
      <c r="I33" s="708">
        <f t="shared" si="6"/>
        <v>74.573055028463003</v>
      </c>
      <c r="J33" s="708">
        <f t="shared" si="6"/>
        <v>85.260482846251591</v>
      </c>
      <c r="K33" s="708">
        <f t="shared" si="6"/>
        <v>81.808785529715763</v>
      </c>
      <c r="L33" s="708">
        <f t="shared" si="6"/>
        <v>81.724137931034477</v>
      </c>
      <c r="M33" s="708">
        <f t="shared" si="6"/>
        <v>82.139446036294174</v>
      </c>
      <c r="N33" s="708">
        <f t="shared" si="6"/>
        <v>80.808823529411768</v>
      </c>
      <c r="O33" s="708">
        <f t="shared" si="6"/>
        <v>90.243902439024396</v>
      </c>
      <c r="P33" s="708">
        <f t="shared" si="6"/>
        <v>77.777777777777786</v>
      </c>
      <c r="Q33" s="708">
        <f t="shared" si="6"/>
        <v>73.776223776223787</v>
      </c>
      <c r="R33" s="708">
        <f t="shared" si="6"/>
        <v>84.848484848484844</v>
      </c>
      <c r="S33" s="708">
        <f t="shared" si="6"/>
        <v>89.961389961389955</v>
      </c>
    </row>
    <row r="34" spans="2:19" ht="25.5">
      <c r="B34" s="720" t="s">
        <v>361</v>
      </c>
      <c r="C34" s="718" t="s">
        <v>279</v>
      </c>
      <c r="D34" s="719">
        <v>3505</v>
      </c>
      <c r="E34" s="719">
        <v>253</v>
      </c>
      <c r="F34" s="719">
        <v>80</v>
      </c>
      <c r="G34" s="719">
        <v>113</v>
      </c>
      <c r="H34" s="719">
        <v>295</v>
      </c>
      <c r="I34" s="719">
        <v>216</v>
      </c>
      <c r="J34" s="719">
        <v>286</v>
      </c>
      <c r="K34" s="719">
        <v>761</v>
      </c>
      <c r="L34" s="719">
        <v>227</v>
      </c>
      <c r="M34" s="719">
        <v>382</v>
      </c>
      <c r="N34" s="719">
        <v>562</v>
      </c>
      <c r="O34" s="719">
        <v>13</v>
      </c>
      <c r="P34" s="719">
        <v>16</v>
      </c>
      <c r="Q34" s="719">
        <v>194</v>
      </c>
      <c r="R34" s="719">
        <v>13</v>
      </c>
      <c r="S34" s="719">
        <v>94</v>
      </c>
    </row>
    <row r="35" spans="2:19">
      <c r="B35" s="711"/>
      <c r="C35" s="707" t="s">
        <v>141</v>
      </c>
      <c r="D35" s="708">
        <f t="shared" ref="D35:S35" si="7">D34/D$8*100</f>
        <v>38.832262353201862</v>
      </c>
      <c r="E35" s="708">
        <f t="shared" si="7"/>
        <v>37.761194029850749</v>
      </c>
      <c r="F35" s="708">
        <f t="shared" si="7"/>
        <v>36.529680365296798</v>
      </c>
      <c r="G35" s="708">
        <f t="shared" si="7"/>
        <v>41.090909090909086</v>
      </c>
      <c r="H35" s="708">
        <f t="shared" si="7"/>
        <v>43.065693430656928</v>
      </c>
      <c r="I35" s="708">
        <f t="shared" si="7"/>
        <v>40.98671726755218</v>
      </c>
      <c r="J35" s="708">
        <f t="shared" si="7"/>
        <v>36.34053367217281</v>
      </c>
      <c r="K35" s="708">
        <f t="shared" si="7"/>
        <v>39.328165374677006</v>
      </c>
      <c r="L35" s="708">
        <f t="shared" si="7"/>
        <v>39.137931034482762</v>
      </c>
      <c r="M35" s="708">
        <f t="shared" si="7"/>
        <v>36.48519579751671</v>
      </c>
      <c r="N35" s="708">
        <f t="shared" si="7"/>
        <v>41.323529411764703</v>
      </c>
      <c r="O35" s="708">
        <f t="shared" si="7"/>
        <v>31.707317073170731</v>
      </c>
      <c r="P35" s="708">
        <f t="shared" si="7"/>
        <v>44.444444444444443</v>
      </c>
      <c r="Q35" s="708">
        <f t="shared" si="7"/>
        <v>33.91608391608392</v>
      </c>
      <c r="R35" s="708">
        <f t="shared" si="7"/>
        <v>39.393939393939391</v>
      </c>
      <c r="S35" s="708">
        <f t="shared" si="7"/>
        <v>36.293436293436294</v>
      </c>
    </row>
    <row r="36" spans="2:19" ht="25.5" customHeight="1">
      <c r="B36" s="720" t="s">
        <v>360</v>
      </c>
      <c r="C36" s="718" t="s">
        <v>279</v>
      </c>
      <c r="D36" s="719">
        <v>6452</v>
      </c>
      <c r="E36" s="719">
        <v>514</v>
      </c>
      <c r="F36" s="719">
        <v>167</v>
      </c>
      <c r="G36" s="719">
        <v>185</v>
      </c>
      <c r="H36" s="719">
        <v>540</v>
      </c>
      <c r="I36" s="719">
        <v>378</v>
      </c>
      <c r="J36" s="719">
        <v>458</v>
      </c>
      <c r="K36" s="719">
        <v>1336</v>
      </c>
      <c r="L36" s="719">
        <v>439</v>
      </c>
      <c r="M36" s="719">
        <v>733</v>
      </c>
      <c r="N36" s="719">
        <v>1034</v>
      </c>
      <c r="O36" s="719">
        <v>25</v>
      </c>
      <c r="P36" s="719">
        <v>26</v>
      </c>
      <c r="Q36" s="719">
        <v>408</v>
      </c>
      <c r="R36" s="719">
        <v>17</v>
      </c>
      <c r="S36" s="719">
        <v>192</v>
      </c>
    </row>
    <row r="37" spans="2:19">
      <c r="B37" s="711"/>
      <c r="C37" s="707" t="s">
        <v>141</v>
      </c>
      <c r="D37" s="708">
        <f t="shared" ref="D37:S37" si="8">D36/D$8*100</f>
        <v>71.482384223354757</v>
      </c>
      <c r="E37" s="708">
        <f t="shared" si="8"/>
        <v>76.71641791044776</v>
      </c>
      <c r="F37" s="708">
        <f t="shared" si="8"/>
        <v>76.25570776255708</v>
      </c>
      <c r="G37" s="708">
        <f t="shared" si="8"/>
        <v>67.272727272727266</v>
      </c>
      <c r="H37" s="708">
        <f t="shared" si="8"/>
        <v>78.832116788321173</v>
      </c>
      <c r="I37" s="708">
        <f t="shared" si="8"/>
        <v>71.726755218216326</v>
      </c>
      <c r="J37" s="708">
        <f t="shared" si="8"/>
        <v>58.195679796696318</v>
      </c>
      <c r="K37" s="708">
        <f t="shared" si="8"/>
        <v>69.043927648578801</v>
      </c>
      <c r="L37" s="708">
        <f t="shared" si="8"/>
        <v>75.689655172413794</v>
      </c>
      <c r="M37" s="708">
        <f t="shared" si="8"/>
        <v>70.009551098376306</v>
      </c>
      <c r="N37" s="708">
        <f t="shared" si="8"/>
        <v>76.029411764705884</v>
      </c>
      <c r="O37" s="708">
        <f t="shared" si="8"/>
        <v>60.975609756097562</v>
      </c>
      <c r="P37" s="708">
        <f t="shared" si="8"/>
        <v>72.222222222222214</v>
      </c>
      <c r="Q37" s="708">
        <f t="shared" si="8"/>
        <v>71.328671328671334</v>
      </c>
      <c r="R37" s="708">
        <f t="shared" si="8"/>
        <v>51.515151515151516</v>
      </c>
      <c r="S37" s="708">
        <f t="shared" si="8"/>
        <v>74.131274131274125</v>
      </c>
    </row>
    <row r="38" spans="2:19" ht="25.5">
      <c r="B38" s="720" t="s">
        <v>359</v>
      </c>
      <c r="C38" s="718" t="s">
        <v>279</v>
      </c>
      <c r="D38" s="719">
        <v>5660</v>
      </c>
      <c r="E38" s="719">
        <v>438</v>
      </c>
      <c r="F38" s="719">
        <v>138</v>
      </c>
      <c r="G38" s="719">
        <v>161</v>
      </c>
      <c r="H38" s="719">
        <v>409</v>
      </c>
      <c r="I38" s="719">
        <v>325</v>
      </c>
      <c r="J38" s="719">
        <v>429</v>
      </c>
      <c r="K38" s="719">
        <v>1295</v>
      </c>
      <c r="L38" s="719">
        <v>384</v>
      </c>
      <c r="M38" s="719">
        <v>671</v>
      </c>
      <c r="N38" s="719">
        <v>790</v>
      </c>
      <c r="O38" s="719">
        <v>25</v>
      </c>
      <c r="P38" s="719">
        <v>21</v>
      </c>
      <c r="Q38" s="719">
        <v>390</v>
      </c>
      <c r="R38" s="719">
        <v>12</v>
      </c>
      <c r="S38" s="719">
        <v>172</v>
      </c>
    </row>
    <row r="39" spans="2:19">
      <c r="B39" s="711"/>
      <c r="C39" s="707" t="s">
        <v>141</v>
      </c>
      <c r="D39" s="708">
        <f t="shared" ref="D39:S39" si="9">D38/D$8*100</f>
        <v>62.70773321515621</v>
      </c>
      <c r="E39" s="708">
        <f t="shared" si="9"/>
        <v>65.373134328358205</v>
      </c>
      <c r="F39" s="708">
        <f t="shared" si="9"/>
        <v>63.013698630136986</v>
      </c>
      <c r="G39" s="708">
        <f t="shared" si="9"/>
        <v>58.545454545454547</v>
      </c>
      <c r="H39" s="708">
        <f t="shared" si="9"/>
        <v>59.708029197080293</v>
      </c>
      <c r="I39" s="708">
        <f t="shared" si="9"/>
        <v>61.669829222011387</v>
      </c>
      <c r="J39" s="708">
        <f t="shared" si="9"/>
        <v>54.510800508259216</v>
      </c>
      <c r="K39" s="708">
        <f t="shared" si="9"/>
        <v>66.925064599483207</v>
      </c>
      <c r="L39" s="708">
        <f t="shared" si="9"/>
        <v>66.206896551724142</v>
      </c>
      <c r="M39" s="708">
        <f t="shared" si="9"/>
        <v>64.08787010506208</v>
      </c>
      <c r="N39" s="708">
        <f t="shared" si="9"/>
        <v>58.088235294117652</v>
      </c>
      <c r="O39" s="708">
        <f t="shared" si="9"/>
        <v>60.975609756097562</v>
      </c>
      <c r="P39" s="708">
        <f t="shared" si="9"/>
        <v>58.333333333333336</v>
      </c>
      <c r="Q39" s="708">
        <f t="shared" si="9"/>
        <v>68.181818181818173</v>
      </c>
      <c r="R39" s="708">
        <f t="shared" si="9"/>
        <v>36.363636363636367</v>
      </c>
      <c r="S39" s="708">
        <f t="shared" si="9"/>
        <v>66.409266409266408</v>
      </c>
    </row>
    <row r="40" spans="2:19" ht="25.5">
      <c r="B40" s="720" t="s">
        <v>358</v>
      </c>
      <c r="C40" s="718" t="s">
        <v>279</v>
      </c>
      <c r="D40" s="719">
        <v>5563</v>
      </c>
      <c r="E40" s="719">
        <v>439</v>
      </c>
      <c r="F40" s="719">
        <v>153</v>
      </c>
      <c r="G40" s="719">
        <v>143</v>
      </c>
      <c r="H40" s="719">
        <v>422</v>
      </c>
      <c r="I40" s="719">
        <v>305</v>
      </c>
      <c r="J40" s="719">
        <v>458</v>
      </c>
      <c r="K40" s="719">
        <v>1367</v>
      </c>
      <c r="L40" s="719">
        <v>338</v>
      </c>
      <c r="M40" s="719">
        <v>591</v>
      </c>
      <c r="N40" s="719">
        <v>870</v>
      </c>
      <c r="O40" s="719">
        <v>19</v>
      </c>
      <c r="P40" s="719">
        <v>27</v>
      </c>
      <c r="Q40" s="719">
        <v>260</v>
      </c>
      <c r="R40" s="719">
        <v>12</v>
      </c>
      <c r="S40" s="719">
        <v>159</v>
      </c>
    </row>
    <row r="41" spans="2:19">
      <c r="B41" s="711"/>
      <c r="C41" s="707" t="s">
        <v>141</v>
      </c>
      <c r="D41" s="708">
        <f t="shared" ref="D41:S41" si="10">D40/D$8*100</f>
        <v>61.633060048748057</v>
      </c>
      <c r="E41" s="708">
        <f t="shared" si="10"/>
        <v>65.522388059701498</v>
      </c>
      <c r="F41" s="708">
        <f t="shared" si="10"/>
        <v>69.863013698630141</v>
      </c>
      <c r="G41" s="708">
        <f t="shared" si="10"/>
        <v>52</v>
      </c>
      <c r="H41" s="708">
        <f t="shared" si="10"/>
        <v>61.605839416058394</v>
      </c>
      <c r="I41" s="708">
        <f t="shared" si="10"/>
        <v>57.874762808349146</v>
      </c>
      <c r="J41" s="708">
        <f t="shared" si="10"/>
        <v>58.195679796696318</v>
      </c>
      <c r="K41" s="708">
        <f t="shared" si="10"/>
        <v>70.645994832041353</v>
      </c>
      <c r="L41" s="708">
        <f t="shared" si="10"/>
        <v>58.275862068965523</v>
      </c>
      <c r="M41" s="708">
        <f t="shared" si="10"/>
        <v>56.446991404011456</v>
      </c>
      <c r="N41" s="708">
        <f t="shared" si="10"/>
        <v>63.970588235294116</v>
      </c>
      <c r="O41" s="708">
        <f t="shared" si="10"/>
        <v>46.341463414634148</v>
      </c>
      <c r="P41" s="708">
        <f t="shared" si="10"/>
        <v>75</v>
      </c>
      <c r="Q41" s="708">
        <f t="shared" si="10"/>
        <v>45.454545454545453</v>
      </c>
      <c r="R41" s="708">
        <f t="shared" si="10"/>
        <v>36.363636363636367</v>
      </c>
      <c r="S41" s="708">
        <f t="shared" si="10"/>
        <v>61.389961389961393</v>
      </c>
    </row>
    <row r="42" spans="2:19" ht="25.5">
      <c r="B42" s="720" t="s">
        <v>357</v>
      </c>
      <c r="C42" s="718" t="s">
        <v>279</v>
      </c>
      <c r="D42" s="719">
        <v>4247</v>
      </c>
      <c r="E42" s="719">
        <v>271</v>
      </c>
      <c r="F42" s="719">
        <v>120</v>
      </c>
      <c r="G42" s="719">
        <v>55</v>
      </c>
      <c r="H42" s="719">
        <v>265</v>
      </c>
      <c r="I42" s="719">
        <v>212</v>
      </c>
      <c r="J42" s="719">
        <v>316</v>
      </c>
      <c r="K42" s="719">
        <v>1376</v>
      </c>
      <c r="L42" s="719">
        <v>258</v>
      </c>
      <c r="M42" s="719">
        <v>513</v>
      </c>
      <c r="N42" s="719">
        <v>461</v>
      </c>
      <c r="O42" s="719">
        <v>21</v>
      </c>
      <c r="P42" s="719">
        <v>10</v>
      </c>
      <c r="Q42" s="719">
        <v>244</v>
      </c>
      <c r="R42" s="719">
        <v>4</v>
      </c>
      <c r="S42" s="719">
        <v>121</v>
      </c>
    </row>
    <row r="43" spans="2:19">
      <c r="B43" s="551"/>
      <c r="C43" s="707" t="s">
        <v>141</v>
      </c>
      <c r="D43" s="708">
        <f t="shared" ref="D43:S43" si="11">D42/D$8*100</f>
        <v>47.052958120983824</v>
      </c>
      <c r="E43" s="708">
        <f t="shared" si="11"/>
        <v>40.447761194029852</v>
      </c>
      <c r="F43" s="708">
        <f t="shared" si="11"/>
        <v>54.794520547945204</v>
      </c>
      <c r="G43" s="708">
        <f t="shared" si="11"/>
        <v>20</v>
      </c>
      <c r="H43" s="708">
        <f t="shared" si="11"/>
        <v>38.686131386861319</v>
      </c>
      <c r="I43" s="708">
        <f t="shared" si="11"/>
        <v>40.227703984819733</v>
      </c>
      <c r="J43" s="708">
        <f t="shared" si="11"/>
        <v>40.152477763659469</v>
      </c>
      <c r="K43" s="708">
        <f t="shared" si="11"/>
        <v>71.111111111111114</v>
      </c>
      <c r="L43" s="708">
        <f t="shared" si="11"/>
        <v>44.482758620689658</v>
      </c>
      <c r="M43" s="708">
        <f t="shared" si="11"/>
        <v>48.997134670487107</v>
      </c>
      <c r="N43" s="708">
        <f t="shared" si="11"/>
        <v>33.897058823529413</v>
      </c>
      <c r="O43" s="708">
        <f t="shared" si="11"/>
        <v>51.219512195121951</v>
      </c>
      <c r="P43" s="708">
        <f t="shared" si="11"/>
        <v>27.777777777777779</v>
      </c>
      <c r="Q43" s="708">
        <f t="shared" si="11"/>
        <v>42.657342657342653</v>
      </c>
      <c r="R43" s="708">
        <f t="shared" si="11"/>
        <v>12.121212121212121</v>
      </c>
      <c r="S43" s="708">
        <f t="shared" si="11"/>
        <v>46.71814671814672</v>
      </c>
    </row>
    <row r="44" spans="2:19">
      <c r="B44" s="551"/>
      <c r="C44" s="551"/>
      <c r="D44" s="705"/>
      <c r="E44" s="705"/>
      <c r="F44" s="705"/>
      <c r="G44" s="705"/>
      <c r="H44" s="705"/>
      <c r="I44" s="705"/>
      <c r="J44" s="705"/>
      <c r="K44" s="705"/>
      <c r="L44" s="705"/>
      <c r="M44" s="705"/>
      <c r="N44" s="705"/>
      <c r="O44" s="705"/>
      <c r="P44" s="705"/>
      <c r="Q44" s="705"/>
      <c r="R44" s="705"/>
      <c r="S44" s="705"/>
    </row>
    <row r="45" spans="2:19" ht="25.5">
      <c r="B45" s="704" t="s">
        <v>535</v>
      </c>
      <c r="C45" s="551"/>
      <c r="D45" s="705"/>
      <c r="E45" s="705"/>
      <c r="F45" s="705"/>
      <c r="G45" s="705"/>
      <c r="H45" s="705"/>
      <c r="I45" s="705"/>
      <c r="J45" s="705"/>
      <c r="K45" s="705"/>
      <c r="L45" s="705"/>
      <c r="M45" s="705"/>
      <c r="N45" s="705"/>
      <c r="O45" s="705"/>
      <c r="P45" s="705"/>
      <c r="Q45" s="705"/>
      <c r="R45" s="705"/>
      <c r="S45" s="705"/>
    </row>
    <row r="46" spans="2:19">
      <c r="B46" s="720" t="s">
        <v>539</v>
      </c>
      <c r="C46" s="722" t="s">
        <v>279</v>
      </c>
      <c r="D46" s="719">
        <v>2076</v>
      </c>
      <c r="E46" s="719">
        <v>179</v>
      </c>
      <c r="F46" s="719">
        <v>16</v>
      </c>
      <c r="G46" s="719">
        <v>21</v>
      </c>
      <c r="H46" s="719">
        <v>150</v>
      </c>
      <c r="I46" s="719">
        <v>105</v>
      </c>
      <c r="J46" s="719">
        <v>60</v>
      </c>
      <c r="K46" s="719">
        <v>856</v>
      </c>
      <c r="L46" s="719">
        <v>61</v>
      </c>
      <c r="M46" s="719">
        <v>315</v>
      </c>
      <c r="N46" s="719">
        <v>208</v>
      </c>
      <c r="O46" s="719">
        <v>0</v>
      </c>
      <c r="P46" s="719">
        <v>0</v>
      </c>
      <c r="Q46" s="719">
        <v>105</v>
      </c>
      <c r="R46" s="719">
        <v>0</v>
      </c>
      <c r="S46" s="723">
        <v>0</v>
      </c>
    </row>
    <row r="47" spans="2:19">
      <c r="B47" s="711"/>
      <c r="C47" s="707" t="s">
        <v>141</v>
      </c>
      <c r="D47" s="708">
        <f t="shared" ref="D47:S47" si="12">D46/D$8*100</f>
        <v>23.000221582096167</v>
      </c>
      <c r="E47" s="708">
        <f t="shared" si="12"/>
        <v>26.71641791044776</v>
      </c>
      <c r="F47" s="708">
        <f t="shared" si="12"/>
        <v>7.3059360730593603</v>
      </c>
      <c r="G47" s="708">
        <f t="shared" si="12"/>
        <v>7.6363636363636367</v>
      </c>
      <c r="H47" s="708">
        <f t="shared" si="12"/>
        <v>21.897810218978105</v>
      </c>
      <c r="I47" s="708">
        <f t="shared" si="12"/>
        <v>19.924098671726757</v>
      </c>
      <c r="J47" s="708">
        <f t="shared" si="12"/>
        <v>7.6238881829733165</v>
      </c>
      <c r="K47" s="708">
        <f t="shared" si="12"/>
        <v>44.237726098191217</v>
      </c>
      <c r="L47" s="708">
        <f t="shared" si="12"/>
        <v>10.517241379310345</v>
      </c>
      <c r="M47" s="708">
        <f t="shared" si="12"/>
        <v>30.085959885386821</v>
      </c>
      <c r="N47" s="708">
        <f t="shared" si="12"/>
        <v>15.294117647058824</v>
      </c>
      <c r="O47" s="708">
        <f t="shared" si="12"/>
        <v>0</v>
      </c>
      <c r="P47" s="708">
        <f t="shared" si="12"/>
        <v>0</v>
      </c>
      <c r="Q47" s="708">
        <f t="shared" si="12"/>
        <v>18.356643356643357</v>
      </c>
      <c r="R47" s="708">
        <f t="shared" si="12"/>
        <v>0</v>
      </c>
      <c r="S47" s="712">
        <f t="shared" si="12"/>
        <v>0</v>
      </c>
    </row>
    <row r="48" spans="2:19">
      <c r="B48" s="720" t="s">
        <v>538</v>
      </c>
      <c r="C48" s="718" t="s">
        <v>279</v>
      </c>
      <c r="D48" s="719">
        <v>1951</v>
      </c>
      <c r="E48" s="719">
        <v>202</v>
      </c>
      <c r="F48" s="719">
        <v>37</v>
      </c>
      <c r="G48" s="719">
        <v>81</v>
      </c>
      <c r="H48" s="719">
        <v>174</v>
      </c>
      <c r="I48" s="719">
        <v>132</v>
      </c>
      <c r="J48" s="719">
        <v>115</v>
      </c>
      <c r="K48" s="719">
        <v>343</v>
      </c>
      <c r="L48" s="719">
        <v>117</v>
      </c>
      <c r="M48" s="719">
        <v>311</v>
      </c>
      <c r="N48" s="719">
        <v>307</v>
      </c>
      <c r="O48" s="719">
        <v>16</v>
      </c>
      <c r="P48" s="719">
        <v>2</v>
      </c>
      <c r="Q48" s="719">
        <v>96</v>
      </c>
      <c r="R48" s="719">
        <v>18</v>
      </c>
      <c r="S48" s="723">
        <v>0</v>
      </c>
    </row>
    <row r="49" spans="2:19">
      <c r="B49" s="711"/>
      <c r="C49" s="707" t="s">
        <v>141</v>
      </c>
      <c r="D49" s="708">
        <f t="shared" ref="D49:S49" si="13">D48/D$8*100</f>
        <v>21.61533348105473</v>
      </c>
      <c r="E49" s="708">
        <f t="shared" si="13"/>
        <v>30.149253731343283</v>
      </c>
      <c r="F49" s="708">
        <f t="shared" si="13"/>
        <v>16.894977168949772</v>
      </c>
      <c r="G49" s="708">
        <f t="shared" si="13"/>
        <v>29.454545454545457</v>
      </c>
      <c r="H49" s="708">
        <f t="shared" si="13"/>
        <v>25.401459854014597</v>
      </c>
      <c r="I49" s="708">
        <f t="shared" si="13"/>
        <v>25.047438330170777</v>
      </c>
      <c r="J49" s="708">
        <f t="shared" si="13"/>
        <v>14.612452350698856</v>
      </c>
      <c r="K49" s="708">
        <f t="shared" si="13"/>
        <v>17.726098191214472</v>
      </c>
      <c r="L49" s="708">
        <f t="shared" si="13"/>
        <v>20.172413793103448</v>
      </c>
      <c r="M49" s="708">
        <f t="shared" si="13"/>
        <v>29.703915950334288</v>
      </c>
      <c r="N49" s="708">
        <f t="shared" si="13"/>
        <v>22.573529411764707</v>
      </c>
      <c r="O49" s="708">
        <f t="shared" si="13"/>
        <v>39.024390243902438</v>
      </c>
      <c r="P49" s="708">
        <f t="shared" si="13"/>
        <v>5.5555555555555554</v>
      </c>
      <c r="Q49" s="708">
        <f t="shared" si="13"/>
        <v>16.783216783216783</v>
      </c>
      <c r="R49" s="708">
        <f t="shared" si="13"/>
        <v>54.54545454545454</v>
      </c>
      <c r="S49" s="712">
        <f t="shared" si="13"/>
        <v>0</v>
      </c>
    </row>
    <row r="50" spans="2:19">
      <c r="B50" s="720" t="s">
        <v>536</v>
      </c>
      <c r="C50" s="718" t="s">
        <v>279</v>
      </c>
      <c r="D50" s="719">
        <v>1719</v>
      </c>
      <c r="E50" s="719">
        <v>102</v>
      </c>
      <c r="F50" s="719">
        <v>70</v>
      </c>
      <c r="G50" s="719">
        <v>87</v>
      </c>
      <c r="H50" s="719">
        <v>129</v>
      </c>
      <c r="I50" s="719">
        <v>105</v>
      </c>
      <c r="J50" s="719">
        <v>191</v>
      </c>
      <c r="K50" s="719">
        <v>227</v>
      </c>
      <c r="L50" s="719">
        <v>195</v>
      </c>
      <c r="M50" s="719">
        <v>218</v>
      </c>
      <c r="N50" s="719">
        <v>240</v>
      </c>
      <c r="O50" s="719">
        <v>8</v>
      </c>
      <c r="P50" s="719">
        <v>18</v>
      </c>
      <c r="Q50" s="719">
        <v>114</v>
      </c>
      <c r="R50" s="719">
        <v>15</v>
      </c>
      <c r="S50" s="723">
        <v>0</v>
      </c>
    </row>
    <row r="51" spans="2:19">
      <c r="B51" s="711"/>
      <c r="C51" s="707" t="s">
        <v>141</v>
      </c>
      <c r="D51" s="708">
        <f t="shared" ref="D51:S51" si="14">D50/D$8*100</f>
        <v>19.044981165521826</v>
      </c>
      <c r="E51" s="708">
        <f t="shared" si="14"/>
        <v>15.223880597014924</v>
      </c>
      <c r="F51" s="708">
        <f t="shared" si="14"/>
        <v>31.963470319634702</v>
      </c>
      <c r="G51" s="708">
        <f t="shared" si="14"/>
        <v>31.636363636363633</v>
      </c>
      <c r="H51" s="708">
        <f t="shared" si="14"/>
        <v>18.832116788321169</v>
      </c>
      <c r="I51" s="708">
        <f t="shared" si="14"/>
        <v>19.924098671726757</v>
      </c>
      <c r="J51" s="708">
        <f t="shared" si="14"/>
        <v>24.269377382465056</v>
      </c>
      <c r="K51" s="708">
        <f t="shared" si="14"/>
        <v>11.7312661498708</v>
      </c>
      <c r="L51" s="708">
        <f t="shared" si="14"/>
        <v>33.620689655172413</v>
      </c>
      <c r="M51" s="708">
        <f t="shared" si="14"/>
        <v>20.821394460362942</v>
      </c>
      <c r="N51" s="708">
        <f t="shared" si="14"/>
        <v>17.647058823529413</v>
      </c>
      <c r="O51" s="708">
        <f t="shared" si="14"/>
        <v>19.512195121951219</v>
      </c>
      <c r="P51" s="708">
        <f t="shared" si="14"/>
        <v>50</v>
      </c>
      <c r="Q51" s="708">
        <f t="shared" si="14"/>
        <v>19.93006993006993</v>
      </c>
      <c r="R51" s="708">
        <f t="shared" si="14"/>
        <v>45.454545454545453</v>
      </c>
      <c r="S51" s="712">
        <f t="shared" si="14"/>
        <v>0</v>
      </c>
    </row>
    <row r="52" spans="2:19">
      <c r="B52" s="720" t="s">
        <v>537</v>
      </c>
      <c r="C52" s="718" t="s">
        <v>279</v>
      </c>
      <c r="D52" s="719">
        <v>1569</v>
      </c>
      <c r="E52" s="719">
        <v>87</v>
      </c>
      <c r="F52" s="719">
        <v>80</v>
      </c>
      <c r="G52" s="719">
        <v>68</v>
      </c>
      <c r="H52" s="719">
        <v>123</v>
      </c>
      <c r="I52" s="719">
        <v>118</v>
      </c>
      <c r="J52" s="719">
        <v>190</v>
      </c>
      <c r="K52" s="719">
        <v>214</v>
      </c>
      <c r="L52" s="719">
        <v>145</v>
      </c>
      <c r="M52" s="719">
        <v>117</v>
      </c>
      <c r="N52" s="719">
        <v>238</v>
      </c>
      <c r="O52" s="719">
        <v>17</v>
      </c>
      <c r="P52" s="719">
        <v>16</v>
      </c>
      <c r="Q52" s="719">
        <v>156</v>
      </c>
      <c r="R52" s="719">
        <v>0</v>
      </c>
      <c r="S52" s="723">
        <v>0</v>
      </c>
    </row>
    <row r="53" spans="2:19">
      <c r="B53" s="711"/>
      <c r="C53" s="707" t="s">
        <v>141</v>
      </c>
      <c r="D53" s="708">
        <f t="shared" ref="D53:S53" si="15">D52/D$8*100</f>
        <v>17.383115444272104</v>
      </c>
      <c r="E53" s="708">
        <f t="shared" si="15"/>
        <v>12.985074626865673</v>
      </c>
      <c r="F53" s="708">
        <f t="shared" si="15"/>
        <v>36.529680365296798</v>
      </c>
      <c r="G53" s="708">
        <f t="shared" si="15"/>
        <v>24.727272727272727</v>
      </c>
      <c r="H53" s="708">
        <f t="shared" si="15"/>
        <v>17.956204379562042</v>
      </c>
      <c r="I53" s="708">
        <f t="shared" si="15"/>
        <v>22.39089184060721</v>
      </c>
      <c r="J53" s="708">
        <f t="shared" si="15"/>
        <v>24.142312579415499</v>
      </c>
      <c r="K53" s="708">
        <f t="shared" si="15"/>
        <v>11.059431524547804</v>
      </c>
      <c r="L53" s="708">
        <f t="shared" si="15"/>
        <v>25</v>
      </c>
      <c r="M53" s="708">
        <f t="shared" si="15"/>
        <v>11.174785100286533</v>
      </c>
      <c r="N53" s="708">
        <f t="shared" si="15"/>
        <v>17.5</v>
      </c>
      <c r="O53" s="708">
        <f t="shared" si="15"/>
        <v>41.463414634146339</v>
      </c>
      <c r="P53" s="708">
        <f t="shared" si="15"/>
        <v>44.444444444444443</v>
      </c>
      <c r="Q53" s="708">
        <f t="shared" si="15"/>
        <v>27.27272727272727</v>
      </c>
      <c r="R53" s="708">
        <f t="shared" si="15"/>
        <v>0</v>
      </c>
      <c r="S53" s="712">
        <f t="shared" si="15"/>
        <v>0</v>
      </c>
    </row>
    <row r="54" spans="2:19">
      <c r="B54" s="720" t="s">
        <v>540</v>
      </c>
      <c r="C54" s="718" t="s">
        <v>279</v>
      </c>
      <c r="D54" s="719">
        <v>1452</v>
      </c>
      <c r="E54" s="719">
        <v>100</v>
      </c>
      <c r="F54" s="719">
        <v>16</v>
      </c>
      <c r="G54" s="719">
        <v>18</v>
      </c>
      <c r="H54" s="719">
        <v>109</v>
      </c>
      <c r="I54" s="719">
        <v>67</v>
      </c>
      <c r="J54" s="719">
        <v>231</v>
      </c>
      <c r="K54" s="719">
        <v>295</v>
      </c>
      <c r="L54" s="719">
        <v>62</v>
      </c>
      <c r="M54" s="719">
        <v>86</v>
      </c>
      <c r="N54" s="719">
        <v>367</v>
      </c>
      <c r="O54" s="719">
        <v>0</v>
      </c>
      <c r="P54" s="719">
        <v>0</v>
      </c>
      <c r="Q54" s="719">
        <v>101</v>
      </c>
      <c r="R54" s="719">
        <v>0</v>
      </c>
      <c r="S54" s="723">
        <v>0</v>
      </c>
    </row>
    <row r="55" spans="2:19">
      <c r="B55" s="713"/>
      <c r="C55" s="714" t="s">
        <v>141</v>
      </c>
      <c r="D55" s="715">
        <f t="shared" ref="D55:S55" si="16">D54/D$8*100</f>
        <v>16.086860181697318</v>
      </c>
      <c r="E55" s="715">
        <f t="shared" si="16"/>
        <v>14.925373134328357</v>
      </c>
      <c r="F55" s="715">
        <f t="shared" si="16"/>
        <v>7.3059360730593603</v>
      </c>
      <c r="G55" s="715">
        <f t="shared" si="16"/>
        <v>6.5454545454545459</v>
      </c>
      <c r="H55" s="715">
        <f t="shared" si="16"/>
        <v>15.912408759124089</v>
      </c>
      <c r="I55" s="715">
        <f t="shared" si="16"/>
        <v>12.7134724857685</v>
      </c>
      <c r="J55" s="715">
        <f t="shared" si="16"/>
        <v>29.351969504447268</v>
      </c>
      <c r="K55" s="715">
        <f t="shared" si="16"/>
        <v>15.245478036175712</v>
      </c>
      <c r="L55" s="715">
        <f t="shared" si="16"/>
        <v>10.689655172413794</v>
      </c>
      <c r="M55" s="715">
        <f t="shared" si="16"/>
        <v>8.2139446036294164</v>
      </c>
      <c r="N55" s="715">
        <f t="shared" si="16"/>
        <v>26.985294117647058</v>
      </c>
      <c r="O55" s="715">
        <f t="shared" si="16"/>
        <v>0</v>
      </c>
      <c r="P55" s="715">
        <f t="shared" si="16"/>
        <v>0</v>
      </c>
      <c r="Q55" s="715">
        <f t="shared" si="16"/>
        <v>17.657342657342657</v>
      </c>
      <c r="R55" s="715">
        <f t="shared" si="16"/>
        <v>0</v>
      </c>
      <c r="S55" s="716">
        <f t="shared" si="16"/>
        <v>0</v>
      </c>
    </row>
  </sheetData>
  <sheetProtection password="B8D9" sheet="1" objects="1" scenarios="1"/>
  <mergeCells count="2">
    <mergeCell ref="B1:J2"/>
    <mergeCell ref="D5:S5"/>
  </mergeCells>
  <hyperlinks>
    <hyperlink ref="B3" location="'List of Tables &amp; Charts'!A1" display="return to List of Tables &amp; Charts"/>
  </hyperlinks>
  <pageMargins left="0.70866141732283472" right="0.70866141732283472" top="0.74803149606299213" bottom="0.74803149606299213" header="0.31496062992125984" footer="0.31496062992125984"/>
  <pageSetup paperSize="9" scale="57" orientation="landscape" r:id="rId1"/>
  <headerFooter>
    <oddFooter>&amp;L&amp;8Scottish Stroke Care Audit 2016 National Report
Stroke Services in Scottish Hospitals, Data relating to 2015&amp;R&amp;8© NHS National Services Scotland/Crown Copyright</oddFooter>
  </headerFooter>
</worksheet>
</file>

<file path=xl/worksheets/sheet30.xml><?xml version="1.0" encoding="utf-8"?>
<worksheet xmlns="http://schemas.openxmlformats.org/spreadsheetml/2006/main" xmlns:r="http://schemas.openxmlformats.org/officeDocument/2006/relationships">
  <sheetPr codeName="Sheet14">
    <pageSetUpPr fitToPage="1"/>
  </sheetPr>
  <dimension ref="A1:X62"/>
  <sheetViews>
    <sheetView workbookViewId="0">
      <selection sqref="A1:A2"/>
    </sheetView>
  </sheetViews>
  <sheetFormatPr defaultRowHeight="11.25"/>
  <cols>
    <col min="1" max="1" width="15.7109375" style="211" customWidth="1"/>
    <col min="2" max="8" width="9.140625" style="211"/>
    <col min="9" max="14" width="9.7109375" style="211" customWidth="1"/>
    <col min="15" max="15" width="10.42578125" style="211" bestFit="1" customWidth="1"/>
    <col min="16" max="16" width="45.7109375" style="211" customWidth="1"/>
    <col min="17" max="20" width="11.7109375" style="315" customWidth="1"/>
    <col min="21" max="16384" width="9.140625" style="211"/>
  </cols>
  <sheetData>
    <row r="1" spans="1:20" ht="15" customHeight="1">
      <c r="A1" s="811" t="s">
        <v>27</v>
      </c>
      <c r="B1" s="822" t="s">
        <v>44</v>
      </c>
      <c r="C1" s="814"/>
      <c r="D1" s="814"/>
      <c r="E1" s="814"/>
      <c r="F1" s="814"/>
      <c r="G1" s="814"/>
      <c r="H1" s="814"/>
      <c r="I1" s="295"/>
      <c r="J1" s="322"/>
      <c r="K1" s="322"/>
      <c r="L1" s="296"/>
      <c r="M1" s="296"/>
      <c r="N1" s="296"/>
      <c r="O1" s="815" t="s">
        <v>20</v>
      </c>
      <c r="P1" s="816"/>
      <c r="Q1" s="815">
        <v>2014</v>
      </c>
      <c r="R1" s="815"/>
      <c r="S1" s="815">
        <v>2015</v>
      </c>
      <c r="T1" s="815"/>
    </row>
    <row r="2" spans="1:20" ht="23.25" customHeight="1">
      <c r="A2" s="812"/>
      <c r="B2" s="297" t="s">
        <v>298</v>
      </c>
      <c r="C2" s="297" t="s">
        <v>491</v>
      </c>
      <c r="D2" s="298" t="s">
        <v>21</v>
      </c>
      <c r="E2" s="817" t="s">
        <v>492</v>
      </c>
      <c r="F2" s="817"/>
      <c r="G2" s="817" t="s">
        <v>493</v>
      </c>
      <c r="H2" s="818"/>
      <c r="I2" s="299" t="s">
        <v>300</v>
      </c>
      <c r="J2" s="300" t="s">
        <v>502</v>
      </c>
      <c r="K2" s="300" t="s">
        <v>24</v>
      </c>
      <c r="L2" s="302" t="s">
        <v>16</v>
      </c>
      <c r="M2" s="302" t="s">
        <v>15</v>
      </c>
      <c r="N2" s="303" t="s">
        <v>25</v>
      </c>
      <c r="O2" s="304" t="s">
        <v>26</v>
      </c>
      <c r="P2" s="305" t="s">
        <v>27</v>
      </c>
      <c r="Q2" s="305" t="s">
        <v>28</v>
      </c>
      <c r="R2" s="305" t="s">
        <v>29</v>
      </c>
      <c r="S2" s="305" t="s">
        <v>28</v>
      </c>
      <c r="T2" s="305" t="s">
        <v>29</v>
      </c>
    </row>
    <row r="3" spans="1:20" ht="12">
      <c r="A3" s="306" t="str">
        <f>O3</f>
        <v>Scotland</v>
      </c>
      <c r="B3" s="307">
        <f t="shared" ref="B3" si="0">Q3/R3*100</f>
        <v>87.911903160726297</v>
      </c>
      <c r="C3" s="307">
        <f t="shared" ref="C3" si="1">S3/T3*100</f>
        <v>89.956839309428943</v>
      </c>
      <c r="D3" s="307">
        <f>95</f>
        <v>95</v>
      </c>
      <c r="E3" s="16">
        <f t="shared" ref="E3" si="2">SUM(1*MID(I3,1,FIND(" - ",I3)-1))</f>
        <v>87</v>
      </c>
      <c r="F3" s="308">
        <f t="shared" ref="F3" si="3">SUM(1*MID(I3,FIND(" - ",I3)+2,LEN(I3)))</f>
        <v>89</v>
      </c>
      <c r="G3" s="308">
        <f t="shared" ref="G3" si="4">SUM(1*MID(J3,1,FIND(" - ",J3)-1))</f>
        <v>89</v>
      </c>
      <c r="H3" s="308">
        <f t="shared" ref="H3" si="5">SUM(1*MID(J3,FIND(" - ",J3)+2,LEN(J3)))</f>
        <v>91</v>
      </c>
      <c r="I3" s="309" t="str">
        <f t="shared" ref="I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87 - 89</v>
      </c>
      <c r="J3" s="310" t="str">
        <f t="shared" ref="J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89 - 91</v>
      </c>
      <c r="K3" s="311">
        <f t="shared" ref="K3" si="8">C3-B3</f>
        <v>2.0449361487026465</v>
      </c>
      <c r="L3" s="320">
        <f t="shared" ref="L3:L31" si="9">((S3/T3)-(Q3/R3))-(NORMSINV(1-(0.05/COUNTA($O$3:$O$31)))*(SQRT((((Q3/R3)*(1-(Q3/R3)))/R3)+(((S3/T3)*(1-(S3/T3)))/T3))))</f>
        <v>3.683141858786685E-3</v>
      </c>
      <c r="M3" s="320">
        <f t="shared" ref="M3:M31" si="10">((S3/T3)-(Q3/R3))+(NORMSINV(1-(0.05/COUNTA($O$3:$O$31)))*(SQRT((((Q3/R3)*(1-(Q3/R3)))/R3)+(((S3/T3)*(1-(S3/T3)))/T3))))</f>
        <v>3.7215581115266488E-2</v>
      </c>
      <c r="N3" s="313">
        <f t="shared" ref="N3:N31" si="11">IF(ISERR(IF(AND(((S3/T3)-(Q3/R3))-(NORMSINV(1-(0.05/COUNTA($P$3:$P$31)))*(SQRT((((Q3/R3)*(1-(Q3/R3)))/R3)+(((S3/T3)*(1-(S3/T3)))/T3))))&gt;0,((S3/T3)-(Q3/R3))+(NORMSINV(1-(0.05/COUNTA($P$3:$P$31)))*(SQRT((((Q3/R3)*(1-(Q3/R3)))/R3)+(((S3/T3)*(1-(S3/T3)))/T3))))&gt;0),1,IF(AND(((S3/T3)-(Q3/R3))-(NORMSINV(1-(0.05/COUNTA($P$3:$P$31)))*(SQRT((((Q3/R3)*(1-(Q3/R3)))/R3)+(((S3/T3)*(1-(S3/T3)))/T3))))&lt;0,((S3/T3)-(Q3/R3))+(NORMSINV(1-(0.05/COUNTA($P$3:$P$31)))*(SQRT((((Q3/R3)*(1-(Q3/R3)))/R3)+(((S3/T3)*(1-(S3/T3)))/T3))))&lt;0),-1,0))),"",IF(AND(((S3/T3)-(Q3/R3))-(NORMSINV(1-(0.05/COUNTA($P$3:$P$31)))*(SQRT((((Q3/R3)*(1-(Q3/R3)))/R3)+(((S3/T3)*(1-(S3/T3)))/T3))))&gt;0,((S3/T3)-(Q3/R3))+(NORMSINV(1-(0.05/COUNTA($P$3:$P$31)))*(SQRT((((Q3/R3)*(1-(Q3/R3)))/R3)+(((S3/T3)*(1-(S3/T3)))/T3))))&gt;0),1,IF(AND(((S3/T3)-(Q3/R3))-(NORMSINV(1-(0.05/COUNTA($P$3:$P$31)))*(SQRT((((Q3/R3)*(1-(Q3/R3)))/R3)+(((S3/T3)*(1-(S3/T3)))/T3))))&lt;0,((S3/T3)-(Q3/R3))+(NORMSINV(1-(0.05/COUNTA($P$3:$P$31)))*(SQRT((((Q3/R3)*(1-(Q3/R3)))/R3)+(((S3/T3)*(1-(S3/T3)))/T3))))&lt;0),-1,0)))</f>
        <v>1</v>
      </c>
      <c r="O3" s="306" t="str">
        <f t="shared" ref="O3:O31" si="12">VLOOKUP(P3,Hospitals,3,FALSE)</f>
        <v>Scotland</v>
      </c>
      <c r="P3" s="306" t="s">
        <v>286</v>
      </c>
      <c r="Q3" s="425">
        <v>5229</v>
      </c>
      <c r="R3" s="425">
        <v>5948</v>
      </c>
      <c r="S3" s="425">
        <v>5419</v>
      </c>
      <c r="T3" s="425">
        <v>6024</v>
      </c>
    </row>
    <row r="4" spans="1:20" ht="12">
      <c r="A4" s="306" t="str">
        <f t="shared" ref="A4:A31" si="13">O4</f>
        <v>Borders</v>
      </c>
      <c r="B4" s="307">
        <f t="shared" ref="B4:B31" si="14">Q4/R4*100</f>
        <v>95.862068965517238</v>
      </c>
      <c r="C4" s="307">
        <f t="shared" ref="C4:C31" si="15">S4/T4*100</f>
        <v>97.887323943661968</v>
      </c>
      <c r="D4" s="307">
        <f>95</f>
        <v>95</v>
      </c>
      <c r="E4" s="308">
        <f t="shared" ref="E4:E31" si="16">SUM(1*MID(I4,1,FIND(" - ",I4)-1))</f>
        <v>91</v>
      </c>
      <c r="F4" s="308">
        <f t="shared" ref="F4:F31" si="17">SUM(1*MID(I4,FIND(" - ",I4)+2,LEN(I4)))</f>
        <v>98</v>
      </c>
      <c r="G4" s="308">
        <f t="shared" ref="G4:G31" si="18">SUM(1*MID(J4,1,FIND(" - ",J4)-1))</f>
        <v>94</v>
      </c>
      <c r="H4" s="308">
        <f t="shared" ref="H4:H31" si="19">SUM(1*MID(J4,FIND(" - ",J4)+2,LEN(J4)))</f>
        <v>99</v>
      </c>
      <c r="I4" s="314" t="str">
        <f t="shared" ref="I4:I31" si="20">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91 - 98</v>
      </c>
      <c r="J4" s="310" t="str">
        <f t="shared" ref="J4:J31" si="21">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94 - 99</v>
      </c>
      <c r="K4" s="311">
        <f t="shared" ref="K4:K31" si="22">C4-B4</f>
        <v>2.02525497814473</v>
      </c>
      <c r="L4" s="320">
        <f t="shared" si="9"/>
        <v>-3.9628323110715416E-2</v>
      </c>
      <c r="M4" s="320">
        <f t="shared" si="10"/>
        <v>8.0133422673610025E-2</v>
      </c>
      <c r="N4" s="313">
        <f t="shared" si="11"/>
        <v>0</v>
      </c>
      <c r="O4" s="306" t="str">
        <f t="shared" si="12"/>
        <v>Borders</v>
      </c>
      <c r="P4" s="306" t="s">
        <v>65</v>
      </c>
      <c r="Q4" s="425">
        <v>139</v>
      </c>
      <c r="R4" s="425">
        <v>145</v>
      </c>
      <c r="S4" s="425">
        <v>139</v>
      </c>
      <c r="T4" s="425">
        <v>142</v>
      </c>
    </row>
    <row r="5" spans="1:20" ht="12">
      <c r="A5" s="306" t="str">
        <f t="shared" si="13"/>
        <v>SJH</v>
      </c>
      <c r="B5" s="307">
        <f t="shared" si="14"/>
        <v>93.055555555555557</v>
      </c>
      <c r="C5" s="307">
        <f t="shared" si="15"/>
        <v>96.132596685082873</v>
      </c>
      <c r="D5" s="307">
        <f>95</f>
        <v>95</v>
      </c>
      <c r="E5" s="308">
        <f t="shared" si="16"/>
        <v>88</v>
      </c>
      <c r="F5" s="308">
        <f t="shared" si="17"/>
        <v>96</v>
      </c>
      <c r="G5" s="308">
        <f t="shared" si="18"/>
        <v>92</v>
      </c>
      <c r="H5" s="308">
        <f t="shared" si="19"/>
        <v>98</v>
      </c>
      <c r="I5" s="314" t="str">
        <f t="shared" si="20"/>
        <v>88 - 96</v>
      </c>
      <c r="J5" s="310" t="str">
        <f t="shared" si="21"/>
        <v>92 - 98</v>
      </c>
      <c r="K5" s="311">
        <f t="shared" si="22"/>
        <v>3.0770411295273163</v>
      </c>
      <c r="L5" s="320">
        <f t="shared" si="9"/>
        <v>-4.4032914800738218E-2</v>
      </c>
      <c r="M5" s="320">
        <f t="shared" si="10"/>
        <v>0.10557373739128449</v>
      </c>
      <c r="N5" s="313">
        <f t="shared" si="11"/>
        <v>0</v>
      </c>
      <c r="O5" s="306" t="str">
        <f t="shared" si="12"/>
        <v>SJH</v>
      </c>
      <c r="P5" s="306" t="s">
        <v>114</v>
      </c>
      <c r="Q5" s="425">
        <v>134</v>
      </c>
      <c r="R5" s="425">
        <v>144</v>
      </c>
      <c r="S5" s="425">
        <v>174</v>
      </c>
      <c r="T5" s="425">
        <v>181</v>
      </c>
    </row>
    <row r="6" spans="1:20" ht="12">
      <c r="A6" s="306" t="str">
        <f t="shared" si="13"/>
        <v>Caithness</v>
      </c>
      <c r="B6" s="307">
        <f t="shared" si="14"/>
        <v>89.795918367346943</v>
      </c>
      <c r="C6" s="307">
        <f t="shared" si="15"/>
        <v>95.555555555555557</v>
      </c>
      <c r="D6" s="307">
        <f>95</f>
        <v>95</v>
      </c>
      <c r="E6" s="308">
        <f t="shared" si="16"/>
        <v>78</v>
      </c>
      <c r="F6" s="308">
        <f t="shared" si="17"/>
        <v>96</v>
      </c>
      <c r="G6" s="308">
        <f t="shared" si="18"/>
        <v>85</v>
      </c>
      <c r="H6" s="308">
        <f t="shared" si="19"/>
        <v>99</v>
      </c>
      <c r="I6" s="314" t="str">
        <f t="shared" si="20"/>
        <v>78 - 96</v>
      </c>
      <c r="J6" s="310" t="str">
        <f t="shared" si="21"/>
        <v>85 - 99</v>
      </c>
      <c r="K6" s="311">
        <f t="shared" si="22"/>
        <v>5.7596371882086146</v>
      </c>
      <c r="L6" s="320">
        <f t="shared" si="9"/>
        <v>-9.7541243966786872E-2</v>
      </c>
      <c r="M6" s="320">
        <f t="shared" si="10"/>
        <v>0.21273398773095931</v>
      </c>
      <c r="N6" s="313">
        <f t="shared" si="11"/>
        <v>0</v>
      </c>
      <c r="O6" s="306" t="str">
        <f t="shared" si="12"/>
        <v>Caithness</v>
      </c>
      <c r="P6" s="306" t="s">
        <v>94</v>
      </c>
      <c r="Q6" s="425">
        <v>44</v>
      </c>
      <c r="R6" s="425">
        <v>49</v>
      </c>
      <c r="S6" s="425">
        <v>43</v>
      </c>
      <c r="T6" s="425">
        <v>45</v>
      </c>
    </row>
    <row r="7" spans="1:20" ht="12">
      <c r="A7" s="306" t="str">
        <f t="shared" si="13"/>
        <v>Western Isles</v>
      </c>
      <c r="B7" s="307">
        <f t="shared" si="14"/>
        <v>88.888888888888886</v>
      </c>
      <c r="C7" s="307">
        <f t="shared" si="15"/>
        <v>95</v>
      </c>
      <c r="D7" s="307">
        <f>95</f>
        <v>95</v>
      </c>
      <c r="E7" s="308">
        <f t="shared" si="16"/>
        <v>56</v>
      </c>
      <c r="F7" s="308">
        <f t="shared" si="17"/>
        <v>98</v>
      </c>
      <c r="G7" s="308">
        <f t="shared" si="18"/>
        <v>76</v>
      </c>
      <c r="H7" s="308">
        <f t="shared" si="19"/>
        <v>99</v>
      </c>
      <c r="I7" s="314" t="str">
        <f t="shared" si="20"/>
        <v>56 - 98</v>
      </c>
      <c r="J7" s="310" t="str">
        <f t="shared" si="21"/>
        <v>76 - 99</v>
      </c>
      <c r="K7" s="311">
        <f t="shared" si="22"/>
        <v>6.1111111111111143</v>
      </c>
      <c r="L7" s="320">
        <f t="shared" si="9"/>
        <v>-0.27679762390581703</v>
      </c>
      <c r="M7" s="320">
        <f t="shared" si="10"/>
        <v>0.39901984612803926</v>
      </c>
      <c r="N7" s="313">
        <f t="shared" si="11"/>
        <v>0</v>
      </c>
      <c r="O7" s="306" t="str">
        <f t="shared" si="12"/>
        <v>Western Isles</v>
      </c>
      <c r="P7" s="306" t="s">
        <v>135</v>
      </c>
      <c r="Q7" s="425">
        <v>8</v>
      </c>
      <c r="R7" s="425">
        <v>9</v>
      </c>
      <c r="S7" s="425">
        <v>19</v>
      </c>
      <c r="T7" s="425">
        <v>20</v>
      </c>
    </row>
    <row r="8" spans="1:20" ht="12">
      <c r="A8" s="306" t="str">
        <f t="shared" si="13"/>
        <v>IRH</v>
      </c>
      <c r="B8" s="307">
        <f t="shared" si="14"/>
        <v>85.164835164835168</v>
      </c>
      <c r="C8" s="307">
        <f t="shared" si="15"/>
        <v>94.444444444444443</v>
      </c>
      <c r="D8" s="307">
        <f>95</f>
        <v>95</v>
      </c>
      <c r="E8" s="308">
        <f t="shared" si="16"/>
        <v>79</v>
      </c>
      <c r="F8" s="308">
        <f t="shared" si="17"/>
        <v>90</v>
      </c>
      <c r="G8" s="308">
        <f t="shared" si="18"/>
        <v>90</v>
      </c>
      <c r="H8" s="308">
        <f t="shared" si="19"/>
        <v>97</v>
      </c>
      <c r="I8" s="314" t="str">
        <f t="shared" si="20"/>
        <v>79 - 90</v>
      </c>
      <c r="J8" s="310" t="str">
        <f t="shared" si="21"/>
        <v>90 - 97</v>
      </c>
      <c r="K8" s="311">
        <f t="shared" si="22"/>
        <v>9.2796092796092751</v>
      </c>
      <c r="L8" s="320">
        <f t="shared" si="9"/>
        <v>-5.2217328069650848E-4</v>
      </c>
      <c r="M8" s="320">
        <f t="shared" si="10"/>
        <v>0.18611435887288211</v>
      </c>
      <c r="N8" s="313">
        <f t="shared" si="11"/>
        <v>0</v>
      </c>
      <c r="O8" s="306" t="str">
        <f t="shared" si="12"/>
        <v>IRH</v>
      </c>
      <c r="P8" s="306" t="s">
        <v>84</v>
      </c>
      <c r="Q8" s="425">
        <v>155</v>
      </c>
      <c r="R8" s="425">
        <v>182</v>
      </c>
      <c r="S8" s="425">
        <v>153</v>
      </c>
      <c r="T8" s="425">
        <v>162</v>
      </c>
    </row>
    <row r="9" spans="1:20" ht="12">
      <c r="A9" s="306" t="str">
        <f t="shared" si="13"/>
        <v>VHK</v>
      </c>
      <c r="B9" s="307">
        <f t="shared" si="14"/>
        <v>89.618644067796609</v>
      </c>
      <c r="C9" s="307">
        <f t="shared" si="15"/>
        <v>94.43207126948775</v>
      </c>
      <c r="D9" s="307">
        <f>95</f>
        <v>95</v>
      </c>
      <c r="E9" s="308">
        <f t="shared" si="16"/>
        <v>87</v>
      </c>
      <c r="F9" s="308">
        <f t="shared" si="17"/>
        <v>92</v>
      </c>
      <c r="G9" s="308">
        <f t="shared" si="18"/>
        <v>92</v>
      </c>
      <c r="H9" s="308">
        <f t="shared" si="19"/>
        <v>96</v>
      </c>
      <c r="I9" s="314" t="str">
        <f t="shared" si="20"/>
        <v>87 - 92</v>
      </c>
      <c r="J9" s="310" t="str">
        <f t="shared" si="21"/>
        <v>92 - 96</v>
      </c>
      <c r="K9" s="311">
        <f t="shared" si="22"/>
        <v>4.813427201691141</v>
      </c>
      <c r="L9" s="320">
        <f t="shared" si="9"/>
        <v>-3.7085335279869666E-3</v>
      </c>
      <c r="M9" s="320">
        <f t="shared" si="10"/>
        <v>9.9977077561809652E-2</v>
      </c>
      <c r="N9" s="313">
        <f t="shared" si="11"/>
        <v>0</v>
      </c>
      <c r="O9" s="306" t="str">
        <f t="shared" si="12"/>
        <v>VHK</v>
      </c>
      <c r="P9" s="306" t="s">
        <v>287</v>
      </c>
      <c r="Q9" s="425">
        <v>423</v>
      </c>
      <c r="R9" s="425">
        <v>472</v>
      </c>
      <c r="S9" s="425">
        <v>424</v>
      </c>
      <c r="T9" s="425">
        <v>449</v>
      </c>
    </row>
    <row r="10" spans="1:20" ht="12">
      <c r="A10" s="306" t="str">
        <f t="shared" si="13"/>
        <v>Wishaw</v>
      </c>
      <c r="B10" s="307">
        <f t="shared" si="14"/>
        <v>97.388059701492537</v>
      </c>
      <c r="C10" s="307">
        <f t="shared" si="15"/>
        <v>94.32314410480349</v>
      </c>
      <c r="D10" s="307">
        <f>95</f>
        <v>95</v>
      </c>
      <c r="E10" s="308">
        <f t="shared" si="16"/>
        <v>95</v>
      </c>
      <c r="F10" s="308">
        <f t="shared" si="17"/>
        <v>99</v>
      </c>
      <c r="G10" s="308">
        <f t="shared" si="18"/>
        <v>91</v>
      </c>
      <c r="H10" s="308">
        <f t="shared" si="19"/>
        <v>97</v>
      </c>
      <c r="I10" s="314" t="str">
        <f t="shared" si="20"/>
        <v>95 - 99</v>
      </c>
      <c r="J10" s="310" t="str">
        <f t="shared" si="21"/>
        <v>91 - 97</v>
      </c>
      <c r="K10" s="311">
        <f t="shared" si="22"/>
        <v>-3.0649155966890476</v>
      </c>
      <c r="L10" s="320">
        <f t="shared" si="9"/>
        <v>-8.367677808611676E-2</v>
      </c>
      <c r="M10" s="320">
        <f t="shared" si="10"/>
        <v>2.2378466152335873E-2</v>
      </c>
      <c r="N10" s="313">
        <f t="shared" si="11"/>
        <v>0</v>
      </c>
      <c r="O10" s="306" t="str">
        <f t="shared" si="12"/>
        <v>Wishaw</v>
      </c>
      <c r="P10" s="306" t="s">
        <v>109</v>
      </c>
      <c r="Q10" s="425">
        <v>261</v>
      </c>
      <c r="R10" s="425">
        <v>268</v>
      </c>
      <c r="S10" s="425">
        <v>216</v>
      </c>
      <c r="T10" s="425">
        <v>229</v>
      </c>
    </row>
    <row r="11" spans="1:20" ht="12">
      <c r="A11" s="306" t="str">
        <f t="shared" si="13"/>
        <v>Dr Grays</v>
      </c>
      <c r="B11" s="307">
        <f t="shared" si="14"/>
        <v>84.93150684931507</v>
      </c>
      <c r="C11" s="307">
        <f t="shared" si="15"/>
        <v>93.406593406593402</v>
      </c>
      <c r="D11" s="307">
        <f>95</f>
        <v>95</v>
      </c>
      <c r="E11" s="308">
        <f t="shared" si="16"/>
        <v>75</v>
      </c>
      <c r="F11" s="308">
        <f t="shared" si="17"/>
        <v>91</v>
      </c>
      <c r="G11" s="308">
        <f t="shared" si="18"/>
        <v>86</v>
      </c>
      <c r="H11" s="308">
        <f t="shared" si="19"/>
        <v>97</v>
      </c>
      <c r="I11" s="314" t="str">
        <f t="shared" si="20"/>
        <v>75 - 91</v>
      </c>
      <c r="J11" s="310" t="str">
        <f t="shared" si="21"/>
        <v>86 - 97</v>
      </c>
      <c r="K11" s="311">
        <f t="shared" si="22"/>
        <v>8.4750865572783312</v>
      </c>
      <c r="L11" s="320">
        <f t="shared" si="9"/>
        <v>-5.9418027771803023E-2</v>
      </c>
      <c r="M11" s="320">
        <f t="shared" si="10"/>
        <v>0.2289197589173699</v>
      </c>
      <c r="N11" s="313">
        <f t="shared" si="11"/>
        <v>0</v>
      </c>
      <c r="O11" s="306" t="str">
        <f t="shared" si="12"/>
        <v>Dr Grays</v>
      </c>
      <c r="P11" s="306" t="s">
        <v>79</v>
      </c>
      <c r="Q11" s="425">
        <v>62</v>
      </c>
      <c r="R11" s="425">
        <v>73</v>
      </c>
      <c r="S11" s="425">
        <v>85</v>
      </c>
      <c r="T11" s="425">
        <v>91</v>
      </c>
    </row>
    <row r="12" spans="1:20" ht="12">
      <c r="A12" s="306" t="str">
        <f t="shared" si="13"/>
        <v>FVRH</v>
      </c>
      <c r="B12" s="307">
        <f t="shared" si="14"/>
        <v>93.633952254641912</v>
      </c>
      <c r="C12" s="307">
        <f t="shared" si="15"/>
        <v>93.137254901960787</v>
      </c>
      <c r="D12" s="307">
        <f>95</f>
        <v>95</v>
      </c>
      <c r="E12" s="308">
        <f t="shared" si="16"/>
        <v>91</v>
      </c>
      <c r="F12" s="308">
        <f t="shared" si="17"/>
        <v>96</v>
      </c>
      <c r="G12" s="308">
        <f t="shared" si="18"/>
        <v>90</v>
      </c>
      <c r="H12" s="308">
        <f t="shared" si="19"/>
        <v>95</v>
      </c>
      <c r="I12" s="314" t="str">
        <f t="shared" si="20"/>
        <v>91 - 96</v>
      </c>
      <c r="J12" s="310" t="str">
        <f t="shared" si="21"/>
        <v>90 - 95</v>
      </c>
      <c r="K12" s="311">
        <f t="shared" si="22"/>
        <v>-0.49669735268112447</v>
      </c>
      <c r="L12" s="320">
        <f t="shared" si="9"/>
        <v>-5.6855834624453136E-2</v>
      </c>
      <c r="M12" s="320">
        <f t="shared" si="10"/>
        <v>4.6921887570830753E-2</v>
      </c>
      <c r="N12" s="313">
        <f t="shared" si="11"/>
        <v>0</v>
      </c>
      <c r="O12" s="306" t="str">
        <f t="shared" si="12"/>
        <v>FVRH</v>
      </c>
      <c r="P12" s="306" t="s">
        <v>75</v>
      </c>
      <c r="Q12" s="425">
        <v>353</v>
      </c>
      <c r="R12" s="425">
        <v>377</v>
      </c>
      <c r="S12" s="425">
        <v>380</v>
      </c>
      <c r="T12" s="425">
        <v>408</v>
      </c>
    </row>
    <row r="13" spans="1:20" ht="12">
      <c r="A13" s="306" t="str">
        <f t="shared" si="13"/>
        <v>DGRI</v>
      </c>
      <c r="B13" s="307">
        <f t="shared" si="14"/>
        <v>92.700729927007302</v>
      </c>
      <c r="C13" s="307">
        <f t="shared" si="15"/>
        <v>93.103448275862064</v>
      </c>
      <c r="D13" s="307">
        <f>95</f>
        <v>95</v>
      </c>
      <c r="E13" s="308">
        <f t="shared" si="16"/>
        <v>87</v>
      </c>
      <c r="F13" s="308">
        <f t="shared" si="17"/>
        <v>96</v>
      </c>
      <c r="G13" s="308">
        <f t="shared" si="18"/>
        <v>88</v>
      </c>
      <c r="H13" s="308">
        <f t="shared" si="19"/>
        <v>96</v>
      </c>
      <c r="I13" s="314" t="str">
        <f t="shared" si="20"/>
        <v>87 - 96</v>
      </c>
      <c r="J13" s="310" t="str">
        <f t="shared" si="21"/>
        <v>88 - 96</v>
      </c>
      <c r="K13" s="311">
        <f t="shared" si="22"/>
        <v>0.4027183488547621</v>
      </c>
      <c r="L13" s="320">
        <f t="shared" si="9"/>
        <v>-8.5485043694056337E-2</v>
      </c>
      <c r="M13" s="320">
        <f t="shared" si="10"/>
        <v>9.3539410671151721E-2</v>
      </c>
      <c r="N13" s="313">
        <f t="shared" si="11"/>
        <v>0</v>
      </c>
      <c r="O13" s="306" t="str">
        <f t="shared" si="12"/>
        <v>DGRI</v>
      </c>
      <c r="P13" s="306" t="s">
        <v>67</v>
      </c>
      <c r="Q13" s="425">
        <v>127</v>
      </c>
      <c r="R13" s="425">
        <v>137</v>
      </c>
      <c r="S13" s="425">
        <v>135</v>
      </c>
      <c r="T13" s="425">
        <v>145</v>
      </c>
    </row>
    <row r="14" spans="1:20" ht="12">
      <c r="A14" s="306" t="str">
        <f t="shared" si="13"/>
        <v>Raigmore</v>
      </c>
      <c r="B14" s="307">
        <f t="shared" si="14"/>
        <v>85.572139303482587</v>
      </c>
      <c r="C14" s="307">
        <f t="shared" si="15"/>
        <v>92.951541850220266</v>
      </c>
      <c r="D14" s="307">
        <f>95</f>
        <v>95</v>
      </c>
      <c r="E14" s="308">
        <f t="shared" si="16"/>
        <v>80</v>
      </c>
      <c r="F14" s="308">
        <f t="shared" si="17"/>
        <v>90</v>
      </c>
      <c r="G14" s="308">
        <f t="shared" si="18"/>
        <v>89</v>
      </c>
      <c r="H14" s="308">
        <f t="shared" si="19"/>
        <v>96</v>
      </c>
      <c r="I14" s="314" t="str">
        <f t="shared" si="20"/>
        <v>80 - 90</v>
      </c>
      <c r="J14" s="310" t="str">
        <f t="shared" si="21"/>
        <v>89 - 96</v>
      </c>
      <c r="K14" s="311">
        <f t="shared" si="22"/>
        <v>7.3794025467376798</v>
      </c>
      <c r="L14" s="320">
        <f t="shared" si="9"/>
        <v>-1.4085174900454536E-2</v>
      </c>
      <c r="M14" s="320">
        <f t="shared" si="10"/>
        <v>0.1616732258352081</v>
      </c>
      <c r="N14" s="313">
        <f t="shared" si="11"/>
        <v>0</v>
      </c>
      <c r="O14" s="306" t="str">
        <f t="shared" si="12"/>
        <v>Raigmore</v>
      </c>
      <c r="P14" s="306" t="s">
        <v>100</v>
      </c>
      <c r="Q14" s="425">
        <v>172</v>
      </c>
      <c r="R14" s="425">
        <v>201</v>
      </c>
      <c r="S14" s="425">
        <v>211</v>
      </c>
      <c r="T14" s="425">
        <v>227</v>
      </c>
    </row>
    <row r="15" spans="1:20" ht="12">
      <c r="A15" s="306" t="str">
        <f t="shared" si="13"/>
        <v>Gilbert Bain</v>
      </c>
      <c r="B15" s="307">
        <f t="shared" si="14"/>
        <v>87.5</v>
      </c>
      <c r="C15" s="307">
        <f t="shared" si="15"/>
        <v>92.592592592592595</v>
      </c>
      <c r="D15" s="307">
        <f>95</f>
        <v>95</v>
      </c>
      <c r="E15" s="308">
        <f t="shared" si="16"/>
        <v>69</v>
      </c>
      <c r="F15" s="308">
        <f t="shared" si="17"/>
        <v>96</v>
      </c>
      <c r="G15" s="308">
        <f t="shared" si="18"/>
        <v>77</v>
      </c>
      <c r="H15" s="308">
        <f t="shared" si="19"/>
        <v>98</v>
      </c>
      <c r="I15" s="314" t="str">
        <f t="shared" si="20"/>
        <v>69 - 96</v>
      </c>
      <c r="J15" s="310" t="str">
        <f t="shared" si="21"/>
        <v>77 - 98</v>
      </c>
      <c r="K15" s="311">
        <f t="shared" si="22"/>
        <v>5.0925925925925952</v>
      </c>
      <c r="L15" s="320">
        <f t="shared" si="9"/>
        <v>-0.19546826061090139</v>
      </c>
      <c r="M15" s="320">
        <f t="shared" si="10"/>
        <v>0.29732011246275325</v>
      </c>
      <c r="N15" s="313">
        <f t="shared" si="11"/>
        <v>0</v>
      </c>
      <c r="O15" s="306" t="str">
        <f t="shared" si="12"/>
        <v>Gilbert Bain</v>
      </c>
      <c r="P15" s="306" t="s">
        <v>123</v>
      </c>
      <c r="Q15" s="425">
        <v>21</v>
      </c>
      <c r="R15" s="425">
        <v>24</v>
      </c>
      <c r="S15" s="425">
        <v>25</v>
      </c>
      <c r="T15" s="425">
        <v>27</v>
      </c>
    </row>
    <row r="16" spans="1:20" ht="12">
      <c r="A16" s="306" t="str">
        <f t="shared" si="13"/>
        <v>GCH</v>
      </c>
      <c r="B16" s="307">
        <f t="shared" si="14"/>
        <v>95.652173913043484</v>
      </c>
      <c r="C16" s="307">
        <f t="shared" si="15"/>
        <v>92.307692307692307</v>
      </c>
      <c r="D16" s="307">
        <f>95</f>
        <v>95</v>
      </c>
      <c r="E16" s="308">
        <f t="shared" si="16"/>
        <v>79</v>
      </c>
      <c r="F16" s="308">
        <f t="shared" si="17"/>
        <v>99</v>
      </c>
      <c r="G16" s="308">
        <f t="shared" si="18"/>
        <v>76</v>
      </c>
      <c r="H16" s="308">
        <f t="shared" si="19"/>
        <v>98</v>
      </c>
      <c r="I16" s="314" t="str">
        <f t="shared" si="20"/>
        <v>79 - 99</v>
      </c>
      <c r="J16" s="310" t="str">
        <f t="shared" si="21"/>
        <v>76 - 98</v>
      </c>
      <c r="K16" s="311">
        <f t="shared" si="22"/>
        <v>-3.3444816053511772</v>
      </c>
      <c r="L16" s="320">
        <f t="shared" si="9"/>
        <v>-0.23048923243636057</v>
      </c>
      <c r="M16" s="320">
        <f t="shared" si="10"/>
        <v>0.16359960032933721</v>
      </c>
      <c r="N16" s="313">
        <f t="shared" si="11"/>
        <v>0</v>
      </c>
      <c r="O16" s="306" t="str">
        <f t="shared" si="12"/>
        <v>GCH</v>
      </c>
      <c r="P16" s="306" t="s">
        <v>70</v>
      </c>
      <c r="Q16" s="425">
        <v>22</v>
      </c>
      <c r="R16" s="425">
        <v>23</v>
      </c>
      <c r="S16" s="425">
        <v>24</v>
      </c>
      <c r="T16" s="425">
        <v>26</v>
      </c>
    </row>
    <row r="17" spans="1:20" ht="12">
      <c r="A17" s="306" t="str">
        <f t="shared" si="13"/>
        <v>PRI</v>
      </c>
      <c r="B17" s="307">
        <f t="shared" si="14"/>
        <v>94.696969696969703</v>
      </c>
      <c r="C17" s="307">
        <f t="shared" si="15"/>
        <v>91.525423728813564</v>
      </c>
      <c r="D17" s="307">
        <f>95</f>
        <v>95</v>
      </c>
      <c r="E17" s="308">
        <f t="shared" si="16"/>
        <v>89</v>
      </c>
      <c r="F17" s="308">
        <f t="shared" si="17"/>
        <v>97</v>
      </c>
      <c r="G17" s="308">
        <f t="shared" si="18"/>
        <v>85</v>
      </c>
      <c r="H17" s="308">
        <f t="shared" si="19"/>
        <v>95</v>
      </c>
      <c r="I17" s="314" t="str">
        <f t="shared" si="20"/>
        <v>89 - 97</v>
      </c>
      <c r="J17" s="310" t="str">
        <f t="shared" si="21"/>
        <v>85 - 95</v>
      </c>
      <c r="K17" s="311">
        <f t="shared" si="22"/>
        <v>-3.1715459681561384</v>
      </c>
      <c r="L17" s="320">
        <f t="shared" si="9"/>
        <v>-0.12593149800345579</v>
      </c>
      <c r="M17" s="320">
        <f t="shared" si="10"/>
        <v>6.2500578640332954E-2</v>
      </c>
      <c r="N17" s="313">
        <f t="shared" si="11"/>
        <v>0</v>
      </c>
      <c r="O17" s="306" t="str">
        <f t="shared" si="12"/>
        <v>PRI</v>
      </c>
      <c r="P17" s="306" t="s">
        <v>129</v>
      </c>
      <c r="Q17" s="425">
        <v>125</v>
      </c>
      <c r="R17" s="425">
        <v>132</v>
      </c>
      <c r="S17" s="425">
        <v>108</v>
      </c>
      <c r="T17" s="425">
        <v>118</v>
      </c>
    </row>
    <row r="18" spans="1:20" ht="12">
      <c r="A18" s="306" t="str">
        <f t="shared" si="13"/>
        <v>GRI</v>
      </c>
      <c r="B18" s="307">
        <f t="shared" si="14"/>
        <v>84.696569920844325</v>
      </c>
      <c r="C18" s="307">
        <f t="shared" si="15"/>
        <v>91.105769230769226</v>
      </c>
      <c r="D18" s="307">
        <f>95</f>
        <v>95</v>
      </c>
      <c r="E18" s="308">
        <f t="shared" si="16"/>
        <v>81</v>
      </c>
      <c r="F18" s="308">
        <f t="shared" si="17"/>
        <v>88</v>
      </c>
      <c r="G18" s="308">
        <f t="shared" si="18"/>
        <v>88</v>
      </c>
      <c r="H18" s="308">
        <f t="shared" si="19"/>
        <v>93</v>
      </c>
      <c r="I18" s="314" t="str">
        <f t="shared" si="20"/>
        <v>81 - 88</v>
      </c>
      <c r="J18" s="310" t="str">
        <f t="shared" si="21"/>
        <v>88 - 93</v>
      </c>
      <c r="K18" s="311">
        <f t="shared" si="22"/>
        <v>6.4091993099249009</v>
      </c>
      <c r="L18" s="320">
        <f t="shared" si="9"/>
        <v>-3.6680756553123389E-3</v>
      </c>
      <c r="M18" s="320">
        <f t="shared" si="10"/>
        <v>0.13185206185381049</v>
      </c>
      <c r="N18" s="313">
        <f t="shared" si="11"/>
        <v>0</v>
      </c>
      <c r="O18" s="306" t="str">
        <f t="shared" si="12"/>
        <v>GRI</v>
      </c>
      <c r="P18" s="306" t="s">
        <v>82</v>
      </c>
      <c r="Q18" s="425">
        <v>321</v>
      </c>
      <c r="R18" s="425">
        <v>379</v>
      </c>
      <c r="S18" s="425">
        <v>379</v>
      </c>
      <c r="T18" s="425">
        <v>416</v>
      </c>
    </row>
    <row r="19" spans="1:20" ht="12">
      <c r="A19" s="306" t="str">
        <f t="shared" si="13"/>
        <v>Ninewells</v>
      </c>
      <c r="B19" s="307">
        <f t="shared" si="14"/>
        <v>90.308370044052865</v>
      </c>
      <c r="C19" s="307">
        <f t="shared" si="15"/>
        <v>90</v>
      </c>
      <c r="D19" s="307">
        <f>95</f>
        <v>95</v>
      </c>
      <c r="E19" s="308">
        <f t="shared" si="16"/>
        <v>86</v>
      </c>
      <c r="F19" s="308">
        <f t="shared" si="17"/>
        <v>94</v>
      </c>
      <c r="G19" s="308">
        <f t="shared" si="18"/>
        <v>86</v>
      </c>
      <c r="H19" s="308">
        <f t="shared" si="19"/>
        <v>93</v>
      </c>
      <c r="I19" s="314" t="str">
        <f t="shared" si="20"/>
        <v>86 - 94</v>
      </c>
      <c r="J19" s="310" t="str">
        <f t="shared" si="21"/>
        <v>86 - 93</v>
      </c>
      <c r="K19" s="311">
        <f t="shared" si="22"/>
        <v>-0.3083700440528645</v>
      </c>
      <c r="L19" s="320">
        <f t="shared" si="9"/>
        <v>-8.0848701733399253E-2</v>
      </c>
      <c r="M19" s="320">
        <f t="shared" si="10"/>
        <v>7.4681300852341981E-2</v>
      </c>
      <c r="N19" s="313">
        <f t="shared" si="11"/>
        <v>0</v>
      </c>
      <c r="O19" s="306" t="str">
        <f t="shared" si="12"/>
        <v>Ninewells</v>
      </c>
      <c r="P19" s="306" t="s">
        <v>126</v>
      </c>
      <c r="Q19" s="425">
        <v>205</v>
      </c>
      <c r="R19" s="425">
        <v>227</v>
      </c>
      <c r="S19" s="425">
        <v>252</v>
      </c>
      <c r="T19" s="425">
        <v>280</v>
      </c>
    </row>
    <row r="20" spans="1:20" ht="12">
      <c r="A20" s="306" t="str">
        <f t="shared" si="13"/>
        <v>Hairmyres</v>
      </c>
      <c r="B20" s="307">
        <f t="shared" si="14"/>
        <v>93.45794392523365</v>
      </c>
      <c r="C20" s="307">
        <f t="shared" si="15"/>
        <v>89.380530973451329</v>
      </c>
      <c r="D20" s="307">
        <f>95</f>
        <v>95</v>
      </c>
      <c r="E20" s="308">
        <f t="shared" si="16"/>
        <v>89</v>
      </c>
      <c r="F20" s="308">
        <f t="shared" si="17"/>
        <v>96</v>
      </c>
      <c r="G20" s="308">
        <f t="shared" si="18"/>
        <v>85</v>
      </c>
      <c r="H20" s="308">
        <f t="shared" si="19"/>
        <v>93</v>
      </c>
      <c r="I20" s="314" t="str">
        <f t="shared" si="20"/>
        <v>89 - 96</v>
      </c>
      <c r="J20" s="310" t="str">
        <f t="shared" si="21"/>
        <v>85 - 93</v>
      </c>
      <c r="K20" s="311">
        <f t="shared" si="22"/>
        <v>-4.0774129517823212</v>
      </c>
      <c r="L20" s="320">
        <f t="shared" si="9"/>
        <v>-0.11846748475530901</v>
      </c>
      <c r="M20" s="320">
        <f t="shared" si="10"/>
        <v>3.6919225719662566E-2</v>
      </c>
      <c r="N20" s="313">
        <f t="shared" si="11"/>
        <v>0</v>
      </c>
      <c r="O20" s="306" t="str">
        <f t="shared" si="12"/>
        <v>Hairmyres</v>
      </c>
      <c r="P20" s="306" t="s">
        <v>103</v>
      </c>
      <c r="Q20" s="425">
        <v>200</v>
      </c>
      <c r="R20" s="425">
        <v>214</v>
      </c>
      <c r="S20" s="425">
        <v>202</v>
      </c>
      <c r="T20" s="425">
        <v>226</v>
      </c>
    </row>
    <row r="21" spans="1:20" ht="12">
      <c r="A21" s="306" t="str">
        <f t="shared" si="13"/>
        <v>L&amp;I</v>
      </c>
      <c r="B21" s="307">
        <f t="shared" si="14"/>
        <v>92</v>
      </c>
      <c r="C21" s="307">
        <f t="shared" si="15"/>
        <v>88.888888888888886</v>
      </c>
      <c r="D21" s="307">
        <f>95</f>
        <v>95</v>
      </c>
      <c r="E21" s="308">
        <f t="shared" si="16"/>
        <v>75</v>
      </c>
      <c r="F21" s="308">
        <f t="shared" si="17"/>
        <v>98</v>
      </c>
      <c r="G21" s="308">
        <f t="shared" si="18"/>
        <v>67</v>
      </c>
      <c r="H21" s="308">
        <f t="shared" si="19"/>
        <v>97</v>
      </c>
      <c r="I21" s="314" t="str">
        <f t="shared" si="20"/>
        <v>75 - 98</v>
      </c>
      <c r="J21" s="310" t="str">
        <f t="shared" si="21"/>
        <v>67 - 97</v>
      </c>
      <c r="K21" s="311">
        <f t="shared" si="22"/>
        <v>-3.1111111111111143</v>
      </c>
      <c r="L21" s="320">
        <f t="shared" si="9"/>
        <v>-0.29965471351172096</v>
      </c>
      <c r="M21" s="320">
        <f t="shared" si="10"/>
        <v>0.23743249128949856</v>
      </c>
      <c r="N21" s="313">
        <f t="shared" si="11"/>
        <v>0</v>
      </c>
      <c r="O21" s="306" t="str">
        <f t="shared" si="12"/>
        <v>L&amp;I</v>
      </c>
      <c r="P21" s="306" t="s">
        <v>97</v>
      </c>
      <c r="Q21" s="425">
        <v>23</v>
      </c>
      <c r="R21" s="425">
        <v>25</v>
      </c>
      <c r="S21" s="425">
        <v>16</v>
      </c>
      <c r="T21" s="425">
        <v>18</v>
      </c>
    </row>
    <row r="22" spans="1:20" ht="12">
      <c r="A22" s="306" t="str">
        <f t="shared" si="13"/>
        <v>ARI</v>
      </c>
      <c r="B22" s="307">
        <f t="shared" si="14"/>
        <v>89.722222222222229</v>
      </c>
      <c r="C22" s="307">
        <f t="shared" si="15"/>
        <v>88.378378378378372</v>
      </c>
      <c r="D22" s="307">
        <f>95</f>
        <v>95</v>
      </c>
      <c r="E22" s="308">
        <f t="shared" si="16"/>
        <v>86</v>
      </c>
      <c r="F22" s="308">
        <f t="shared" si="17"/>
        <v>92</v>
      </c>
      <c r="G22" s="308">
        <f t="shared" si="18"/>
        <v>85</v>
      </c>
      <c r="H22" s="308">
        <f t="shared" si="19"/>
        <v>91</v>
      </c>
      <c r="I22" s="314" t="str">
        <f t="shared" si="20"/>
        <v>86 - 92</v>
      </c>
      <c r="J22" s="310" t="str">
        <f t="shared" si="21"/>
        <v>85 - 91</v>
      </c>
      <c r="K22" s="311">
        <f t="shared" si="22"/>
        <v>-1.3438438438438567</v>
      </c>
      <c r="L22" s="320">
        <f t="shared" si="9"/>
        <v>-8.1006802395329661E-2</v>
      </c>
      <c r="M22" s="320">
        <f t="shared" si="10"/>
        <v>5.4129925518452651E-2</v>
      </c>
      <c r="N22" s="313">
        <f t="shared" si="11"/>
        <v>0</v>
      </c>
      <c r="O22" s="306" t="str">
        <f t="shared" si="12"/>
        <v>ARI</v>
      </c>
      <c r="P22" s="306" t="s">
        <v>77</v>
      </c>
      <c r="Q22" s="425">
        <v>323</v>
      </c>
      <c r="R22" s="425">
        <v>360</v>
      </c>
      <c r="S22" s="425">
        <v>327</v>
      </c>
      <c r="T22" s="425">
        <v>370</v>
      </c>
    </row>
    <row r="23" spans="1:20" ht="12">
      <c r="A23" s="306" t="str">
        <f t="shared" si="13"/>
        <v>Monklands</v>
      </c>
      <c r="B23" s="307">
        <f t="shared" si="14"/>
        <v>90.295358649789023</v>
      </c>
      <c r="C23" s="307">
        <f t="shared" si="15"/>
        <v>88.235294117647058</v>
      </c>
      <c r="D23" s="307">
        <f>95</f>
        <v>95</v>
      </c>
      <c r="E23" s="308">
        <f t="shared" si="16"/>
        <v>86</v>
      </c>
      <c r="F23" s="308">
        <f t="shared" si="17"/>
        <v>93</v>
      </c>
      <c r="G23" s="308">
        <f t="shared" si="18"/>
        <v>84</v>
      </c>
      <c r="H23" s="308">
        <f t="shared" si="19"/>
        <v>92</v>
      </c>
      <c r="I23" s="314" t="str">
        <f t="shared" si="20"/>
        <v>86 - 93</v>
      </c>
      <c r="J23" s="310" t="str">
        <f t="shared" si="21"/>
        <v>84 - 92</v>
      </c>
      <c r="K23" s="311">
        <f t="shared" si="22"/>
        <v>-2.0600645321419648</v>
      </c>
      <c r="L23" s="320">
        <f t="shared" si="9"/>
        <v>-0.10362716914632734</v>
      </c>
      <c r="M23" s="320">
        <f t="shared" si="10"/>
        <v>6.242587850348795E-2</v>
      </c>
      <c r="N23" s="313">
        <f t="shared" si="11"/>
        <v>0</v>
      </c>
      <c r="O23" s="306" t="str">
        <f t="shared" si="12"/>
        <v>Monklands</v>
      </c>
      <c r="P23" s="306" t="s">
        <v>106</v>
      </c>
      <c r="Q23" s="425">
        <v>214</v>
      </c>
      <c r="R23" s="425">
        <v>237</v>
      </c>
      <c r="S23" s="425">
        <v>210</v>
      </c>
      <c r="T23" s="425">
        <v>238</v>
      </c>
    </row>
    <row r="24" spans="1:20" ht="12">
      <c r="A24" s="306" t="str">
        <f t="shared" si="13"/>
        <v>Crosshouse</v>
      </c>
      <c r="B24" s="307">
        <f t="shared" si="14"/>
        <v>87.826086956521749</v>
      </c>
      <c r="C24" s="307">
        <f t="shared" si="15"/>
        <v>87.777777777777771</v>
      </c>
      <c r="D24" s="307">
        <f>95</f>
        <v>95</v>
      </c>
      <c r="E24" s="308">
        <f t="shared" si="16"/>
        <v>83</v>
      </c>
      <c r="F24" s="308">
        <f t="shared" si="17"/>
        <v>91</v>
      </c>
      <c r="G24" s="308">
        <f t="shared" si="18"/>
        <v>83</v>
      </c>
      <c r="H24" s="308">
        <f t="shared" si="19"/>
        <v>91</v>
      </c>
      <c r="I24" s="314" t="str">
        <f t="shared" si="20"/>
        <v>83 - 91</v>
      </c>
      <c r="J24" s="310" t="str">
        <f t="shared" si="21"/>
        <v>83 - 91</v>
      </c>
      <c r="K24" s="311">
        <f t="shared" si="22"/>
        <v>-4.8309178743977554E-2</v>
      </c>
      <c r="L24" s="320">
        <f t="shared" si="9"/>
        <v>-8.6361323845296642E-2</v>
      </c>
      <c r="M24" s="320">
        <f t="shared" si="10"/>
        <v>8.5395140270417322E-2</v>
      </c>
      <c r="N24" s="313">
        <f t="shared" si="11"/>
        <v>0</v>
      </c>
      <c r="O24" s="306" t="str">
        <f t="shared" si="12"/>
        <v>Crosshouse</v>
      </c>
      <c r="P24" s="306" t="s">
        <v>62</v>
      </c>
      <c r="Q24" s="425">
        <v>202</v>
      </c>
      <c r="R24" s="425">
        <v>230</v>
      </c>
      <c r="S24" s="425">
        <v>237</v>
      </c>
      <c r="T24" s="425">
        <v>270</v>
      </c>
    </row>
    <row r="25" spans="1:20" ht="12">
      <c r="A25" s="306" t="str">
        <f t="shared" si="13"/>
        <v>QEUH</v>
      </c>
      <c r="B25" s="307">
        <f t="shared" si="14"/>
        <v>86.449864498644985</v>
      </c>
      <c r="C25" s="307">
        <f t="shared" si="15"/>
        <v>87.405159332321702</v>
      </c>
      <c r="D25" s="307">
        <f>95</f>
        <v>95</v>
      </c>
      <c r="E25" s="308">
        <f t="shared" si="16"/>
        <v>84</v>
      </c>
      <c r="F25" s="308">
        <f t="shared" si="17"/>
        <v>89</v>
      </c>
      <c r="G25" s="308">
        <f t="shared" si="18"/>
        <v>85</v>
      </c>
      <c r="H25" s="308">
        <f t="shared" si="19"/>
        <v>90</v>
      </c>
      <c r="I25" s="314" t="str">
        <f t="shared" si="20"/>
        <v>84 - 89</v>
      </c>
      <c r="J25" s="310" t="str">
        <f t="shared" si="21"/>
        <v>85 - 90</v>
      </c>
      <c r="K25" s="311">
        <f t="shared" si="22"/>
        <v>0.9552948336767173</v>
      </c>
      <c r="L25" s="320">
        <f t="shared" si="9"/>
        <v>-4.3235139281836046E-2</v>
      </c>
      <c r="M25" s="320">
        <f t="shared" si="10"/>
        <v>6.2341035955370286E-2</v>
      </c>
      <c r="N25" s="313">
        <f t="shared" si="11"/>
        <v>0</v>
      </c>
      <c r="O25" s="306" t="str">
        <f t="shared" si="12"/>
        <v>QEUH</v>
      </c>
      <c r="P25" s="306" t="s">
        <v>503</v>
      </c>
      <c r="Q25" s="425">
        <v>638</v>
      </c>
      <c r="R25" s="425">
        <v>738</v>
      </c>
      <c r="S25" s="425">
        <v>576</v>
      </c>
      <c r="T25" s="425">
        <v>659</v>
      </c>
    </row>
    <row r="26" spans="1:20" ht="12">
      <c r="A26" s="306" t="str">
        <f t="shared" si="13"/>
        <v>RIE</v>
      </c>
      <c r="B26" s="307">
        <f t="shared" si="14"/>
        <v>87.126865671641795</v>
      </c>
      <c r="C26" s="307">
        <f t="shared" si="15"/>
        <v>86.688851913477535</v>
      </c>
      <c r="D26" s="307">
        <f>95</f>
        <v>95</v>
      </c>
      <c r="E26" s="308">
        <f t="shared" si="16"/>
        <v>84</v>
      </c>
      <c r="F26" s="308">
        <f t="shared" si="17"/>
        <v>90</v>
      </c>
      <c r="G26" s="308">
        <f t="shared" si="18"/>
        <v>84</v>
      </c>
      <c r="H26" s="308">
        <f t="shared" si="19"/>
        <v>89</v>
      </c>
      <c r="I26" s="314" t="str">
        <f t="shared" si="20"/>
        <v>84 - 90</v>
      </c>
      <c r="J26" s="310" t="str">
        <f t="shared" si="21"/>
        <v>84 - 89</v>
      </c>
      <c r="K26" s="311">
        <f t="shared" si="22"/>
        <v>-0.43801375816426003</v>
      </c>
      <c r="L26" s="320">
        <f t="shared" si="9"/>
        <v>-6.2965070157156355E-2</v>
      </c>
      <c r="M26" s="320">
        <f t="shared" si="10"/>
        <v>5.4204794993871208E-2</v>
      </c>
      <c r="N26" s="313">
        <f t="shared" si="11"/>
        <v>0</v>
      </c>
      <c r="O26" s="306" t="str">
        <f t="shared" si="12"/>
        <v>RIE</v>
      </c>
      <c r="P26" s="306" t="s">
        <v>111</v>
      </c>
      <c r="Q26" s="425">
        <v>467</v>
      </c>
      <c r="R26" s="425">
        <v>536</v>
      </c>
      <c r="S26" s="425">
        <v>521</v>
      </c>
      <c r="T26" s="425">
        <v>601</v>
      </c>
    </row>
    <row r="27" spans="1:20" ht="12">
      <c r="A27" s="306" t="str">
        <f t="shared" si="13"/>
        <v>Belford</v>
      </c>
      <c r="B27" s="307">
        <f t="shared" si="14"/>
        <v>86.666666666666671</v>
      </c>
      <c r="C27" s="307">
        <f t="shared" si="15"/>
        <v>86.666666666666671</v>
      </c>
      <c r="D27" s="307">
        <f>95</f>
        <v>95</v>
      </c>
      <c r="E27" s="308">
        <f t="shared" si="16"/>
        <v>62</v>
      </c>
      <c r="F27" s="308">
        <f t="shared" si="17"/>
        <v>96</v>
      </c>
      <c r="G27" s="308">
        <f t="shared" si="18"/>
        <v>62</v>
      </c>
      <c r="H27" s="308">
        <f t="shared" si="19"/>
        <v>96</v>
      </c>
      <c r="I27" s="314" t="str">
        <f t="shared" si="20"/>
        <v>62 - 96</v>
      </c>
      <c r="J27" s="310" t="str">
        <f t="shared" si="21"/>
        <v>62 - 96</v>
      </c>
      <c r="K27" s="311">
        <f t="shared" si="22"/>
        <v>0</v>
      </c>
      <c r="L27" s="320">
        <f t="shared" si="9"/>
        <v>-0.36302861743079473</v>
      </c>
      <c r="M27" s="320">
        <f t="shared" si="10"/>
        <v>0.36302861743079473</v>
      </c>
      <c r="N27" s="313">
        <f t="shared" si="11"/>
        <v>0</v>
      </c>
      <c r="O27" s="306" t="str">
        <f t="shared" si="12"/>
        <v>Belford</v>
      </c>
      <c r="P27" s="306" t="s">
        <v>91</v>
      </c>
      <c r="Q27" s="425">
        <v>13</v>
      </c>
      <c r="R27" s="425">
        <v>15</v>
      </c>
      <c r="S27" s="425">
        <v>13</v>
      </c>
      <c r="T27" s="425">
        <v>15</v>
      </c>
    </row>
    <row r="28" spans="1:20" ht="12">
      <c r="A28" s="306" t="str">
        <f t="shared" si="13"/>
        <v>RAH</v>
      </c>
      <c r="B28" s="307">
        <f t="shared" si="14"/>
        <v>75.342465753424662</v>
      </c>
      <c r="C28" s="307">
        <f t="shared" si="15"/>
        <v>86.181818181818187</v>
      </c>
      <c r="D28" s="307">
        <f>95</f>
        <v>95</v>
      </c>
      <c r="E28" s="308">
        <f t="shared" si="16"/>
        <v>70</v>
      </c>
      <c r="F28" s="308">
        <f t="shared" si="17"/>
        <v>80</v>
      </c>
      <c r="G28" s="308">
        <f t="shared" si="18"/>
        <v>82</v>
      </c>
      <c r="H28" s="308">
        <f t="shared" si="19"/>
        <v>90</v>
      </c>
      <c r="I28" s="314" t="str">
        <f t="shared" si="20"/>
        <v>70 - 80</v>
      </c>
      <c r="J28" s="310" t="str">
        <f t="shared" si="21"/>
        <v>82 - 90</v>
      </c>
      <c r="K28" s="311">
        <f t="shared" si="22"/>
        <v>10.839352428393525</v>
      </c>
      <c r="L28" s="320">
        <f t="shared" si="9"/>
        <v>1.2758116028790956E-2</v>
      </c>
      <c r="M28" s="320">
        <f t="shared" si="10"/>
        <v>0.2040289325390795</v>
      </c>
      <c r="N28" s="313">
        <f t="shared" si="11"/>
        <v>1</v>
      </c>
      <c r="O28" s="306" t="str">
        <f t="shared" si="12"/>
        <v>RAH</v>
      </c>
      <c r="P28" s="306" t="s">
        <v>87</v>
      </c>
      <c r="Q28" s="425">
        <v>220</v>
      </c>
      <c r="R28" s="425">
        <v>292</v>
      </c>
      <c r="S28" s="425">
        <v>237</v>
      </c>
      <c r="T28" s="425">
        <v>275</v>
      </c>
    </row>
    <row r="29" spans="1:20" ht="12">
      <c r="A29" s="306" t="str">
        <f t="shared" si="13"/>
        <v>WGH</v>
      </c>
      <c r="B29" s="307">
        <f t="shared" si="14"/>
        <v>80.568720379146924</v>
      </c>
      <c r="C29" s="307">
        <f t="shared" si="15"/>
        <v>83.333333333333343</v>
      </c>
      <c r="D29" s="307">
        <f>95</f>
        <v>95</v>
      </c>
      <c r="E29" s="308">
        <f t="shared" si="16"/>
        <v>75</v>
      </c>
      <c r="F29" s="308">
        <f t="shared" si="17"/>
        <v>85</v>
      </c>
      <c r="G29" s="308">
        <f t="shared" si="18"/>
        <v>77</v>
      </c>
      <c r="H29" s="308">
        <f t="shared" si="19"/>
        <v>88</v>
      </c>
      <c r="I29" s="314" t="str">
        <f t="shared" si="20"/>
        <v>75 - 85</v>
      </c>
      <c r="J29" s="310" t="str">
        <f t="shared" si="21"/>
        <v>77 - 88</v>
      </c>
      <c r="K29" s="311">
        <f t="shared" si="22"/>
        <v>2.7646129541864184</v>
      </c>
      <c r="L29" s="320">
        <f t="shared" si="9"/>
        <v>-8.7132722286594105E-2</v>
      </c>
      <c r="M29" s="320">
        <f t="shared" si="10"/>
        <v>0.14242498137032247</v>
      </c>
      <c r="N29" s="313">
        <f t="shared" si="11"/>
        <v>0</v>
      </c>
      <c r="O29" s="306" t="str">
        <f t="shared" si="12"/>
        <v>WGH</v>
      </c>
      <c r="P29" s="306" t="s">
        <v>117</v>
      </c>
      <c r="Q29" s="425">
        <v>170</v>
      </c>
      <c r="R29" s="425">
        <v>211</v>
      </c>
      <c r="S29" s="425">
        <v>145</v>
      </c>
      <c r="T29" s="425">
        <v>174</v>
      </c>
    </row>
    <row r="30" spans="1:20" ht="12">
      <c r="A30" s="306" t="str">
        <f t="shared" si="13"/>
        <v>Balfour</v>
      </c>
      <c r="B30" s="307">
        <f t="shared" si="14"/>
        <v>81.818181818181827</v>
      </c>
      <c r="C30" s="307">
        <f t="shared" si="15"/>
        <v>80.769230769230774</v>
      </c>
      <c r="D30" s="307">
        <f>95</f>
        <v>95</v>
      </c>
      <c r="E30" s="308">
        <f t="shared" si="16"/>
        <v>61</v>
      </c>
      <c r="F30" s="308">
        <f t="shared" si="17"/>
        <v>93</v>
      </c>
      <c r="G30" s="308">
        <f t="shared" si="18"/>
        <v>62</v>
      </c>
      <c r="H30" s="308">
        <f t="shared" si="19"/>
        <v>91</v>
      </c>
      <c r="I30" s="314" t="str">
        <f t="shared" si="20"/>
        <v>61 - 93</v>
      </c>
      <c r="J30" s="310" t="str">
        <f t="shared" si="21"/>
        <v>62 - 91</v>
      </c>
      <c r="K30" s="311">
        <f t="shared" si="22"/>
        <v>-1.0489510489510536</v>
      </c>
      <c r="L30" s="320">
        <f t="shared" si="9"/>
        <v>-0.34054784710553831</v>
      </c>
      <c r="M30" s="320">
        <f t="shared" si="10"/>
        <v>0.31956882612651727</v>
      </c>
      <c r="N30" s="313">
        <f t="shared" si="11"/>
        <v>0</v>
      </c>
      <c r="O30" s="306" t="str">
        <f t="shared" si="12"/>
        <v>Balfour</v>
      </c>
      <c r="P30" s="306" t="s">
        <v>120</v>
      </c>
      <c r="Q30" s="425">
        <v>18</v>
      </c>
      <c r="R30" s="425">
        <v>22</v>
      </c>
      <c r="S30" s="425">
        <v>21</v>
      </c>
      <c r="T30" s="425">
        <v>26</v>
      </c>
    </row>
    <row r="31" spans="1:20" ht="12">
      <c r="A31" s="306" t="str">
        <f t="shared" si="13"/>
        <v>Ayr</v>
      </c>
      <c r="B31" s="307">
        <f t="shared" si="14"/>
        <v>74.778761061946909</v>
      </c>
      <c r="C31" s="307">
        <f t="shared" si="15"/>
        <v>79.032258064516128</v>
      </c>
      <c r="D31" s="307">
        <f>95</f>
        <v>95</v>
      </c>
      <c r="E31" s="308">
        <f t="shared" si="16"/>
        <v>69</v>
      </c>
      <c r="F31" s="308">
        <f t="shared" si="17"/>
        <v>80</v>
      </c>
      <c r="G31" s="308">
        <f t="shared" si="18"/>
        <v>73</v>
      </c>
      <c r="H31" s="308">
        <f t="shared" si="19"/>
        <v>84</v>
      </c>
      <c r="I31" s="314" t="str">
        <f t="shared" si="20"/>
        <v>69 - 80</v>
      </c>
      <c r="J31" s="310" t="str">
        <f t="shared" si="21"/>
        <v>73 - 84</v>
      </c>
      <c r="K31" s="311">
        <f t="shared" si="22"/>
        <v>4.2534970025692189</v>
      </c>
      <c r="L31" s="320">
        <f t="shared" si="9"/>
        <v>-7.8951251000221212E-2</v>
      </c>
      <c r="M31" s="320">
        <f t="shared" si="10"/>
        <v>0.16402119105160556</v>
      </c>
      <c r="N31" s="313">
        <f t="shared" si="11"/>
        <v>0</v>
      </c>
      <c r="O31" s="306" t="str">
        <f t="shared" si="12"/>
        <v>Ayr</v>
      </c>
      <c r="P31" s="306" t="s">
        <v>60</v>
      </c>
      <c r="Q31" s="425">
        <v>169</v>
      </c>
      <c r="R31" s="425">
        <v>226</v>
      </c>
      <c r="S31" s="425">
        <v>147</v>
      </c>
      <c r="T31" s="425">
        <v>186</v>
      </c>
    </row>
    <row r="33" spans="15:24" ht="15">
      <c r="O33"/>
      <c r="P33"/>
      <c r="Q33"/>
      <c r="R33"/>
      <c r="S33"/>
      <c r="T33"/>
      <c r="U33"/>
      <c r="V33"/>
      <c r="W33"/>
      <c r="X33"/>
    </row>
    <row r="34" spans="15:24" ht="15">
      <c r="O34"/>
      <c r="P34"/>
      <c r="Q34"/>
      <c r="R34"/>
      <c r="S34"/>
      <c r="T34"/>
      <c r="U34"/>
      <c r="V34"/>
      <c r="W34"/>
      <c r="X34"/>
    </row>
    <row r="35" spans="15:24" ht="15">
      <c r="O35"/>
      <c r="P35"/>
      <c r="Q35"/>
      <c r="R35"/>
      <c r="S35"/>
      <c r="T35"/>
      <c r="U35"/>
      <c r="V35"/>
      <c r="W35"/>
      <c r="X35"/>
    </row>
    <row r="36" spans="15:24" ht="15">
      <c r="O36"/>
      <c r="P36"/>
      <c r="Q36"/>
      <c r="R36"/>
      <c r="S36"/>
      <c r="T36"/>
      <c r="U36"/>
      <c r="V36"/>
      <c r="W36"/>
      <c r="X36"/>
    </row>
    <row r="37" spans="15:24" ht="15">
      <c r="O37"/>
      <c r="P37"/>
      <c r="Q37"/>
      <c r="R37"/>
      <c r="S37"/>
      <c r="T37"/>
      <c r="U37"/>
      <c r="V37"/>
      <c r="W37"/>
      <c r="X37"/>
    </row>
    <row r="38" spans="15:24" ht="15">
      <c r="O38"/>
      <c r="P38"/>
      <c r="Q38"/>
      <c r="R38"/>
      <c r="S38"/>
      <c r="T38"/>
      <c r="U38"/>
      <c r="V38"/>
      <c r="W38"/>
      <c r="X38"/>
    </row>
    <row r="39" spans="15:24" ht="15">
      <c r="O39"/>
      <c r="P39"/>
      <c r="Q39"/>
      <c r="R39"/>
      <c r="S39"/>
      <c r="T39"/>
      <c r="U39"/>
      <c r="V39"/>
      <c r="W39"/>
      <c r="X39"/>
    </row>
    <row r="40" spans="15:24" ht="15">
      <c r="O40"/>
      <c r="P40"/>
      <c r="Q40"/>
      <c r="R40"/>
      <c r="S40"/>
      <c r="T40"/>
      <c r="U40"/>
      <c r="V40"/>
      <c r="W40"/>
      <c r="X40"/>
    </row>
    <row r="41" spans="15:24" ht="15">
      <c r="O41"/>
      <c r="P41"/>
      <c r="Q41"/>
      <c r="R41"/>
      <c r="S41"/>
      <c r="T41"/>
      <c r="U41"/>
      <c r="V41"/>
      <c r="W41"/>
      <c r="X41"/>
    </row>
    <row r="42" spans="15:24" ht="15">
      <c r="O42"/>
      <c r="P42"/>
      <c r="Q42"/>
      <c r="R42"/>
      <c r="S42"/>
      <c r="T42"/>
      <c r="U42"/>
      <c r="V42"/>
      <c r="W42"/>
      <c r="X42"/>
    </row>
    <row r="43" spans="15:24" ht="15">
      <c r="O43"/>
      <c r="P43"/>
      <c r="Q43"/>
      <c r="R43"/>
      <c r="S43"/>
      <c r="T43"/>
      <c r="U43"/>
      <c r="V43"/>
      <c r="W43"/>
      <c r="X43"/>
    </row>
    <row r="44" spans="15:24" ht="15">
      <c r="O44"/>
      <c r="P44"/>
      <c r="Q44"/>
      <c r="R44"/>
      <c r="S44"/>
      <c r="T44"/>
      <c r="U44"/>
      <c r="V44"/>
      <c r="W44"/>
      <c r="X44"/>
    </row>
    <row r="45" spans="15:24" ht="15">
      <c r="O45"/>
      <c r="P45"/>
      <c r="Q45"/>
      <c r="R45"/>
      <c r="S45"/>
      <c r="T45"/>
      <c r="U45"/>
      <c r="V45"/>
      <c r="W45"/>
      <c r="X45"/>
    </row>
    <row r="46" spans="15:24" ht="15">
      <c r="O46"/>
      <c r="P46"/>
      <c r="Q46"/>
      <c r="R46"/>
      <c r="S46"/>
      <c r="T46"/>
      <c r="U46"/>
      <c r="V46"/>
      <c r="W46"/>
      <c r="X46"/>
    </row>
    <row r="47" spans="15:24" ht="15">
      <c r="O47"/>
      <c r="P47"/>
      <c r="Q47"/>
      <c r="R47"/>
      <c r="S47"/>
      <c r="T47"/>
      <c r="U47"/>
      <c r="V47"/>
      <c r="W47"/>
      <c r="X47"/>
    </row>
    <row r="48" spans="15:24" ht="15">
      <c r="O48"/>
      <c r="P48"/>
      <c r="Q48"/>
      <c r="R48"/>
      <c r="S48"/>
      <c r="T48"/>
      <c r="U48"/>
      <c r="V48"/>
      <c r="W48"/>
      <c r="X48"/>
    </row>
    <row r="49" spans="15:24" ht="15">
      <c r="O49"/>
      <c r="P49"/>
      <c r="Q49"/>
      <c r="R49"/>
      <c r="S49"/>
      <c r="T49"/>
      <c r="U49"/>
      <c r="V49"/>
      <c r="W49"/>
      <c r="X49"/>
    </row>
    <row r="50" spans="15:24" ht="15">
      <c r="O50"/>
      <c r="P50"/>
      <c r="Q50"/>
      <c r="R50"/>
      <c r="S50"/>
      <c r="T50"/>
      <c r="U50"/>
      <c r="V50"/>
      <c r="W50"/>
      <c r="X50"/>
    </row>
    <row r="51" spans="15:24" ht="15">
      <c r="O51"/>
      <c r="P51"/>
      <c r="Q51"/>
      <c r="R51"/>
      <c r="S51"/>
      <c r="T51"/>
      <c r="U51"/>
      <c r="V51"/>
      <c r="W51"/>
      <c r="X51"/>
    </row>
    <row r="52" spans="15:24" ht="15">
      <c r="O52"/>
      <c r="P52"/>
      <c r="Q52"/>
      <c r="R52"/>
      <c r="S52"/>
      <c r="T52"/>
      <c r="U52"/>
      <c r="V52"/>
      <c r="W52"/>
      <c r="X52"/>
    </row>
    <row r="53" spans="15:24" ht="15">
      <c r="O53"/>
      <c r="P53"/>
      <c r="Q53"/>
      <c r="R53"/>
      <c r="S53"/>
      <c r="T53"/>
      <c r="U53"/>
      <c r="V53"/>
      <c r="W53"/>
      <c r="X53"/>
    </row>
    <row r="54" spans="15:24" ht="15">
      <c r="O54"/>
      <c r="P54"/>
      <c r="Q54"/>
      <c r="R54"/>
      <c r="S54"/>
      <c r="T54"/>
      <c r="U54"/>
      <c r="V54"/>
      <c r="W54"/>
      <c r="X54"/>
    </row>
    <row r="55" spans="15:24" ht="15">
      <c r="O55"/>
      <c r="P55"/>
      <c r="Q55"/>
      <c r="R55"/>
      <c r="S55"/>
      <c r="T55"/>
      <c r="U55"/>
      <c r="V55"/>
      <c r="W55"/>
      <c r="X55"/>
    </row>
    <row r="56" spans="15:24" ht="15">
      <c r="O56"/>
      <c r="P56"/>
      <c r="Q56"/>
      <c r="R56"/>
      <c r="S56"/>
      <c r="T56"/>
      <c r="U56"/>
      <c r="V56"/>
      <c r="W56"/>
      <c r="X56"/>
    </row>
    <row r="57" spans="15:24" ht="15">
      <c r="O57"/>
      <c r="P57"/>
      <c r="Q57"/>
      <c r="R57"/>
      <c r="S57"/>
      <c r="T57"/>
      <c r="U57"/>
      <c r="V57"/>
      <c r="W57"/>
      <c r="X57"/>
    </row>
    <row r="58" spans="15:24" ht="15">
      <c r="O58"/>
      <c r="P58"/>
      <c r="Q58"/>
      <c r="R58"/>
      <c r="S58"/>
      <c r="T58"/>
      <c r="U58"/>
      <c r="V58"/>
      <c r="W58"/>
      <c r="X58"/>
    </row>
    <row r="59" spans="15:24" ht="15">
      <c r="O59"/>
      <c r="P59"/>
      <c r="Q59"/>
      <c r="R59"/>
      <c r="S59"/>
      <c r="T59"/>
      <c r="U59"/>
      <c r="V59"/>
      <c r="W59"/>
      <c r="X59"/>
    </row>
    <row r="60" spans="15:24" ht="15">
      <c r="O60"/>
      <c r="P60"/>
      <c r="Q60"/>
      <c r="R60"/>
      <c r="S60"/>
      <c r="T60"/>
      <c r="U60"/>
      <c r="V60"/>
      <c r="W60"/>
      <c r="X60"/>
    </row>
    <row r="61" spans="15:24" ht="15">
      <c r="O61"/>
      <c r="P61"/>
      <c r="Q61"/>
      <c r="R61"/>
      <c r="S61"/>
      <c r="T61"/>
      <c r="U61"/>
      <c r="V61"/>
      <c r="W61"/>
      <c r="X61"/>
    </row>
    <row r="62" spans="15:24" ht="15">
      <c r="O62"/>
      <c r="P62"/>
      <c r="Q62"/>
      <c r="R62"/>
      <c r="S62"/>
      <c r="T62"/>
      <c r="U62"/>
      <c r="V62"/>
      <c r="W62"/>
      <c r="X62"/>
    </row>
  </sheetData>
  <sheetProtection password="B8D9" sheet="1" objects="1" scenarios="1"/>
  <sortState ref="A4:T34">
    <sortCondition descending="1" ref="C4:C34"/>
  </sortState>
  <mergeCells count="7">
    <mergeCell ref="A1:A2"/>
    <mergeCell ref="B1:H1"/>
    <mergeCell ref="O1:P1"/>
    <mergeCell ref="Q1:R1"/>
    <mergeCell ref="S1:T1"/>
    <mergeCell ref="E2:F2"/>
    <mergeCell ref="G2:H2"/>
  </mergeCells>
  <conditionalFormatting sqref="A3:A31">
    <cfRule type="expression" dxfId="15" priority="1" stopIfTrue="1">
      <formula>N3=-1</formula>
    </cfRule>
    <cfRule type="expression" dxfId="14" priority="2" stopIfTrue="1">
      <formula>N3=0</formula>
    </cfRule>
    <cfRule type="expression" dxfId="13" priority="3" stopIfTrue="1">
      <formula>N3=1</formula>
    </cfRule>
  </conditionalFormatting>
  <printOptions horizontalCentered="1"/>
  <pageMargins left="0" right="0" top="0.74803149606299213" bottom="0.74803149606299213" header="0.31496062992125984" footer="0.31496062992125984"/>
  <pageSetup paperSize="9" scale="59" orientation="landscape" r:id="rId1"/>
  <headerFooter alignWithMargins="0">
    <oddHeader>&amp;LChart 2d DATA
Percentage of acute ischaemic stroke patients given aspirin in hospital within 1 day of admission, 2014 and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31.xml><?xml version="1.0" encoding="utf-8"?>
<worksheet xmlns="http://schemas.openxmlformats.org/spreadsheetml/2006/main" xmlns:r="http://schemas.openxmlformats.org/officeDocument/2006/relationships">
  <sheetPr codeName="Sheet26">
    <pageSetUpPr fitToPage="1"/>
  </sheetPr>
  <dimension ref="B1:T42"/>
  <sheetViews>
    <sheetView workbookViewId="0"/>
  </sheetViews>
  <sheetFormatPr defaultRowHeight="12.75"/>
  <cols>
    <col min="1" max="1" width="2.7109375" style="336" customWidth="1"/>
    <col min="2" max="16384" width="9.140625" style="336"/>
  </cols>
  <sheetData>
    <row r="1" spans="2:20" s="579" customFormat="1">
      <c r="B1" s="26" t="s">
        <v>534</v>
      </c>
      <c r="C1" s="26"/>
      <c r="D1" s="26"/>
      <c r="E1" s="26"/>
      <c r="F1" s="26"/>
      <c r="G1" s="26"/>
      <c r="H1" s="26"/>
      <c r="I1" s="26"/>
      <c r="J1" s="26"/>
      <c r="K1" s="26"/>
      <c r="L1" s="26"/>
      <c r="M1" s="26"/>
      <c r="N1" s="26"/>
      <c r="O1" s="26"/>
      <c r="P1" s="26"/>
      <c r="Q1" s="26"/>
      <c r="R1" s="26"/>
      <c r="S1" s="26"/>
      <c r="T1" s="26"/>
    </row>
    <row r="2" spans="2:20" s="579" customFormat="1" ht="12.75" customHeight="1">
      <c r="B2" s="835"/>
      <c r="C2" s="835"/>
      <c r="D2" s="835"/>
      <c r="E2" s="835"/>
      <c r="F2" s="835"/>
      <c r="G2" s="835"/>
      <c r="H2" s="835"/>
      <c r="I2" s="835"/>
      <c r="J2" s="27"/>
      <c r="K2" s="27"/>
      <c r="L2" s="27"/>
      <c r="O2" s="27"/>
      <c r="P2" s="27"/>
      <c r="Q2" s="28"/>
      <c r="R2" s="803"/>
      <c r="S2" s="803"/>
      <c r="T2" s="803"/>
    </row>
    <row r="3" spans="2:20" s="579" customFormat="1" ht="12.75" customHeight="1">
      <c r="B3" s="397" t="s">
        <v>47</v>
      </c>
      <c r="C3" s="29"/>
      <c r="D3" s="29"/>
      <c r="E3" s="29"/>
      <c r="F3" s="29"/>
      <c r="G3" s="29"/>
      <c r="H3" s="29"/>
      <c r="I3" s="29"/>
      <c r="J3" s="29"/>
      <c r="K3" s="569"/>
      <c r="L3" s="92"/>
      <c r="O3" s="589"/>
      <c r="P3" s="802" t="s">
        <v>48</v>
      </c>
      <c r="Q3" s="29"/>
      <c r="R3" s="572"/>
      <c r="S3" s="572"/>
      <c r="T3" s="572"/>
    </row>
    <row r="4" spans="2:20" s="579" customFormat="1" ht="15" customHeight="1">
      <c r="B4" s="836" t="s">
        <v>310</v>
      </c>
      <c r="C4" s="836"/>
      <c r="D4" s="836"/>
      <c r="E4" s="836"/>
      <c r="F4" s="836"/>
      <c r="G4" s="836"/>
      <c r="H4" s="836"/>
      <c r="I4" s="836"/>
      <c r="J4" s="836"/>
      <c r="K4" s="836"/>
      <c r="L4" s="836"/>
      <c r="O4" s="589"/>
      <c r="P4" s="802"/>
      <c r="Q4" s="29"/>
      <c r="R4" s="572"/>
      <c r="S4" s="572"/>
      <c r="T4" s="572"/>
    </row>
    <row r="5" spans="2:20" s="579" customFormat="1" ht="15" customHeight="1">
      <c r="B5" s="836"/>
      <c r="C5" s="836"/>
      <c r="D5" s="836"/>
      <c r="E5" s="836"/>
      <c r="F5" s="836"/>
      <c r="G5" s="836"/>
      <c r="H5" s="836"/>
      <c r="I5" s="836"/>
      <c r="J5" s="836"/>
      <c r="K5" s="836"/>
      <c r="L5" s="836"/>
      <c r="M5" s="571"/>
      <c r="N5" s="571"/>
      <c r="O5" s="589"/>
      <c r="P5" s="802"/>
      <c r="Q5" s="29"/>
      <c r="R5" s="572"/>
      <c r="S5" s="572"/>
      <c r="T5" s="572"/>
    </row>
    <row r="6" spans="2:20" s="579" customFormat="1" ht="15" customHeight="1">
      <c r="B6" s="836"/>
      <c r="C6" s="836"/>
      <c r="D6" s="836"/>
      <c r="E6" s="836"/>
      <c r="F6" s="836"/>
      <c r="G6" s="836"/>
      <c r="H6" s="836"/>
      <c r="I6" s="836"/>
      <c r="J6" s="836"/>
      <c r="K6" s="836"/>
      <c r="L6" s="836"/>
      <c r="M6" s="571"/>
      <c r="N6" s="571"/>
      <c r="O6" s="30"/>
      <c r="P6" s="802"/>
      <c r="Q6" s="29"/>
      <c r="R6" s="572"/>
      <c r="S6" s="572"/>
      <c r="T6" s="572"/>
    </row>
    <row r="8" spans="2:20">
      <c r="Q8" s="727" t="s">
        <v>750</v>
      </c>
    </row>
    <row r="41" spans="2:17" s="579" customFormat="1">
      <c r="B41" s="32" t="s">
        <v>453</v>
      </c>
      <c r="C41" s="33"/>
      <c r="D41" s="34"/>
      <c r="E41" s="34"/>
      <c r="F41" s="34"/>
      <c r="G41" s="34"/>
      <c r="H41" s="34"/>
      <c r="I41" s="34"/>
      <c r="J41" s="34"/>
      <c r="K41" s="34"/>
      <c r="L41" s="569"/>
      <c r="M41" s="569"/>
      <c r="N41" s="35"/>
      <c r="O41" s="35"/>
      <c r="P41" s="35"/>
      <c r="Q41" s="35"/>
    </row>
    <row r="42" spans="2:17" s="579" customFormat="1" ht="35.25" customHeight="1">
      <c r="B42" s="833" t="s">
        <v>0</v>
      </c>
      <c r="C42" s="834"/>
      <c r="D42" s="834"/>
      <c r="E42" s="834"/>
      <c r="F42" s="834"/>
      <c r="G42" s="834"/>
      <c r="H42" s="834"/>
      <c r="I42" s="834"/>
      <c r="J42" s="834"/>
      <c r="K42" s="834"/>
      <c r="L42" s="834"/>
      <c r="M42" s="834"/>
    </row>
  </sheetData>
  <sheetProtection password="B8D9" sheet="1" objects="1" scenarios="1"/>
  <mergeCells count="5">
    <mergeCell ref="B42:M42"/>
    <mergeCell ref="B2:I2"/>
    <mergeCell ref="R2:T2"/>
    <mergeCell ref="B4:L6"/>
    <mergeCell ref="P3:P6"/>
  </mergeCells>
  <hyperlinks>
    <hyperlink ref="P3" location="'List of Tables &amp; Charts'!A1" display="return to List of Tables &amp; Charts"/>
    <hyperlink ref="Q8" location="'Chart 3 (2015) DATA'!A1" display="view Chart 3 data"/>
  </hyperlinks>
  <pageMargins left="0.70866141732283472" right="0.70866141732283472" top="0.74803149606299213" bottom="0.74803149606299213" header="0.31496062992125984" footer="0.31496062992125984"/>
  <pageSetup scale="69" orientation="landscape" r:id="rId1"/>
  <headerFooter>
    <oddFooter>&amp;LScottish Stroke Care Audit &amp;8 2016 National Report
Stroke Services in Scottish Hospitals, Data relating to 2015&amp;R&amp;8© NHS National Services Scotland/Crown Copyright</oddFooter>
  </headerFooter>
  <drawing r:id="rId2"/>
</worksheet>
</file>

<file path=xl/worksheets/sheet32.xml><?xml version="1.0" encoding="utf-8"?>
<worksheet xmlns="http://schemas.openxmlformats.org/spreadsheetml/2006/main" xmlns:r="http://schemas.openxmlformats.org/officeDocument/2006/relationships">
  <sheetPr codeName="Sheet27"/>
  <dimension ref="A1:T55"/>
  <sheetViews>
    <sheetView showGridLines="0" workbookViewId="0">
      <selection sqref="A1:B1"/>
    </sheetView>
  </sheetViews>
  <sheetFormatPr defaultRowHeight="12.75"/>
  <cols>
    <col min="1" max="1" width="16.7109375" style="579" customWidth="1"/>
    <col min="2" max="2" width="45.7109375" style="579" bestFit="1" customWidth="1"/>
    <col min="3" max="3" width="6.7109375" style="569" customWidth="1"/>
    <col min="4" max="4" width="10.7109375" style="569" customWidth="1"/>
    <col min="5" max="5" width="6.7109375" style="569" customWidth="1"/>
    <col min="6" max="6" width="10.7109375" style="569" customWidth="1"/>
    <col min="7" max="7" width="6.7109375" style="569" customWidth="1"/>
    <col min="8" max="8" width="10.7109375" style="569" customWidth="1"/>
    <col min="9" max="12" width="2.7109375" style="569" customWidth="1"/>
    <col min="13" max="13" width="9.28515625" style="579" customWidth="1"/>
    <col min="14" max="14" width="11.28515625" style="579" customWidth="1"/>
    <col min="15" max="15" width="9.28515625" style="579" customWidth="1"/>
    <col min="16" max="16" width="11.28515625" style="579" customWidth="1"/>
    <col min="17" max="17" width="9.28515625" style="579" customWidth="1"/>
    <col min="18" max="18" width="11.28515625" style="579" customWidth="1"/>
    <col min="19" max="20" width="10.7109375" style="579" customWidth="1"/>
    <col min="21" max="16384" width="9.140625" style="579"/>
  </cols>
  <sheetData>
    <row r="1" spans="1:20" ht="25.5" customHeight="1">
      <c r="A1" s="853">
        <v>2015</v>
      </c>
      <c r="B1" s="850"/>
      <c r="C1" s="854" t="s">
        <v>44</v>
      </c>
      <c r="D1" s="855"/>
      <c r="E1" s="855"/>
      <c r="F1" s="855"/>
      <c r="G1" s="855"/>
      <c r="H1" s="856"/>
      <c r="I1" s="36"/>
      <c r="J1" s="37"/>
      <c r="K1" s="574"/>
      <c r="L1" s="575" t="s">
        <v>280</v>
      </c>
      <c r="M1" s="857" t="s">
        <v>51</v>
      </c>
      <c r="N1" s="857"/>
      <c r="O1" s="857" t="s">
        <v>52</v>
      </c>
      <c r="P1" s="857"/>
      <c r="Q1" s="857" t="s">
        <v>53</v>
      </c>
      <c r="R1" s="857"/>
      <c r="S1" s="837"/>
      <c r="T1" s="838"/>
    </row>
    <row r="2" spans="1:20" ht="45" customHeight="1">
      <c r="A2" s="38" t="s">
        <v>26</v>
      </c>
      <c r="B2" s="39" t="s">
        <v>27</v>
      </c>
      <c r="C2" s="40" t="s">
        <v>54</v>
      </c>
      <c r="D2" s="40" t="s">
        <v>55</v>
      </c>
      <c r="E2" s="40" t="s">
        <v>56</v>
      </c>
      <c r="F2" s="40" t="s">
        <v>55</v>
      </c>
      <c r="G2" s="40" t="s">
        <v>57</v>
      </c>
      <c r="H2" s="40" t="s">
        <v>55</v>
      </c>
      <c r="I2" s="41" t="s">
        <v>58</v>
      </c>
      <c r="J2" s="42" t="s">
        <v>59</v>
      </c>
      <c r="K2" s="574" t="s">
        <v>667</v>
      </c>
      <c r="L2" s="575" t="s">
        <v>280</v>
      </c>
      <c r="M2" s="43" t="s">
        <v>28</v>
      </c>
      <c r="N2" s="43" t="s">
        <v>29</v>
      </c>
      <c r="O2" s="43" t="s">
        <v>28</v>
      </c>
      <c r="P2" s="43" t="s">
        <v>29</v>
      </c>
      <c r="Q2" s="43" t="s">
        <v>28</v>
      </c>
      <c r="R2" s="43" t="s">
        <v>29</v>
      </c>
      <c r="S2" s="325"/>
      <c r="T2" s="326"/>
    </row>
    <row r="3" spans="1:20">
      <c r="A3" s="45" t="s">
        <v>137</v>
      </c>
      <c r="B3" s="45" t="s">
        <v>137</v>
      </c>
      <c r="C3" s="46">
        <f t="shared" ref="C3:C33" si="0">IF(ISERR(M3/N3*100),"",M3/N3*100)</f>
        <v>79.880345668070021</v>
      </c>
      <c r="D3" s="46" t="str">
        <f t="shared" ref="D3:D33"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79 - 81</v>
      </c>
      <c r="E3" s="46">
        <f t="shared" ref="E3:E33" si="2">IF(ISERR((M3+O3)/P3*100),"",(M3+O3)/P3*100)</f>
        <v>92.056281852426324</v>
      </c>
      <c r="F3" s="46" t="str">
        <f t="shared" ref="F3:F33"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91 - 93</v>
      </c>
      <c r="G3" s="46">
        <f t="shared" ref="G3:G33" si="4">IF(ISERR((M3+O3+Q3)/R3*100),"",(M3+O3+Q3)/R3*100)</f>
        <v>93.740305783292712</v>
      </c>
      <c r="H3" s="46" t="str">
        <f t="shared" ref="H3:H33"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93 - 94</v>
      </c>
      <c r="I3" s="598">
        <f t="shared" ref="I3:I33" si="6">E3-C3</f>
        <v>12.175936184356303</v>
      </c>
      <c r="J3" s="597">
        <f t="shared" ref="J3:J33" si="7">G3-E3</f>
        <v>1.6840239308663882</v>
      </c>
      <c r="K3" s="596">
        <v>60</v>
      </c>
      <c r="L3" s="595">
        <v>90</v>
      </c>
      <c r="M3" s="427">
        <f t="shared" ref="M3:R3" si="8">SUM(M4:M33)</f>
        <v>7210</v>
      </c>
      <c r="N3" s="427">
        <f t="shared" si="8"/>
        <v>9026</v>
      </c>
      <c r="O3" s="427">
        <f t="shared" si="8"/>
        <v>1099</v>
      </c>
      <c r="P3" s="427">
        <f t="shared" si="8"/>
        <v>9026</v>
      </c>
      <c r="Q3" s="427">
        <f t="shared" si="8"/>
        <v>152</v>
      </c>
      <c r="R3" s="427">
        <f t="shared" si="8"/>
        <v>9026</v>
      </c>
      <c r="S3" s="325"/>
      <c r="T3" s="326"/>
    </row>
    <row r="4" spans="1:20">
      <c r="A4" s="45" t="s">
        <v>61</v>
      </c>
      <c r="B4" s="45" t="s">
        <v>60</v>
      </c>
      <c r="C4" s="46">
        <f t="shared" si="0"/>
        <v>70.610687022900763</v>
      </c>
      <c r="D4" s="46" t="str">
        <f t="shared" si="1"/>
        <v>65 - 76</v>
      </c>
      <c r="E4" s="46">
        <f t="shared" si="2"/>
        <v>84.351145038167942</v>
      </c>
      <c r="F4" s="46" t="str">
        <f t="shared" si="3"/>
        <v>79 - 88</v>
      </c>
      <c r="G4" s="46">
        <f t="shared" si="4"/>
        <v>87.022900763358777</v>
      </c>
      <c r="H4" s="46" t="str">
        <f t="shared" si="5"/>
        <v>82 - 91</v>
      </c>
      <c r="I4" s="606">
        <f t="shared" si="6"/>
        <v>13.74045801526718</v>
      </c>
      <c r="J4" s="605">
        <f t="shared" si="7"/>
        <v>2.6717557251908346</v>
      </c>
      <c r="K4" s="604">
        <v>60</v>
      </c>
      <c r="L4" s="603">
        <v>90</v>
      </c>
      <c r="M4" s="427">
        <v>185</v>
      </c>
      <c r="N4" s="427">
        <v>262</v>
      </c>
      <c r="O4" s="427">
        <v>36</v>
      </c>
      <c r="P4" s="427">
        <v>262</v>
      </c>
      <c r="Q4" s="427">
        <v>7</v>
      </c>
      <c r="R4" s="427">
        <v>262</v>
      </c>
      <c r="S4" s="325"/>
      <c r="T4" s="326"/>
    </row>
    <row r="5" spans="1:20">
      <c r="A5" s="45" t="s">
        <v>63</v>
      </c>
      <c r="B5" s="45" t="s">
        <v>64</v>
      </c>
      <c r="C5" s="46">
        <f t="shared" si="0"/>
        <v>79.896907216494853</v>
      </c>
      <c r="D5" s="46" t="str">
        <f t="shared" si="1"/>
        <v>76 - 84</v>
      </c>
      <c r="E5" s="46">
        <f t="shared" si="2"/>
        <v>90.721649484536087</v>
      </c>
      <c r="F5" s="46" t="str">
        <f t="shared" si="3"/>
        <v>87 - 93</v>
      </c>
      <c r="G5" s="46">
        <f t="shared" si="4"/>
        <v>92.783505154639172</v>
      </c>
      <c r="H5" s="46" t="str">
        <f t="shared" si="5"/>
        <v>90 - 95</v>
      </c>
      <c r="I5" s="594">
        <f t="shared" si="6"/>
        <v>10.824742268041234</v>
      </c>
      <c r="J5" s="593">
        <f t="shared" si="7"/>
        <v>2.0618556701030855</v>
      </c>
      <c r="K5" s="592">
        <v>60</v>
      </c>
      <c r="L5" s="591">
        <v>90</v>
      </c>
      <c r="M5" s="427">
        <v>310</v>
      </c>
      <c r="N5" s="427">
        <v>388</v>
      </c>
      <c r="O5" s="427">
        <v>42</v>
      </c>
      <c r="P5" s="427">
        <v>388</v>
      </c>
      <c r="Q5" s="427">
        <v>8</v>
      </c>
      <c r="R5" s="427">
        <v>388</v>
      </c>
      <c r="S5" s="325"/>
      <c r="T5" s="326"/>
    </row>
    <row r="6" spans="1:20">
      <c r="A6" s="45" t="s">
        <v>30</v>
      </c>
      <c r="B6" s="45" t="s">
        <v>66</v>
      </c>
      <c r="C6" s="46">
        <f t="shared" si="0"/>
        <v>93.607305936073061</v>
      </c>
      <c r="D6" s="46" t="str">
        <f t="shared" si="1"/>
        <v>90 - 96</v>
      </c>
      <c r="E6" s="46">
        <f t="shared" si="2"/>
        <v>98.173515981735164</v>
      </c>
      <c r="F6" s="46" t="str">
        <f t="shared" si="3"/>
        <v>95 - 99</v>
      </c>
      <c r="G6" s="46">
        <f t="shared" si="4"/>
        <v>98.630136986301366</v>
      </c>
      <c r="H6" s="46" t="str">
        <f t="shared" si="5"/>
        <v>96 - 100</v>
      </c>
      <c r="I6" s="602">
        <f t="shared" si="6"/>
        <v>4.5662100456621033</v>
      </c>
      <c r="J6" s="601">
        <f t="shared" si="7"/>
        <v>0.4566210045662018</v>
      </c>
      <c r="K6" s="600">
        <v>60</v>
      </c>
      <c r="L6" s="599">
        <v>90</v>
      </c>
      <c r="M6" s="427">
        <v>205</v>
      </c>
      <c r="N6" s="427">
        <v>219</v>
      </c>
      <c r="O6" s="427">
        <v>10</v>
      </c>
      <c r="P6" s="427">
        <v>219</v>
      </c>
      <c r="Q6" s="427">
        <v>1</v>
      </c>
      <c r="R6" s="427">
        <v>219</v>
      </c>
      <c r="S6" s="325"/>
      <c r="T6" s="326"/>
    </row>
    <row r="7" spans="1:20">
      <c r="A7" s="45" t="s">
        <v>68</v>
      </c>
      <c r="B7" s="45" t="s">
        <v>69</v>
      </c>
      <c r="C7" s="46">
        <f t="shared" si="0"/>
        <v>86.008230452674894</v>
      </c>
      <c r="D7" s="46" t="str">
        <f t="shared" si="1"/>
        <v>81 - 90</v>
      </c>
      <c r="E7" s="46">
        <f t="shared" si="2"/>
        <v>94.650205761316869</v>
      </c>
      <c r="F7" s="46" t="str">
        <f t="shared" si="3"/>
        <v>91 - 97</v>
      </c>
      <c r="G7" s="46">
        <f t="shared" si="4"/>
        <v>97.53086419753086</v>
      </c>
      <c r="H7" s="46" t="str">
        <f t="shared" si="5"/>
        <v>95 - 99</v>
      </c>
      <c r="I7" s="602">
        <f t="shared" si="6"/>
        <v>8.6419753086419746</v>
      </c>
      <c r="J7" s="601">
        <f t="shared" si="7"/>
        <v>2.8806584362139915</v>
      </c>
      <c r="K7" s="600">
        <v>60</v>
      </c>
      <c r="L7" s="599">
        <v>90</v>
      </c>
      <c r="M7" s="427">
        <v>209</v>
      </c>
      <c r="N7" s="427">
        <v>243</v>
      </c>
      <c r="O7" s="427">
        <v>21</v>
      </c>
      <c r="P7" s="427">
        <v>243</v>
      </c>
      <c r="Q7" s="427">
        <v>7</v>
      </c>
      <c r="R7" s="427">
        <v>243</v>
      </c>
      <c r="S7" s="325"/>
      <c r="T7" s="326"/>
    </row>
    <row r="8" spans="1:20">
      <c r="A8" s="45" t="s">
        <v>71</v>
      </c>
      <c r="B8" s="45" t="s">
        <v>72</v>
      </c>
      <c r="C8" s="46">
        <f t="shared" si="0"/>
        <v>87.5</v>
      </c>
      <c r="D8" s="46" t="str">
        <f t="shared" si="1"/>
        <v>74 - 95</v>
      </c>
      <c r="E8" s="46">
        <f t="shared" si="2"/>
        <v>95</v>
      </c>
      <c r="F8" s="46" t="str">
        <f t="shared" si="3"/>
        <v>83 - 99</v>
      </c>
      <c r="G8" s="46">
        <f t="shared" si="4"/>
        <v>95</v>
      </c>
      <c r="H8" s="46" t="str">
        <f t="shared" si="5"/>
        <v>83 - 99</v>
      </c>
      <c r="I8" s="602">
        <f t="shared" si="6"/>
        <v>7.5</v>
      </c>
      <c r="J8" s="601">
        <f t="shared" si="7"/>
        <v>0</v>
      </c>
      <c r="K8" s="600">
        <v>60</v>
      </c>
      <c r="L8" s="599">
        <v>90</v>
      </c>
      <c r="M8" s="427">
        <v>35</v>
      </c>
      <c r="N8" s="427">
        <v>40</v>
      </c>
      <c r="O8" s="427">
        <v>3</v>
      </c>
      <c r="P8" s="427">
        <v>40</v>
      </c>
      <c r="Q8" s="427">
        <v>0</v>
      </c>
      <c r="R8" s="427">
        <v>40</v>
      </c>
      <c r="S8" s="325"/>
      <c r="T8" s="326"/>
    </row>
    <row r="9" spans="1:20">
      <c r="A9" s="45" t="s">
        <v>177</v>
      </c>
      <c r="B9" s="45" t="s">
        <v>74</v>
      </c>
      <c r="C9" s="46">
        <f t="shared" si="0"/>
        <v>83.596214511041012</v>
      </c>
      <c r="D9" s="46" t="str">
        <f t="shared" si="1"/>
        <v>81 - 86</v>
      </c>
      <c r="E9" s="46">
        <f t="shared" si="2"/>
        <v>90.694006309148264</v>
      </c>
      <c r="F9" s="46" t="str">
        <f t="shared" si="3"/>
        <v>88 - 93</v>
      </c>
      <c r="G9" s="46">
        <f t="shared" si="4"/>
        <v>91.955835962145102</v>
      </c>
      <c r="H9" s="46" t="str">
        <f t="shared" si="5"/>
        <v>90 - 94</v>
      </c>
      <c r="I9" s="602">
        <f t="shared" si="6"/>
        <v>7.0977917981072522</v>
      </c>
      <c r="J9" s="601">
        <f t="shared" si="7"/>
        <v>1.2618296529968376</v>
      </c>
      <c r="K9" s="600">
        <v>60</v>
      </c>
      <c r="L9" s="599">
        <v>90</v>
      </c>
      <c r="M9" s="427">
        <v>530</v>
      </c>
      <c r="N9" s="427">
        <v>634</v>
      </c>
      <c r="O9" s="427">
        <v>45</v>
      </c>
      <c r="P9" s="427">
        <v>634</v>
      </c>
      <c r="Q9" s="427">
        <v>8</v>
      </c>
      <c r="R9" s="427">
        <v>634</v>
      </c>
      <c r="S9" s="325"/>
      <c r="T9" s="326"/>
    </row>
    <row r="10" spans="1:20">
      <c r="A10" s="45" t="s">
        <v>186</v>
      </c>
      <c r="B10" s="45" t="s">
        <v>76</v>
      </c>
      <c r="C10" s="46">
        <f t="shared" si="0"/>
        <v>84.375</v>
      </c>
      <c r="D10" s="46" t="str">
        <f t="shared" si="1"/>
        <v>81 - 87</v>
      </c>
      <c r="E10" s="46">
        <f t="shared" si="2"/>
        <v>95.404411764705884</v>
      </c>
      <c r="F10" s="46" t="str">
        <f t="shared" si="3"/>
        <v>93 - 97</v>
      </c>
      <c r="G10" s="46">
        <f t="shared" si="4"/>
        <v>96.139705882352942</v>
      </c>
      <c r="H10" s="46" t="str">
        <f t="shared" si="5"/>
        <v>94 - 97</v>
      </c>
      <c r="I10" s="602">
        <f t="shared" si="6"/>
        <v>11.029411764705884</v>
      </c>
      <c r="J10" s="601">
        <f t="shared" si="7"/>
        <v>0.73529411764705799</v>
      </c>
      <c r="K10" s="600">
        <v>60</v>
      </c>
      <c r="L10" s="599">
        <v>90</v>
      </c>
      <c r="M10" s="427">
        <v>459</v>
      </c>
      <c r="N10" s="427">
        <v>544</v>
      </c>
      <c r="O10" s="427">
        <v>60</v>
      </c>
      <c r="P10" s="427">
        <v>544</v>
      </c>
      <c r="Q10" s="427">
        <v>4</v>
      </c>
      <c r="R10" s="427">
        <v>544</v>
      </c>
      <c r="S10" s="325"/>
      <c r="T10" s="326"/>
    </row>
    <row r="11" spans="1:20">
      <c r="A11" s="45" t="s">
        <v>178</v>
      </c>
      <c r="B11" s="45" t="s">
        <v>78</v>
      </c>
      <c r="C11" s="46">
        <f t="shared" si="0"/>
        <v>75.901875901875897</v>
      </c>
      <c r="D11" s="46" t="str">
        <f t="shared" si="1"/>
        <v>73 - 79</v>
      </c>
      <c r="E11" s="46">
        <f t="shared" si="2"/>
        <v>85.569985569985576</v>
      </c>
      <c r="F11" s="46" t="str">
        <f t="shared" si="3"/>
        <v>83 - 88</v>
      </c>
      <c r="G11" s="46">
        <f t="shared" si="4"/>
        <v>88.167388167388168</v>
      </c>
      <c r="H11" s="46" t="str">
        <f t="shared" si="5"/>
        <v>86 - 90</v>
      </c>
      <c r="I11" s="602">
        <f t="shared" si="6"/>
        <v>9.668109668109679</v>
      </c>
      <c r="J11" s="601">
        <f t="shared" si="7"/>
        <v>2.5974025974025921</v>
      </c>
      <c r="K11" s="600">
        <v>60</v>
      </c>
      <c r="L11" s="599">
        <v>90</v>
      </c>
      <c r="M11" s="427">
        <v>526</v>
      </c>
      <c r="N11" s="427">
        <v>693</v>
      </c>
      <c r="O11" s="427">
        <v>67</v>
      </c>
      <c r="P11" s="427">
        <v>693</v>
      </c>
      <c r="Q11" s="427">
        <v>18</v>
      </c>
      <c r="R11" s="427">
        <v>693</v>
      </c>
      <c r="S11" s="325"/>
      <c r="T11" s="326"/>
    </row>
    <row r="12" spans="1:20">
      <c r="A12" s="45" t="s">
        <v>80</v>
      </c>
      <c r="B12" s="45" t="s">
        <v>81</v>
      </c>
      <c r="C12" s="46">
        <f t="shared" si="0"/>
        <v>85.384615384615387</v>
      </c>
      <c r="D12" s="46" t="str">
        <f t="shared" si="1"/>
        <v>78 - 90</v>
      </c>
      <c r="E12" s="46">
        <f t="shared" si="2"/>
        <v>96.92307692307692</v>
      </c>
      <c r="F12" s="46" t="str">
        <f t="shared" si="3"/>
        <v>92 - 99</v>
      </c>
      <c r="G12" s="46">
        <f t="shared" si="4"/>
        <v>97.692307692307693</v>
      </c>
      <c r="H12" s="46" t="str">
        <f t="shared" si="5"/>
        <v>93 - 99</v>
      </c>
      <c r="I12" s="602">
        <f t="shared" si="6"/>
        <v>11.538461538461533</v>
      </c>
      <c r="J12" s="601">
        <f t="shared" si="7"/>
        <v>0.7692307692307736</v>
      </c>
      <c r="K12" s="600">
        <v>60</v>
      </c>
      <c r="L12" s="599">
        <v>90</v>
      </c>
      <c r="M12" s="427">
        <v>111</v>
      </c>
      <c r="N12" s="427">
        <v>130</v>
      </c>
      <c r="O12" s="427">
        <v>15</v>
      </c>
      <c r="P12" s="427">
        <v>130</v>
      </c>
      <c r="Q12" s="427">
        <v>1</v>
      </c>
      <c r="R12" s="427">
        <v>130</v>
      </c>
      <c r="S12" s="325"/>
      <c r="T12" s="326"/>
    </row>
    <row r="13" spans="1:20">
      <c r="A13" s="45" t="s">
        <v>187</v>
      </c>
      <c r="B13" s="45" t="s">
        <v>83</v>
      </c>
      <c r="C13" s="46">
        <f t="shared" si="0"/>
        <v>73.396226415094333</v>
      </c>
      <c r="D13" s="46" t="str">
        <f t="shared" si="1"/>
        <v>69 - 77</v>
      </c>
      <c r="E13" s="46">
        <f t="shared" si="2"/>
        <v>93.018867924528308</v>
      </c>
      <c r="F13" s="46" t="str">
        <f t="shared" si="3"/>
        <v>91 - 95</v>
      </c>
      <c r="G13" s="46">
        <f t="shared" si="4"/>
        <v>95.283018867924525</v>
      </c>
      <c r="H13" s="46" t="str">
        <f t="shared" si="5"/>
        <v>93 - 97</v>
      </c>
      <c r="I13" s="602">
        <f t="shared" si="6"/>
        <v>19.622641509433976</v>
      </c>
      <c r="J13" s="601">
        <f t="shared" si="7"/>
        <v>2.264150943396217</v>
      </c>
      <c r="K13" s="600">
        <v>60</v>
      </c>
      <c r="L13" s="599">
        <v>90</v>
      </c>
      <c r="M13" s="427">
        <v>389</v>
      </c>
      <c r="N13" s="427">
        <v>530</v>
      </c>
      <c r="O13" s="427">
        <v>104</v>
      </c>
      <c r="P13" s="427">
        <v>530</v>
      </c>
      <c r="Q13" s="427">
        <v>12</v>
      </c>
      <c r="R13" s="427">
        <v>530</v>
      </c>
      <c r="S13" s="325"/>
      <c r="T13" s="326"/>
    </row>
    <row r="14" spans="1:20">
      <c r="A14" s="45" t="s">
        <v>85</v>
      </c>
      <c r="B14" s="45" t="s">
        <v>86</v>
      </c>
      <c r="C14" s="46">
        <f t="shared" si="0"/>
        <v>79.620853080568722</v>
      </c>
      <c r="D14" s="46" t="str">
        <f t="shared" si="1"/>
        <v>74 - 85</v>
      </c>
      <c r="E14" s="46">
        <f t="shared" si="2"/>
        <v>92.417061611374407</v>
      </c>
      <c r="F14" s="46" t="str">
        <f t="shared" si="3"/>
        <v>88 - 95</v>
      </c>
      <c r="G14" s="46">
        <f t="shared" si="4"/>
        <v>93.838862559241704</v>
      </c>
      <c r="H14" s="46" t="str">
        <f t="shared" si="5"/>
        <v>90 - 96</v>
      </c>
      <c r="I14" s="602">
        <f t="shared" si="6"/>
        <v>12.796208530805686</v>
      </c>
      <c r="J14" s="601">
        <f t="shared" si="7"/>
        <v>1.4218009478672968</v>
      </c>
      <c r="K14" s="600">
        <v>60</v>
      </c>
      <c r="L14" s="599">
        <v>90</v>
      </c>
      <c r="M14" s="427">
        <v>168</v>
      </c>
      <c r="N14" s="427">
        <v>211</v>
      </c>
      <c r="O14" s="427">
        <v>27</v>
      </c>
      <c r="P14" s="427">
        <v>211</v>
      </c>
      <c r="Q14" s="427">
        <v>3</v>
      </c>
      <c r="R14" s="427">
        <v>211</v>
      </c>
      <c r="S14" s="325"/>
      <c r="T14" s="326"/>
    </row>
    <row r="15" spans="1:20">
      <c r="A15" s="45" t="s">
        <v>532</v>
      </c>
      <c r="B15" s="45" t="s">
        <v>533</v>
      </c>
      <c r="C15" s="46">
        <f t="shared" si="0"/>
        <v>77.865266841644797</v>
      </c>
      <c r="D15" s="46" t="str">
        <f t="shared" si="1"/>
        <v>75 - 80</v>
      </c>
      <c r="E15" s="46">
        <f t="shared" si="2"/>
        <v>90.638670166229218</v>
      </c>
      <c r="F15" s="46" t="str">
        <f t="shared" si="3"/>
        <v>89 - 92</v>
      </c>
      <c r="G15" s="46">
        <f t="shared" si="4"/>
        <v>91.951006124234468</v>
      </c>
      <c r="H15" s="46" t="str">
        <f t="shared" si="5"/>
        <v>90 - 93</v>
      </c>
      <c r="I15" s="602">
        <f t="shared" si="6"/>
        <v>12.773403324584422</v>
      </c>
      <c r="J15" s="601">
        <f t="shared" si="7"/>
        <v>1.3123359580052494</v>
      </c>
      <c r="K15" s="600">
        <v>60</v>
      </c>
      <c r="L15" s="599">
        <v>90</v>
      </c>
      <c r="M15" s="427">
        <v>890</v>
      </c>
      <c r="N15" s="427">
        <v>1143</v>
      </c>
      <c r="O15" s="427">
        <v>146</v>
      </c>
      <c r="P15" s="427">
        <v>1143</v>
      </c>
      <c r="Q15" s="427">
        <v>15</v>
      </c>
      <c r="R15" s="427">
        <v>1143</v>
      </c>
      <c r="S15" s="325"/>
      <c r="T15" s="326"/>
    </row>
    <row r="16" spans="1:20">
      <c r="A16" s="45" t="s">
        <v>188</v>
      </c>
      <c r="B16" s="45" t="s">
        <v>88</v>
      </c>
      <c r="C16" s="46">
        <f t="shared" si="0"/>
        <v>64</v>
      </c>
      <c r="D16" s="46" t="str">
        <f t="shared" si="1"/>
        <v>59 - 69</v>
      </c>
      <c r="E16" s="46">
        <f t="shared" si="2"/>
        <v>89.142857142857139</v>
      </c>
      <c r="F16" s="46" t="str">
        <f t="shared" si="3"/>
        <v>85 - 92</v>
      </c>
      <c r="G16" s="46">
        <f t="shared" si="4"/>
        <v>92.285714285714278</v>
      </c>
      <c r="H16" s="46" t="str">
        <f t="shared" si="5"/>
        <v>89 - 95</v>
      </c>
      <c r="I16" s="602">
        <f t="shared" si="6"/>
        <v>25.142857142857139</v>
      </c>
      <c r="J16" s="601">
        <f t="shared" si="7"/>
        <v>3.1428571428571388</v>
      </c>
      <c r="K16" s="600">
        <v>60</v>
      </c>
      <c r="L16" s="599">
        <v>90</v>
      </c>
      <c r="M16" s="427">
        <v>224</v>
      </c>
      <c r="N16" s="427">
        <v>350</v>
      </c>
      <c r="O16" s="427">
        <v>88</v>
      </c>
      <c r="P16" s="427">
        <v>350</v>
      </c>
      <c r="Q16" s="427">
        <v>11</v>
      </c>
      <c r="R16" s="427">
        <v>350</v>
      </c>
      <c r="S16" s="325"/>
      <c r="T16" s="326"/>
    </row>
    <row r="17" spans="1:20">
      <c r="A17" s="45" t="s">
        <v>92</v>
      </c>
      <c r="B17" s="45" t="s">
        <v>93</v>
      </c>
      <c r="C17" s="46">
        <f t="shared" si="0"/>
        <v>100</v>
      </c>
      <c r="D17" s="46" t="str">
        <f t="shared" si="1"/>
        <v>88 - 100</v>
      </c>
      <c r="E17" s="46">
        <f t="shared" si="2"/>
        <v>100</v>
      </c>
      <c r="F17" s="46" t="str">
        <f t="shared" si="3"/>
        <v>88 - 100</v>
      </c>
      <c r="G17" s="46">
        <f t="shared" si="4"/>
        <v>100</v>
      </c>
      <c r="H17" s="46" t="str">
        <f t="shared" si="5"/>
        <v>88 - 100</v>
      </c>
      <c r="I17" s="602">
        <f t="shared" si="6"/>
        <v>0</v>
      </c>
      <c r="J17" s="601">
        <f t="shared" si="7"/>
        <v>0</v>
      </c>
      <c r="K17" s="600">
        <v>60</v>
      </c>
      <c r="L17" s="599">
        <v>90</v>
      </c>
      <c r="M17" s="427">
        <v>28</v>
      </c>
      <c r="N17" s="427">
        <v>28</v>
      </c>
      <c r="O17" s="427">
        <v>0</v>
      </c>
      <c r="P17" s="427">
        <v>28</v>
      </c>
      <c r="Q17" s="427">
        <v>0</v>
      </c>
      <c r="R17" s="427">
        <v>28</v>
      </c>
      <c r="S17" s="325"/>
      <c r="T17" s="326"/>
    </row>
    <row r="18" spans="1:20">
      <c r="A18" s="45" t="s">
        <v>95</v>
      </c>
      <c r="B18" s="45" t="s">
        <v>96</v>
      </c>
      <c r="C18" s="46">
        <f t="shared" si="0"/>
        <v>95.833333333333343</v>
      </c>
      <c r="D18" s="46" t="str">
        <f t="shared" si="1"/>
        <v>88 - 99</v>
      </c>
      <c r="E18" s="46">
        <f t="shared" si="2"/>
        <v>100</v>
      </c>
      <c r="F18" s="46" t="str">
        <f t="shared" si="3"/>
        <v>95 - 100</v>
      </c>
      <c r="G18" s="46">
        <f t="shared" si="4"/>
        <v>100</v>
      </c>
      <c r="H18" s="46" t="str">
        <f t="shared" si="5"/>
        <v>95 - 100</v>
      </c>
      <c r="I18" s="602">
        <f t="shared" si="6"/>
        <v>4.1666666666666572</v>
      </c>
      <c r="J18" s="601">
        <f t="shared" si="7"/>
        <v>0</v>
      </c>
      <c r="K18" s="600">
        <v>60</v>
      </c>
      <c r="L18" s="599">
        <v>90</v>
      </c>
      <c r="M18" s="427">
        <v>69</v>
      </c>
      <c r="N18" s="427">
        <v>72</v>
      </c>
      <c r="O18" s="427">
        <v>3</v>
      </c>
      <c r="P18" s="427">
        <v>72</v>
      </c>
      <c r="Q18" s="427">
        <v>0</v>
      </c>
      <c r="R18" s="427">
        <v>72</v>
      </c>
      <c r="S18" s="325"/>
      <c r="T18" s="326"/>
    </row>
    <row r="19" spans="1:20">
      <c r="A19" s="45" t="s">
        <v>98</v>
      </c>
      <c r="B19" s="45" t="s">
        <v>99</v>
      </c>
      <c r="C19" s="46">
        <f t="shared" si="0"/>
        <v>91.111111111111114</v>
      </c>
      <c r="D19" s="46" t="str">
        <f t="shared" si="1"/>
        <v>79 - 96</v>
      </c>
      <c r="E19" s="46">
        <f t="shared" si="2"/>
        <v>95.555555555555557</v>
      </c>
      <c r="F19" s="46" t="str">
        <f t="shared" si="3"/>
        <v>85 - 99</v>
      </c>
      <c r="G19" s="46">
        <f t="shared" si="4"/>
        <v>95.555555555555557</v>
      </c>
      <c r="H19" s="46" t="str">
        <f t="shared" si="5"/>
        <v>85 - 99</v>
      </c>
      <c r="I19" s="602">
        <f t="shared" si="6"/>
        <v>4.4444444444444429</v>
      </c>
      <c r="J19" s="601">
        <f t="shared" si="7"/>
        <v>0</v>
      </c>
      <c r="K19" s="600">
        <v>60</v>
      </c>
      <c r="L19" s="599">
        <v>90</v>
      </c>
      <c r="M19" s="427">
        <v>41</v>
      </c>
      <c r="N19" s="427">
        <v>45</v>
      </c>
      <c r="O19" s="427">
        <v>2</v>
      </c>
      <c r="P19" s="427">
        <v>45</v>
      </c>
      <c r="Q19" s="427">
        <v>0</v>
      </c>
      <c r="R19" s="427">
        <v>45</v>
      </c>
      <c r="S19" s="325"/>
      <c r="T19" s="326"/>
    </row>
    <row r="20" spans="1:20">
      <c r="A20" s="45" t="s">
        <v>101</v>
      </c>
      <c r="B20" s="45" t="s">
        <v>102</v>
      </c>
      <c r="C20" s="46">
        <f t="shared" si="0"/>
        <v>86.723163841807903</v>
      </c>
      <c r="D20" s="46" t="str">
        <f t="shared" si="1"/>
        <v>83 - 90</v>
      </c>
      <c r="E20" s="46">
        <f t="shared" si="2"/>
        <v>97.740112994350284</v>
      </c>
      <c r="F20" s="46" t="str">
        <f t="shared" si="3"/>
        <v>96 - 99</v>
      </c>
      <c r="G20" s="46">
        <f t="shared" si="4"/>
        <v>98.305084745762713</v>
      </c>
      <c r="H20" s="46" t="str">
        <f t="shared" si="5"/>
        <v>96 - 99</v>
      </c>
      <c r="I20" s="602">
        <f t="shared" si="6"/>
        <v>11.016949152542381</v>
      </c>
      <c r="J20" s="601">
        <f t="shared" si="7"/>
        <v>0.56497175141242906</v>
      </c>
      <c r="K20" s="600">
        <v>60</v>
      </c>
      <c r="L20" s="599">
        <v>90</v>
      </c>
      <c r="M20" s="427">
        <v>307</v>
      </c>
      <c r="N20" s="427">
        <v>354</v>
      </c>
      <c r="O20" s="427">
        <v>39</v>
      </c>
      <c r="P20" s="427">
        <v>354</v>
      </c>
      <c r="Q20" s="427">
        <v>2</v>
      </c>
      <c r="R20" s="427">
        <v>354</v>
      </c>
      <c r="S20" s="325"/>
      <c r="T20" s="326"/>
    </row>
    <row r="21" spans="1:20">
      <c r="A21" s="45" t="s">
        <v>104</v>
      </c>
      <c r="B21" s="45" t="s">
        <v>105</v>
      </c>
      <c r="C21" s="46">
        <f t="shared" si="0"/>
        <v>83.056478405315616</v>
      </c>
      <c r="D21" s="46" t="str">
        <f t="shared" si="1"/>
        <v>78 - 87</v>
      </c>
      <c r="E21" s="46">
        <f t="shared" si="2"/>
        <v>90.697674418604649</v>
      </c>
      <c r="F21" s="46" t="str">
        <f t="shared" si="3"/>
        <v>87 - 93</v>
      </c>
      <c r="G21" s="46">
        <f t="shared" si="4"/>
        <v>93.355481727574755</v>
      </c>
      <c r="H21" s="46" t="str">
        <f t="shared" si="5"/>
        <v>90 - 96</v>
      </c>
      <c r="I21" s="602">
        <f t="shared" si="6"/>
        <v>7.6411960132890329</v>
      </c>
      <c r="J21" s="601">
        <f t="shared" si="7"/>
        <v>2.6578073089701064</v>
      </c>
      <c r="K21" s="600">
        <v>60</v>
      </c>
      <c r="L21" s="599">
        <v>90</v>
      </c>
      <c r="M21" s="427">
        <v>250</v>
      </c>
      <c r="N21" s="427">
        <v>301</v>
      </c>
      <c r="O21" s="427">
        <v>23</v>
      </c>
      <c r="P21" s="427">
        <v>301</v>
      </c>
      <c r="Q21" s="427">
        <v>8</v>
      </c>
      <c r="R21" s="427">
        <v>301</v>
      </c>
      <c r="S21" s="325"/>
      <c r="T21" s="326"/>
    </row>
    <row r="22" spans="1:20">
      <c r="A22" s="45" t="s">
        <v>107</v>
      </c>
      <c r="B22" s="45" t="s">
        <v>108</v>
      </c>
      <c r="C22" s="46">
        <f t="shared" si="0"/>
        <v>80.864197530864203</v>
      </c>
      <c r="D22" s="46" t="str">
        <f t="shared" si="1"/>
        <v>76 - 85</v>
      </c>
      <c r="E22" s="46">
        <f t="shared" si="2"/>
        <v>93.209876543209873</v>
      </c>
      <c r="F22" s="46" t="str">
        <f t="shared" si="3"/>
        <v>90 - 95</v>
      </c>
      <c r="G22" s="46">
        <f t="shared" si="4"/>
        <v>95.370370370370367</v>
      </c>
      <c r="H22" s="46" t="str">
        <f t="shared" si="5"/>
        <v>93 - 97</v>
      </c>
      <c r="I22" s="602">
        <f t="shared" si="6"/>
        <v>12.34567901234567</v>
      </c>
      <c r="J22" s="601">
        <f t="shared" si="7"/>
        <v>2.1604938271604937</v>
      </c>
      <c r="K22" s="600">
        <v>60</v>
      </c>
      <c r="L22" s="599">
        <v>90</v>
      </c>
      <c r="M22" s="427">
        <v>262</v>
      </c>
      <c r="N22" s="427">
        <v>324</v>
      </c>
      <c r="O22" s="427">
        <v>40</v>
      </c>
      <c r="P22" s="427">
        <v>324</v>
      </c>
      <c r="Q22" s="427">
        <v>7</v>
      </c>
      <c r="R22" s="427">
        <v>324</v>
      </c>
      <c r="S22" s="325"/>
      <c r="T22" s="326"/>
    </row>
    <row r="23" spans="1:20">
      <c r="A23" s="45" t="s">
        <v>110</v>
      </c>
      <c r="B23" s="45" t="s">
        <v>109</v>
      </c>
      <c r="C23" s="46">
        <f t="shared" si="0"/>
        <v>90.606060606060595</v>
      </c>
      <c r="D23" s="46" t="str">
        <f t="shared" si="1"/>
        <v>87 - 93</v>
      </c>
      <c r="E23" s="46">
        <f t="shared" si="2"/>
        <v>97.878787878787875</v>
      </c>
      <c r="F23" s="46" t="str">
        <f t="shared" si="3"/>
        <v>96 - 99</v>
      </c>
      <c r="G23" s="46">
        <f t="shared" si="4"/>
        <v>98.181818181818187</v>
      </c>
      <c r="H23" s="46" t="str">
        <f t="shared" si="5"/>
        <v>96 - 99</v>
      </c>
      <c r="I23" s="602">
        <f t="shared" si="6"/>
        <v>7.2727272727272805</v>
      </c>
      <c r="J23" s="601">
        <f t="shared" si="7"/>
        <v>0.30303030303031164</v>
      </c>
      <c r="K23" s="600">
        <v>60</v>
      </c>
      <c r="L23" s="599">
        <v>90</v>
      </c>
      <c r="M23" s="427">
        <v>299</v>
      </c>
      <c r="N23" s="427">
        <v>330</v>
      </c>
      <c r="O23" s="427">
        <v>24</v>
      </c>
      <c r="P23" s="427">
        <v>330</v>
      </c>
      <c r="Q23" s="427">
        <v>1</v>
      </c>
      <c r="R23" s="427">
        <v>330</v>
      </c>
      <c r="S23" s="325"/>
      <c r="T23" s="326"/>
    </row>
    <row r="24" spans="1:20">
      <c r="A24" s="45" t="s">
        <v>112</v>
      </c>
      <c r="B24" s="45" t="s">
        <v>113</v>
      </c>
      <c r="C24" s="46">
        <f t="shared" si="0"/>
        <v>75.612353567625135</v>
      </c>
      <c r="D24" s="46" t="str">
        <f t="shared" si="1"/>
        <v>73 - 78</v>
      </c>
      <c r="E24" s="46">
        <f t="shared" si="2"/>
        <v>90.202342917997868</v>
      </c>
      <c r="F24" s="46" t="str">
        <f t="shared" si="3"/>
        <v>88 - 92</v>
      </c>
      <c r="G24" s="46">
        <f t="shared" si="4"/>
        <v>92.438764643237491</v>
      </c>
      <c r="H24" s="46" t="str">
        <f t="shared" si="5"/>
        <v>91 - 94</v>
      </c>
      <c r="I24" s="602">
        <f t="shared" si="6"/>
        <v>14.589989350372733</v>
      </c>
      <c r="J24" s="601">
        <f t="shared" si="7"/>
        <v>2.236421725239623</v>
      </c>
      <c r="K24" s="600">
        <v>60</v>
      </c>
      <c r="L24" s="599">
        <v>90</v>
      </c>
      <c r="M24" s="427">
        <v>710</v>
      </c>
      <c r="N24" s="427">
        <v>939</v>
      </c>
      <c r="O24" s="427">
        <v>137</v>
      </c>
      <c r="P24" s="427">
        <v>939</v>
      </c>
      <c r="Q24" s="427">
        <v>21</v>
      </c>
      <c r="R24" s="427">
        <v>939</v>
      </c>
      <c r="S24" s="325"/>
      <c r="T24" s="326"/>
    </row>
    <row r="25" spans="1:20">
      <c r="A25" s="45" t="s">
        <v>115</v>
      </c>
      <c r="B25" s="45" t="s">
        <v>116</v>
      </c>
      <c r="C25" s="46">
        <f t="shared" si="0"/>
        <v>81.124497991967871</v>
      </c>
      <c r="D25" s="46" t="str">
        <f t="shared" si="1"/>
        <v>76 - 85</v>
      </c>
      <c r="E25" s="46">
        <f t="shared" si="2"/>
        <v>93.975903614457835</v>
      </c>
      <c r="F25" s="46" t="str">
        <f t="shared" si="3"/>
        <v>90 - 96</v>
      </c>
      <c r="G25" s="46">
        <f t="shared" si="4"/>
        <v>94.779116465863453</v>
      </c>
      <c r="H25" s="46" t="str">
        <f t="shared" si="5"/>
        <v>91 - 97</v>
      </c>
      <c r="I25" s="602">
        <f t="shared" si="6"/>
        <v>12.851405622489963</v>
      </c>
      <c r="J25" s="601">
        <f t="shared" si="7"/>
        <v>0.80321285140561827</v>
      </c>
      <c r="K25" s="600">
        <v>60</v>
      </c>
      <c r="L25" s="599">
        <v>90</v>
      </c>
      <c r="M25" s="427">
        <v>202</v>
      </c>
      <c r="N25" s="427">
        <v>249</v>
      </c>
      <c r="O25" s="427">
        <v>32</v>
      </c>
      <c r="P25" s="427">
        <v>249</v>
      </c>
      <c r="Q25" s="427">
        <v>2</v>
      </c>
      <c r="R25" s="427">
        <v>249</v>
      </c>
      <c r="S25" s="325"/>
      <c r="T25" s="326"/>
    </row>
    <row r="26" spans="1:20">
      <c r="A26" s="45" t="s">
        <v>118</v>
      </c>
      <c r="B26" s="45" t="s">
        <v>119</v>
      </c>
      <c r="C26" s="46">
        <f t="shared" si="0"/>
        <v>76.892430278884461</v>
      </c>
      <c r="D26" s="46" t="str">
        <f t="shared" si="1"/>
        <v>71 - 82</v>
      </c>
      <c r="E26" s="46">
        <f t="shared" si="2"/>
        <v>90.039840637450197</v>
      </c>
      <c r="F26" s="46" t="str">
        <f t="shared" si="3"/>
        <v>86 - 93</v>
      </c>
      <c r="G26" s="46">
        <f t="shared" si="4"/>
        <v>93.227091633466131</v>
      </c>
      <c r="H26" s="46" t="str">
        <f t="shared" si="5"/>
        <v>89 - 96</v>
      </c>
      <c r="I26" s="602">
        <f t="shared" si="6"/>
        <v>13.147410358565736</v>
      </c>
      <c r="J26" s="601">
        <f t="shared" si="7"/>
        <v>3.1872509960159334</v>
      </c>
      <c r="K26" s="600">
        <v>60</v>
      </c>
      <c r="L26" s="599">
        <v>90</v>
      </c>
      <c r="M26" s="427">
        <v>193</v>
      </c>
      <c r="N26" s="427">
        <v>251</v>
      </c>
      <c r="O26" s="427">
        <v>33</v>
      </c>
      <c r="P26" s="427">
        <v>251</v>
      </c>
      <c r="Q26" s="427">
        <v>8</v>
      </c>
      <c r="R26" s="427">
        <v>251</v>
      </c>
      <c r="S26" s="325"/>
      <c r="T26" s="326"/>
    </row>
    <row r="27" spans="1:20">
      <c r="A27" s="45" t="s">
        <v>121</v>
      </c>
      <c r="B27" s="45" t="s">
        <v>122</v>
      </c>
      <c r="C27" s="46">
        <f t="shared" si="0"/>
        <v>72.5</v>
      </c>
      <c r="D27" s="46" t="str">
        <f t="shared" si="1"/>
        <v>57 - 84</v>
      </c>
      <c r="E27" s="46">
        <f t="shared" si="2"/>
        <v>90</v>
      </c>
      <c r="F27" s="46" t="str">
        <f t="shared" si="3"/>
        <v>77 - 96</v>
      </c>
      <c r="G27" s="46">
        <f t="shared" si="4"/>
        <v>90</v>
      </c>
      <c r="H27" s="46" t="str">
        <f t="shared" si="5"/>
        <v>77 - 96</v>
      </c>
      <c r="I27" s="602">
        <f t="shared" si="6"/>
        <v>17.5</v>
      </c>
      <c r="J27" s="601">
        <f t="shared" si="7"/>
        <v>0</v>
      </c>
      <c r="K27" s="600">
        <v>60</v>
      </c>
      <c r="L27" s="599">
        <v>90</v>
      </c>
      <c r="M27" s="427">
        <v>29</v>
      </c>
      <c r="N27" s="427">
        <v>40</v>
      </c>
      <c r="O27" s="427">
        <v>7</v>
      </c>
      <c r="P27" s="427">
        <v>40</v>
      </c>
      <c r="Q27" s="427">
        <v>0</v>
      </c>
      <c r="R27" s="427">
        <v>40</v>
      </c>
      <c r="S27" s="325"/>
      <c r="T27" s="326"/>
    </row>
    <row r="28" spans="1:20">
      <c r="A28" s="45" t="s">
        <v>124</v>
      </c>
      <c r="B28" s="45" t="s">
        <v>125</v>
      </c>
      <c r="C28" s="46">
        <f t="shared" si="0"/>
        <v>94.285714285714278</v>
      </c>
      <c r="D28" s="46" t="str">
        <f t="shared" si="1"/>
        <v>81 - 98</v>
      </c>
      <c r="E28" s="46">
        <f t="shared" si="2"/>
        <v>97.142857142857139</v>
      </c>
      <c r="F28" s="46" t="str">
        <f t="shared" si="3"/>
        <v>85 - 99</v>
      </c>
      <c r="G28" s="46">
        <f t="shared" si="4"/>
        <v>97.142857142857139</v>
      </c>
      <c r="H28" s="46" t="str">
        <f t="shared" si="5"/>
        <v>85 - 99</v>
      </c>
      <c r="I28" s="602">
        <f t="shared" si="6"/>
        <v>2.8571428571428612</v>
      </c>
      <c r="J28" s="601">
        <f t="shared" si="7"/>
        <v>0</v>
      </c>
      <c r="K28" s="600">
        <v>60</v>
      </c>
      <c r="L28" s="599">
        <v>90</v>
      </c>
      <c r="M28" s="427">
        <v>33</v>
      </c>
      <c r="N28" s="427">
        <v>35</v>
      </c>
      <c r="O28" s="427">
        <v>1</v>
      </c>
      <c r="P28" s="427">
        <v>35</v>
      </c>
      <c r="Q28" s="427">
        <v>0</v>
      </c>
      <c r="R28" s="427">
        <v>35</v>
      </c>
      <c r="S28" s="325"/>
      <c r="T28" s="326"/>
    </row>
    <row r="29" spans="1:20">
      <c r="A29" s="45" t="s">
        <v>127</v>
      </c>
      <c r="B29" s="45" t="s">
        <v>128</v>
      </c>
      <c r="C29" s="46">
        <f t="shared" si="0"/>
        <v>81.596452328159643</v>
      </c>
      <c r="D29" s="46" t="str">
        <f t="shared" si="1"/>
        <v>78 - 85</v>
      </c>
      <c r="E29" s="46">
        <f t="shared" si="2"/>
        <v>96.230598669623063</v>
      </c>
      <c r="F29" s="46" t="str">
        <f t="shared" si="3"/>
        <v>94 - 98</v>
      </c>
      <c r="G29" s="46">
        <f t="shared" si="4"/>
        <v>97.339246119733929</v>
      </c>
      <c r="H29" s="46" t="str">
        <f t="shared" si="5"/>
        <v>95 - 98</v>
      </c>
      <c r="I29" s="602">
        <f t="shared" si="6"/>
        <v>14.634146341463421</v>
      </c>
      <c r="J29" s="601">
        <f t="shared" si="7"/>
        <v>1.1086474501108654</v>
      </c>
      <c r="K29" s="600">
        <v>60</v>
      </c>
      <c r="L29" s="599">
        <v>90</v>
      </c>
      <c r="M29" s="427">
        <v>368</v>
      </c>
      <c r="N29" s="427">
        <v>451</v>
      </c>
      <c r="O29" s="427">
        <v>66</v>
      </c>
      <c r="P29" s="427">
        <v>451</v>
      </c>
      <c r="Q29" s="427">
        <v>5</v>
      </c>
      <c r="R29" s="427">
        <v>451</v>
      </c>
      <c r="S29" s="325"/>
      <c r="T29" s="326"/>
    </row>
    <row r="30" spans="1:20">
      <c r="A30" s="45" t="s">
        <v>130</v>
      </c>
      <c r="B30" s="45" t="s">
        <v>131</v>
      </c>
      <c r="C30" s="46">
        <f t="shared" si="0"/>
        <v>78.918918918918919</v>
      </c>
      <c r="D30" s="46" t="str">
        <f t="shared" si="1"/>
        <v>72 - 84</v>
      </c>
      <c r="E30" s="46">
        <f t="shared" si="2"/>
        <v>93.513513513513516</v>
      </c>
      <c r="F30" s="46" t="str">
        <f t="shared" si="3"/>
        <v>89 - 96</v>
      </c>
      <c r="G30" s="46">
        <f t="shared" si="4"/>
        <v>95.135135135135144</v>
      </c>
      <c r="H30" s="46" t="str">
        <f t="shared" si="5"/>
        <v>91 - 97</v>
      </c>
      <c r="I30" s="602">
        <f t="shared" si="6"/>
        <v>14.594594594594597</v>
      </c>
      <c r="J30" s="601">
        <f t="shared" si="7"/>
        <v>1.6216216216216282</v>
      </c>
      <c r="K30" s="600">
        <v>60</v>
      </c>
      <c r="L30" s="599">
        <v>90</v>
      </c>
      <c r="M30" s="427">
        <v>146</v>
      </c>
      <c r="N30" s="427">
        <v>185</v>
      </c>
      <c r="O30" s="427">
        <v>27</v>
      </c>
      <c r="P30" s="427">
        <v>185</v>
      </c>
      <c r="Q30" s="427">
        <v>3</v>
      </c>
      <c r="R30" s="427">
        <v>185</v>
      </c>
      <c r="S30" s="325"/>
      <c r="T30" s="326"/>
    </row>
    <row r="31" spans="1:20">
      <c r="A31" s="45" t="s">
        <v>133</v>
      </c>
      <c r="B31" s="45" t="s">
        <v>134</v>
      </c>
      <c r="C31" s="46">
        <f t="shared" si="0"/>
        <v>100</v>
      </c>
      <c r="D31" s="46" t="str">
        <f t="shared" si="1"/>
        <v>21 - 100</v>
      </c>
      <c r="E31" s="46">
        <f t="shared" si="2"/>
        <v>100</v>
      </c>
      <c r="F31" s="46" t="str">
        <f t="shared" si="3"/>
        <v>21 - 100</v>
      </c>
      <c r="G31" s="46">
        <f t="shared" si="4"/>
        <v>100</v>
      </c>
      <c r="H31" s="46" t="str">
        <f t="shared" si="5"/>
        <v>21 - 100</v>
      </c>
      <c r="I31" s="602">
        <f t="shared" si="6"/>
        <v>0</v>
      </c>
      <c r="J31" s="601">
        <f t="shared" si="7"/>
        <v>0</v>
      </c>
      <c r="K31" s="600">
        <v>60</v>
      </c>
      <c r="L31" s="599">
        <v>90</v>
      </c>
      <c r="M31" s="427">
        <v>1</v>
      </c>
      <c r="N31" s="427">
        <v>1</v>
      </c>
      <c r="O31" s="427">
        <v>0</v>
      </c>
      <c r="P31" s="427">
        <v>1</v>
      </c>
      <c r="Q31" s="427">
        <v>0</v>
      </c>
      <c r="R31" s="427">
        <v>1</v>
      </c>
      <c r="S31" s="325"/>
      <c r="T31" s="326"/>
    </row>
    <row r="32" spans="1:20">
      <c r="A32" s="45" t="s">
        <v>39</v>
      </c>
      <c r="B32" s="45" t="s">
        <v>136</v>
      </c>
      <c r="C32" s="46">
        <f t="shared" si="0"/>
        <v>91.17647058823529</v>
      </c>
      <c r="D32" s="46" t="str">
        <f t="shared" si="1"/>
        <v>77 - 97</v>
      </c>
      <c r="E32" s="46">
        <f t="shared" si="2"/>
        <v>94.117647058823522</v>
      </c>
      <c r="F32" s="46" t="str">
        <f t="shared" si="3"/>
        <v>81 - 98</v>
      </c>
      <c r="G32" s="46">
        <f t="shared" si="4"/>
        <v>94.117647058823522</v>
      </c>
      <c r="H32" s="46" t="str">
        <f t="shared" si="5"/>
        <v>81 - 98</v>
      </c>
      <c r="I32" s="598">
        <f t="shared" si="6"/>
        <v>2.941176470588232</v>
      </c>
      <c r="J32" s="597">
        <f t="shared" si="7"/>
        <v>0</v>
      </c>
      <c r="K32" s="596">
        <v>60</v>
      </c>
      <c r="L32" s="595">
        <v>90</v>
      </c>
      <c r="M32" s="427">
        <v>31</v>
      </c>
      <c r="N32" s="427">
        <v>34</v>
      </c>
      <c r="O32" s="427">
        <v>1</v>
      </c>
      <c r="P32" s="427">
        <v>34</v>
      </c>
      <c r="Q32" s="427">
        <v>0</v>
      </c>
      <c r="R32" s="427">
        <v>34</v>
      </c>
      <c r="S32" s="325"/>
      <c r="T32" s="326"/>
    </row>
    <row r="33" spans="1:20" hidden="1">
      <c r="A33" s="45"/>
      <c r="B33" s="45"/>
      <c r="C33" s="46" t="str">
        <f t="shared" si="0"/>
        <v/>
      </c>
      <c r="D33" s="46" t="e">
        <f t="shared" si="1"/>
        <v>#DIV/0!</v>
      </c>
      <c r="E33" s="46" t="str">
        <f t="shared" si="2"/>
        <v/>
      </c>
      <c r="F33" s="46" t="e">
        <f t="shared" si="3"/>
        <v>#DIV/0!</v>
      </c>
      <c r="G33" s="46" t="str">
        <f t="shared" si="4"/>
        <v/>
      </c>
      <c r="H33" s="46" t="e">
        <f t="shared" si="5"/>
        <v>#DIV/0!</v>
      </c>
      <c r="I33" s="594" t="e">
        <f t="shared" si="6"/>
        <v>#VALUE!</v>
      </c>
      <c r="J33" s="593" t="e">
        <f t="shared" si="7"/>
        <v>#VALUE!</v>
      </c>
      <c r="K33" s="592">
        <v>60</v>
      </c>
      <c r="L33" s="591">
        <v>90</v>
      </c>
      <c r="M33" s="427"/>
      <c r="N33" s="427"/>
      <c r="O33" s="427"/>
      <c r="P33" s="427"/>
      <c r="Q33" s="427"/>
      <c r="R33" s="427"/>
      <c r="S33" s="325"/>
      <c r="T33" s="326"/>
    </row>
    <row r="34" spans="1:20">
      <c r="A34" s="50"/>
      <c r="C34" s="34"/>
      <c r="D34" s="34"/>
      <c r="E34" s="34"/>
      <c r="F34" s="34"/>
      <c r="G34" s="34"/>
      <c r="H34" s="34"/>
      <c r="I34" s="34"/>
      <c r="J34" s="34"/>
    </row>
    <row r="35" spans="1:20">
      <c r="A35" s="51"/>
      <c r="C35" s="34"/>
      <c r="D35" s="34"/>
      <c r="E35" s="34"/>
      <c r="F35" s="34"/>
      <c r="G35" s="34"/>
      <c r="H35" s="34"/>
      <c r="I35" s="34"/>
      <c r="J35" s="34"/>
    </row>
    <row r="36" spans="1:20" ht="30" customHeight="1">
      <c r="A36" s="839" t="s">
        <v>138</v>
      </c>
      <c r="B36" s="840"/>
      <c r="C36" s="841" t="str">
        <f>C2&amp;" (%)"</f>
        <v>Same Day (%)</v>
      </c>
      <c r="D36" s="842"/>
      <c r="E36" s="841" t="str">
        <f>E2&amp;" (%)"</f>
        <v>Within 1 Day (%)</v>
      </c>
      <c r="F36" s="842"/>
      <c r="G36" s="841" t="str">
        <f>G2&amp;" (%)"</f>
        <v>Within 2 Days (%)</v>
      </c>
      <c r="H36" s="843"/>
      <c r="I36" s="844"/>
      <c r="J36" s="845"/>
      <c r="K36" s="845"/>
      <c r="L36" s="846"/>
      <c r="M36" s="850" t="s">
        <v>51</v>
      </c>
      <c r="N36" s="851"/>
      <c r="O36" s="851" t="s">
        <v>52</v>
      </c>
      <c r="P36" s="851"/>
      <c r="Q36" s="851" t="s">
        <v>139</v>
      </c>
      <c r="R36" s="852"/>
      <c r="S36" s="837"/>
      <c r="T36" s="838"/>
    </row>
    <row r="37" spans="1:20" ht="35.1" customHeight="1">
      <c r="A37" s="52"/>
      <c r="B37" s="53" t="s">
        <v>140</v>
      </c>
      <c r="C37" s="54" t="s">
        <v>141</v>
      </c>
      <c r="D37" s="55" t="s">
        <v>55</v>
      </c>
      <c r="E37" s="54" t="s">
        <v>141</v>
      </c>
      <c r="F37" s="55" t="s">
        <v>55</v>
      </c>
      <c r="G37" s="54" t="s">
        <v>141</v>
      </c>
      <c r="H37" s="56" t="s">
        <v>55</v>
      </c>
      <c r="I37" s="847"/>
      <c r="J37" s="848"/>
      <c r="K37" s="848"/>
      <c r="L37" s="849"/>
      <c r="M37" s="57" t="s">
        <v>28</v>
      </c>
      <c r="N37" s="58" t="s">
        <v>29</v>
      </c>
      <c r="O37" s="58" t="s">
        <v>28</v>
      </c>
      <c r="P37" s="58" t="s">
        <v>29</v>
      </c>
      <c r="Q37" s="58" t="s">
        <v>28</v>
      </c>
      <c r="R37" s="59" t="s">
        <v>29</v>
      </c>
      <c r="S37" s="325"/>
      <c r="T37" s="326"/>
    </row>
    <row r="38" spans="1:20">
      <c r="A38" s="858"/>
      <c r="B38" s="60" t="s">
        <v>35</v>
      </c>
      <c r="C38" s="46">
        <f t="shared" ref="C38:C51" si="9">M38/N38*100</f>
        <v>76.153846153846146</v>
      </c>
      <c r="D38" s="46" t="str">
        <f t="shared" ref="D38:D51" si="10">IF(AND(N38&gt;0,ROUND(SUM(100*((2*M38+1.96^2)-(1.96*(SQRT(1.96^2+4*M38*(1-(M38/N38))))))/(2*(N38+1.96^2))),0)&lt;0),CONCATENATE(SUM(1*0)," - ",ROUND(SUM(100*((2*M38+1.96^2)+(1.96*(SQRT(1.96^2+4*M38*(1-(M38/N38))))))/(2*(N38+1.96^2))),0)),IF(AND(N38&gt;0,ROUND(SUM(100*((2*M38+1.96^2)-(1.96*(SQRT(1.96^2+4*M38*(1-(M38/N38))))))/(2*(N38+1.96^2))),0)&gt;=0),CONCATENATE(ROUND(SUM(100*((2*M38+1.96^2)-(1.96*(SQRT(1.96^2+4*M38*(1-(M38/N38))))))/(2*(N38+1.96^2))),0)," - ",ROUND(SUM(100*((2*M38+1.96^2)+(1.96*(SQRT(1.96^2+4*M38*(1-(M38/N38))))))/(2*(N38+1.96^2))),0)),""))</f>
        <v>73 - 79</v>
      </c>
      <c r="E38" s="46">
        <f t="shared" ref="E38:E51" si="11">(M38+O38)/P38*100</f>
        <v>88.153846153846146</v>
      </c>
      <c r="F38" s="46" t="str">
        <f t="shared" ref="F38:F51" si="12">IF(AND(P38&gt;0,ROUND(SUM(100*((2*(M38+O38)+1.96^2)-(1.96*(SQRT(1.96^2+4*(M38+O38)*(1-((M38+O38)/P38))))))/(2*(P38+1.96^2))),0)&lt;0),CONCATENATE(SUM(1*0)," - ",ROUND(SUM(100*((2*(M38+O38)+1.96^2)+(1.96*(SQRT(1.96^2+4*(M38+O38)*(1-((M38+O38)/P38))))))/(2*(P38+1.96^2))),0)),IF(AND(P38&gt;0,ROUND(SUM(100*((2*(M38+O38)+1.96^2)-(1.96*(SQRT(1.96^2+4*(M38+O38)*(1-((M38+O38)/P38))))))/(2*(P38+1.96^2))),0)&gt;=0),CONCATENATE(ROUND(SUM(100*((2*(M38+O38)+1.96^2)-(1.96*(SQRT(1.96^2+4*(M38+O38)*(1-((M38+O38)/P38))))))/(2*(P38+1.96^2))),0)," - ",ROUND(SUM(100*((2*(M38+O38)+1.96^2)+(1.96*(SQRT(1.96^2+4*(M38+O38)*(1-((M38+O38)/P38))))))/(2*(P38+1.96^2))),0)),""))</f>
        <v>85 - 90</v>
      </c>
      <c r="G38" s="46">
        <f t="shared" ref="G38:G51" si="13">(M38+O38+Q38)/R38*100</f>
        <v>90.461538461538453</v>
      </c>
      <c r="H38" s="46" t="str">
        <f t="shared" ref="H38:H51" si="14">IF(AND(R38&gt;0,ROUND(SUM(100*((2*(M38+O38+Q38)+1.96^2)-(1.96*(SQRT(1.96^2+4*(M38+O38+Q38)*(1-((M38+O38+Q38)/R38))))))/(2*(R38+1.96^2))),0)&lt;0),CONCATENATE(SUM(1*0)," - ",ROUND(SUM(100*((2*(M38+O38+Q38)+1.96^2)+(1.96*(SQRT(1.96^2+4*(M38+O38+Q38)*(1-((M38+O38+Q38)/R38))))))/(2*(R38+1.96^2))),0)),IF(AND(R38&gt;0,ROUND(SUM(100*((2*(M38+O38+Q38)+1.96^2)-(1.96*(SQRT(1.96^2+4*(M38+O38+Q38)*(1-((M38+O38+Q38)/R38))))))/(2*(R38+1.96^2))),0)&gt;=0),CONCATENATE(ROUND(SUM(100*((2*(M38+O38+Q38)+1.96^2)-(1.96*(SQRT(1.96^2+4*(M38+O38+Q38)*(1-((M38+O38+Q38)/R38))))))/(2*(R38+1.96^2))),0)," - ",ROUND(SUM(100*((2*(M38+O38+Q38)+1.96^2)+(1.96*(SQRT(1.96^2+4*(M38+O38+Q38)*(1-((M38+O38+Q38)/R38))))))/(2*(R38+1.96^2))),0)),""))</f>
        <v>88 - 92</v>
      </c>
      <c r="I38" s="861"/>
      <c r="J38" s="862"/>
      <c r="K38" s="862"/>
      <c r="L38" s="863"/>
      <c r="M38" s="428">
        <v>495</v>
      </c>
      <c r="N38" s="428">
        <v>650</v>
      </c>
      <c r="O38" s="590">
        <v>78</v>
      </c>
      <c r="P38" s="590">
        <v>650</v>
      </c>
      <c r="Q38" s="429">
        <v>15</v>
      </c>
      <c r="R38" s="429">
        <v>650</v>
      </c>
      <c r="S38" s="325"/>
      <c r="T38" s="326"/>
    </row>
    <row r="39" spans="1:20">
      <c r="A39" s="859"/>
      <c r="B39" s="60" t="s">
        <v>30</v>
      </c>
      <c r="C39" s="46">
        <f t="shared" si="9"/>
        <v>93.607305936073061</v>
      </c>
      <c r="D39" s="46" t="str">
        <f t="shared" si="10"/>
        <v>90 - 96</v>
      </c>
      <c r="E39" s="46">
        <f t="shared" si="11"/>
        <v>98.173515981735164</v>
      </c>
      <c r="F39" s="46" t="str">
        <f t="shared" si="12"/>
        <v>95 - 99</v>
      </c>
      <c r="G39" s="46">
        <f t="shared" si="13"/>
        <v>98.630136986301366</v>
      </c>
      <c r="H39" s="46" t="str">
        <f t="shared" si="14"/>
        <v>96 - 100</v>
      </c>
      <c r="I39" s="861"/>
      <c r="J39" s="862"/>
      <c r="K39" s="862"/>
      <c r="L39" s="863"/>
      <c r="M39" s="428">
        <v>205</v>
      </c>
      <c r="N39" s="428">
        <v>219</v>
      </c>
      <c r="O39" s="428">
        <v>10</v>
      </c>
      <c r="P39" s="428">
        <v>219</v>
      </c>
      <c r="Q39" s="429">
        <v>1</v>
      </c>
      <c r="R39" s="429">
        <v>219</v>
      </c>
      <c r="S39" s="327"/>
      <c r="T39" s="328"/>
    </row>
    <row r="40" spans="1:20">
      <c r="A40" s="859"/>
      <c r="B40" s="60" t="s">
        <v>33</v>
      </c>
      <c r="C40" s="46">
        <f t="shared" si="9"/>
        <v>86.219081272084807</v>
      </c>
      <c r="D40" s="46" t="str">
        <f t="shared" si="10"/>
        <v>82 - 90</v>
      </c>
      <c r="E40" s="46">
        <f t="shared" si="11"/>
        <v>94.699646643109531</v>
      </c>
      <c r="F40" s="46" t="str">
        <f t="shared" si="12"/>
        <v>91 - 97</v>
      </c>
      <c r="G40" s="46">
        <f t="shared" si="13"/>
        <v>97.173144876325097</v>
      </c>
      <c r="H40" s="46" t="str">
        <f t="shared" si="14"/>
        <v>95 - 99</v>
      </c>
      <c r="I40" s="861"/>
      <c r="J40" s="862"/>
      <c r="K40" s="862"/>
      <c r="L40" s="863"/>
      <c r="M40" s="428">
        <v>244</v>
      </c>
      <c r="N40" s="428">
        <v>283</v>
      </c>
      <c r="O40" s="428">
        <v>24</v>
      </c>
      <c r="P40" s="428">
        <v>283</v>
      </c>
      <c r="Q40" s="429">
        <v>7</v>
      </c>
      <c r="R40" s="429">
        <v>283</v>
      </c>
      <c r="S40" s="327"/>
      <c r="T40" s="328"/>
    </row>
    <row r="41" spans="1:20">
      <c r="A41" s="859"/>
      <c r="B41" s="60" t="s">
        <v>32</v>
      </c>
      <c r="C41" s="46">
        <f t="shared" si="9"/>
        <v>83.596214511041012</v>
      </c>
      <c r="D41" s="46" t="str">
        <f t="shared" si="10"/>
        <v>81 - 86</v>
      </c>
      <c r="E41" s="46">
        <f t="shared" si="11"/>
        <v>90.694006309148264</v>
      </c>
      <c r="F41" s="46" t="str">
        <f t="shared" si="12"/>
        <v>88 - 93</v>
      </c>
      <c r="G41" s="46">
        <f t="shared" si="13"/>
        <v>91.955835962145102</v>
      </c>
      <c r="H41" s="46" t="str">
        <f t="shared" si="14"/>
        <v>90 - 94</v>
      </c>
      <c r="I41" s="861"/>
      <c r="J41" s="862"/>
      <c r="K41" s="862"/>
      <c r="L41" s="863"/>
      <c r="M41" s="428">
        <v>530</v>
      </c>
      <c r="N41" s="428">
        <v>634</v>
      </c>
      <c r="O41" s="428">
        <v>45</v>
      </c>
      <c r="P41" s="428">
        <v>634</v>
      </c>
      <c r="Q41" s="429">
        <v>8</v>
      </c>
      <c r="R41" s="429">
        <v>634</v>
      </c>
      <c r="S41" s="327"/>
      <c r="T41" s="328"/>
    </row>
    <row r="42" spans="1:20">
      <c r="A42" s="859"/>
      <c r="B42" s="60" t="s">
        <v>37</v>
      </c>
      <c r="C42" s="46">
        <f t="shared" si="9"/>
        <v>84.375</v>
      </c>
      <c r="D42" s="46" t="str">
        <f t="shared" si="10"/>
        <v>81 - 87</v>
      </c>
      <c r="E42" s="46">
        <f t="shared" si="11"/>
        <v>95.404411764705884</v>
      </c>
      <c r="F42" s="46" t="str">
        <f t="shared" si="12"/>
        <v>93 - 97</v>
      </c>
      <c r="G42" s="46">
        <f t="shared" si="13"/>
        <v>96.139705882352942</v>
      </c>
      <c r="H42" s="46" t="str">
        <f t="shared" si="14"/>
        <v>94 - 97</v>
      </c>
      <c r="I42" s="861"/>
      <c r="J42" s="862"/>
      <c r="K42" s="862"/>
      <c r="L42" s="863"/>
      <c r="M42" s="428">
        <v>459</v>
      </c>
      <c r="N42" s="428">
        <v>544</v>
      </c>
      <c r="O42" s="428">
        <v>60</v>
      </c>
      <c r="P42" s="428">
        <v>544</v>
      </c>
      <c r="Q42" s="429">
        <v>4</v>
      </c>
      <c r="R42" s="429">
        <v>544</v>
      </c>
      <c r="S42" s="327"/>
      <c r="T42" s="328"/>
    </row>
    <row r="43" spans="1:20">
      <c r="A43" s="859"/>
      <c r="B43" s="60" t="s">
        <v>36</v>
      </c>
      <c r="C43" s="46">
        <f t="shared" si="9"/>
        <v>77.399756986634259</v>
      </c>
      <c r="D43" s="46" t="str">
        <f t="shared" si="10"/>
        <v>74 - 80</v>
      </c>
      <c r="E43" s="46">
        <f t="shared" si="11"/>
        <v>87.363304981773993</v>
      </c>
      <c r="F43" s="46" t="str">
        <f t="shared" si="12"/>
        <v>85 - 89</v>
      </c>
      <c r="G43" s="46">
        <f t="shared" si="13"/>
        <v>89.671931956257595</v>
      </c>
      <c r="H43" s="46" t="str">
        <f t="shared" si="14"/>
        <v>87 - 92</v>
      </c>
      <c r="I43" s="861"/>
      <c r="J43" s="862"/>
      <c r="K43" s="862"/>
      <c r="L43" s="863"/>
      <c r="M43" s="428">
        <v>637</v>
      </c>
      <c r="N43" s="428">
        <v>823</v>
      </c>
      <c r="O43" s="428">
        <v>82</v>
      </c>
      <c r="P43" s="428">
        <v>823</v>
      </c>
      <c r="Q43" s="429">
        <v>19</v>
      </c>
      <c r="R43" s="429">
        <v>823</v>
      </c>
      <c r="S43" s="327"/>
      <c r="T43" s="328"/>
    </row>
    <row r="44" spans="1:20">
      <c r="A44" s="859"/>
      <c r="B44" s="60" t="s">
        <v>42</v>
      </c>
      <c r="C44" s="46">
        <f t="shared" si="9"/>
        <v>74.798567591763657</v>
      </c>
      <c r="D44" s="46" t="str">
        <f t="shared" si="10"/>
        <v>73 - 77</v>
      </c>
      <c r="E44" s="46">
        <f t="shared" si="11"/>
        <v>91.136974037600709</v>
      </c>
      <c r="F44" s="46" t="str">
        <f t="shared" si="12"/>
        <v>90 - 92</v>
      </c>
      <c r="G44" s="46">
        <f t="shared" si="13"/>
        <v>92.972247090420765</v>
      </c>
      <c r="H44" s="46" t="str">
        <f t="shared" si="14"/>
        <v>92 - 94</v>
      </c>
      <c r="I44" s="861"/>
      <c r="J44" s="862"/>
      <c r="K44" s="862"/>
      <c r="L44" s="863"/>
      <c r="M44" s="428">
        <v>1671</v>
      </c>
      <c r="N44" s="428">
        <v>2234</v>
      </c>
      <c r="O44" s="428">
        <v>365</v>
      </c>
      <c r="P44" s="428">
        <v>2234</v>
      </c>
      <c r="Q44" s="429">
        <v>41</v>
      </c>
      <c r="R44" s="429">
        <v>2234</v>
      </c>
      <c r="S44" s="327"/>
      <c r="T44" s="328"/>
    </row>
    <row r="45" spans="1:20">
      <c r="A45" s="859"/>
      <c r="B45" s="60" t="s">
        <v>38</v>
      </c>
      <c r="C45" s="46">
        <f t="shared" si="9"/>
        <v>89.178356713426851</v>
      </c>
      <c r="D45" s="46" t="str">
        <f t="shared" si="10"/>
        <v>86 - 92</v>
      </c>
      <c r="E45" s="46">
        <f t="shared" si="11"/>
        <v>97.99599198396794</v>
      </c>
      <c r="F45" s="46" t="str">
        <f t="shared" si="12"/>
        <v>96 - 99</v>
      </c>
      <c r="G45" s="46">
        <f t="shared" si="13"/>
        <v>98.396793587174344</v>
      </c>
      <c r="H45" s="46" t="str">
        <f t="shared" si="14"/>
        <v>97 - 99</v>
      </c>
      <c r="I45" s="861"/>
      <c r="J45" s="862"/>
      <c r="K45" s="862"/>
      <c r="L45" s="863"/>
      <c r="M45" s="428">
        <v>445</v>
      </c>
      <c r="N45" s="428">
        <v>499</v>
      </c>
      <c r="O45" s="428">
        <v>44</v>
      </c>
      <c r="P45" s="428">
        <v>499</v>
      </c>
      <c r="Q45" s="429">
        <v>2</v>
      </c>
      <c r="R45" s="429">
        <v>499</v>
      </c>
      <c r="S45" s="327"/>
      <c r="T45" s="328"/>
    </row>
    <row r="46" spans="1:20">
      <c r="A46" s="859"/>
      <c r="B46" s="60" t="s">
        <v>31</v>
      </c>
      <c r="C46" s="46">
        <f t="shared" si="9"/>
        <v>84.921465968586389</v>
      </c>
      <c r="D46" s="46" t="str">
        <f t="shared" si="10"/>
        <v>83 - 87</v>
      </c>
      <c r="E46" s="46">
        <f t="shared" si="11"/>
        <v>94.031413612565444</v>
      </c>
      <c r="F46" s="46" t="str">
        <f t="shared" si="12"/>
        <v>92 - 95</v>
      </c>
      <c r="G46" s="46">
        <f t="shared" si="13"/>
        <v>95.706806282722511</v>
      </c>
      <c r="H46" s="46" t="str">
        <f t="shared" si="14"/>
        <v>94 - 97</v>
      </c>
      <c r="I46" s="861"/>
      <c r="J46" s="862"/>
      <c r="K46" s="862"/>
      <c r="L46" s="863"/>
      <c r="M46" s="428">
        <v>811</v>
      </c>
      <c r="N46" s="428">
        <v>955</v>
      </c>
      <c r="O46" s="428">
        <v>87</v>
      </c>
      <c r="P46" s="428">
        <v>955</v>
      </c>
      <c r="Q46" s="429">
        <v>16</v>
      </c>
      <c r="R46" s="429">
        <v>955</v>
      </c>
      <c r="S46" s="327"/>
      <c r="T46" s="328"/>
    </row>
    <row r="47" spans="1:20">
      <c r="A47" s="859"/>
      <c r="B47" s="60" t="s">
        <v>40</v>
      </c>
      <c r="C47" s="46">
        <f t="shared" si="9"/>
        <v>76.789437109103545</v>
      </c>
      <c r="D47" s="46" t="str">
        <f t="shared" si="10"/>
        <v>75 - 79</v>
      </c>
      <c r="E47" s="46">
        <f t="shared" si="11"/>
        <v>90.826963168867266</v>
      </c>
      <c r="F47" s="46" t="str">
        <f t="shared" si="12"/>
        <v>89 - 92</v>
      </c>
      <c r="G47" s="46">
        <f t="shared" si="13"/>
        <v>92.981236970118147</v>
      </c>
      <c r="H47" s="46" t="str">
        <f t="shared" si="14"/>
        <v>92 - 94</v>
      </c>
      <c r="I47" s="861"/>
      <c r="J47" s="862"/>
      <c r="K47" s="862"/>
      <c r="L47" s="863"/>
      <c r="M47" s="428">
        <v>1105</v>
      </c>
      <c r="N47" s="428">
        <v>1439</v>
      </c>
      <c r="O47" s="428">
        <v>202</v>
      </c>
      <c r="P47" s="428">
        <v>1439</v>
      </c>
      <c r="Q47" s="429">
        <v>31</v>
      </c>
      <c r="R47" s="429">
        <v>1439</v>
      </c>
      <c r="S47" s="327"/>
      <c r="T47" s="328"/>
    </row>
    <row r="48" spans="1:20">
      <c r="A48" s="859"/>
      <c r="B48" s="60" t="s">
        <v>43</v>
      </c>
      <c r="C48" s="46">
        <f t="shared" si="9"/>
        <v>72.5</v>
      </c>
      <c r="D48" s="46" t="str">
        <f t="shared" si="10"/>
        <v>57 - 84</v>
      </c>
      <c r="E48" s="46">
        <f t="shared" si="11"/>
        <v>90</v>
      </c>
      <c r="F48" s="46" t="str">
        <f t="shared" si="12"/>
        <v>77 - 96</v>
      </c>
      <c r="G48" s="46">
        <f t="shared" si="13"/>
        <v>90</v>
      </c>
      <c r="H48" s="46" t="str">
        <f t="shared" si="14"/>
        <v>77 - 96</v>
      </c>
      <c r="I48" s="861"/>
      <c r="J48" s="862"/>
      <c r="K48" s="862"/>
      <c r="L48" s="863"/>
      <c r="M48" s="428">
        <v>29</v>
      </c>
      <c r="N48" s="428">
        <v>40</v>
      </c>
      <c r="O48" s="428">
        <v>7</v>
      </c>
      <c r="P48" s="428">
        <v>40</v>
      </c>
      <c r="Q48" s="429">
        <v>0</v>
      </c>
      <c r="R48" s="429">
        <v>40</v>
      </c>
      <c r="S48" s="327"/>
      <c r="T48" s="328"/>
    </row>
    <row r="49" spans="1:20">
      <c r="A49" s="859"/>
      <c r="B49" s="60" t="s">
        <v>41</v>
      </c>
      <c r="C49" s="46">
        <f t="shared" si="9"/>
        <v>94.285714285714278</v>
      </c>
      <c r="D49" s="46" t="str">
        <f t="shared" si="10"/>
        <v>81 - 98</v>
      </c>
      <c r="E49" s="46">
        <f t="shared" si="11"/>
        <v>97.142857142857139</v>
      </c>
      <c r="F49" s="46" t="str">
        <f t="shared" si="12"/>
        <v>85 - 99</v>
      </c>
      <c r="G49" s="46">
        <f t="shared" si="13"/>
        <v>97.142857142857139</v>
      </c>
      <c r="H49" s="46" t="str">
        <f t="shared" si="14"/>
        <v>85 - 99</v>
      </c>
      <c r="I49" s="861"/>
      <c r="J49" s="862"/>
      <c r="K49" s="862"/>
      <c r="L49" s="863"/>
      <c r="M49" s="428">
        <v>33</v>
      </c>
      <c r="N49" s="428">
        <v>35</v>
      </c>
      <c r="O49" s="428">
        <v>1</v>
      </c>
      <c r="P49" s="428">
        <v>35</v>
      </c>
      <c r="Q49" s="429">
        <v>0</v>
      </c>
      <c r="R49" s="429">
        <v>35</v>
      </c>
      <c r="S49" s="327"/>
      <c r="T49" s="328"/>
    </row>
    <row r="50" spans="1:20">
      <c r="A50" s="859"/>
      <c r="B50" s="60" t="s">
        <v>34</v>
      </c>
      <c r="C50" s="46">
        <f t="shared" si="9"/>
        <v>80.817610062893081</v>
      </c>
      <c r="D50" s="46" t="str">
        <f t="shared" si="10"/>
        <v>78 - 84</v>
      </c>
      <c r="E50" s="46">
        <f t="shared" si="11"/>
        <v>95.440251572327043</v>
      </c>
      <c r="F50" s="46" t="str">
        <f t="shared" si="12"/>
        <v>94 - 97</v>
      </c>
      <c r="G50" s="46">
        <f t="shared" si="13"/>
        <v>96.698113207547166</v>
      </c>
      <c r="H50" s="46" t="str">
        <f t="shared" si="14"/>
        <v>95 - 98</v>
      </c>
      <c r="I50" s="861"/>
      <c r="J50" s="862"/>
      <c r="K50" s="862"/>
      <c r="L50" s="863"/>
      <c r="M50" s="428">
        <v>514</v>
      </c>
      <c r="N50" s="428">
        <v>636</v>
      </c>
      <c r="O50" s="428">
        <v>93</v>
      </c>
      <c r="P50" s="428">
        <v>636</v>
      </c>
      <c r="Q50" s="429">
        <v>8</v>
      </c>
      <c r="R50" s="429">
        <v>636</v>
      </c>
      <c r="S50" s="327"/>
      <c r="T50" s="328"/>
    </row>
    <row r="51" spans="1:20">
      <c r="A51" s="860"/>
      <c r="B51" s="60" t="s">
        <v>39</v>
      </c>
      <c r="C51" s="46">
        <f t="shared" si="9"/>
        <v>91.428571428571431</v>
      </c>
      <c r="D51" s="46" t="str">
        <f t="shared" si="10"/>
        <v>78 - 97</v>
      </c>
      <c r="E51" s="46">
        <f t="shared" si="11"/>
        <v>94.285714285714278</v>
      </c>
      <c r="F51" s="46" t="str">
        <f t="shared" si="12"/>
        <v>81 - 98</v>
      </c>
      <c r="G51" s="46">
        <f t="shared" si="13"/>
        <v>94.285714285714278</v>
      </c>
      <c r="H51" s="46" t="str">
        <f t="shared" si="14"/>
        <v>81 - 98</v>
      </c>
      <c r="I51" s="864"/>
      <c r="J51" s="865"/>
      <c r="K51" s="865"/>
      <c r="L51" s="866"/>
      <c r="M51" s="428">
        <v>32</v>
      </c>
      <c r="N51" s="428">
        <v>35</v>
      </c>
      <c r="O51" s="428">
        <v>1</v>
      </c>
      <c r="P51" s="428">
        <v>35</v>
      </c>
      <c r="Q51" s="429">
        <v>0</v>
      </c>
      <c r="R51" s="429">
        <v>35</v>
      </c>
      <c r="S51" s="327"/>
      <c r="T51" s="328"/>
    </row>
    <row r="52" spans="1:20">
      <c r="A52" s="51"/>
      <c r="B52" s="33"/>
      <c r="C52" s="34"/>
      <c r="D52" s="34"/>
      <c r="E52" s="34"/>
      <c r="F52" s="34"/>
      <c r="G52" s="34"/>
      <c r="H52" s="34"/>
      <c r="I52" s="34"/>
      <c r="J52" s="34"/>
      <c r="M52" s="35"/>
      <c r="N52" s="35"/>
      <c r="O52" s="35"/>
      <c r="P52" s="35"/>
    </row>
    <row r="53" spans="1:20" s="569" customFormat="1">
      <c r="A53" s="51"/>
      <c r="B53" s="579"/>
      <c r="C53" s="34"/>
      <c r="D53" s="34"/>
      <c r="E53" s="34"/>
      <c r="F53" s="34"/>
      <c r="G53" s="34"/>
      <c r="H53" s="34"/>
      <c r="I53" s="34"/>
      <c r="J53" s="34"/>
      <c r="M53" s="579"/>
      <c r="N53" s="579"/>
      <c r="O53" s="579"/>
      <c r="P53" s="579"/>
      <c r="Q53" s="579"/>
      <c r="R53" s="579"/>
      <c r="S53" s="579"/>
      <c r="T53" s="579"/>
    </row>
    <row r="54" spans="1:20" s="569" customFormat="1">
      <c r="A54" s="51"/>
      <c r="B54" s="579"/>
      <c r="C54" s="34"/>
      <c r="D54" s="34"/>
      <c r="E54" s="34"/>
      <c r="F54" s="34"/>
      <c r="G54" s="34"/>
      <c r="H54" s="34"/>
      <c r="I54" s="34"/>
      <c r="J54" s="34"/>
      <c r="M54" s="579"/>
      <c r="N54" s="579"/>
      <c r="O54" s="579"/>
      <c r="P54" s="579"/>
      <c r="Q54" s="579"/>
      <c r="R54" s="579"/>
      <c r="S54" s="579"/>
      <c r="T54" s="579"/>
    </row>
    <row r="55" spans="1:20" s="569" customFormat="1">
      <c r="A55" s="51"/>
      <c r="B55" s="579"/>
      <c r="C55" s="34"/>
      <c r="D55" s="34"/>
      <c r="E55" s="34"/>
      <c r="F55" s="34"/>
      <c r="G55" s="34"/>
      <c r="H55" s="34"/>
      <c r="I55" s="34"/>
      <c r="J55" s="34"/>
      <c r="M55" s="579"/>
      <c r="N55" s="579"/>
      <c r="O55" s="579"/>
      <c r="P55" s="579"/>
      <c r="Q55" s="579"/>
      <c r="R55" s="579"/>
      <c r="S55" s="579"/>
      <c r="T55" s="579"/>
    </row>
  </sheetData>
  <sheetProtection password="B8D9" sheet="1" objects="1" scenarios="1"/>
  <mergeCells count="17">
    <mergeCell ref="A38:A51"/>
    <mergeCell ref="I38:L51"/>
    <mergeCell ref="Q1:R1"/>
    <mergeCell ref="S1:T1"/>
    <mergeCell ref="A36:B36"/>
    <mergeCell ref="C36:D36"/>
    <mergeCell ref="E36:F36"/>
    <mergeCell ref="G36:H36"/>
    <mergeCell ref="I36:L37"/>
    <mergeCell ref="M36:N36"/>
    <mergeCell ref="S36:T36"/>
    <mergeCell ref="O36:P36"/>
    <mergeCell ref="Q36:R36"/>
    <mergeCell ref="A1:B1"/>
    <mergeCell ref="C1:H1"/>
    <mergeCell ref="M1:N1"/>
    <mergeCell ref="O1:P1"/>
  </mergeCells>
  <printOptions horizontalCentered="1"/>
  <pageMargins left="0" right="0" top="0.27559055118110237" bottom="0.51181102362204722" header="0.15748031496062992" footer="0.19685039370078741"/>
  <pageSetup paperSize="9" scale="6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33.xml><?xml version="1.0" encoding="utf-8"?>
<worksheet xmlns="http://schemas.openxmlformats.org/spreadsheetml/2006/main" xmlns:r="http://schemas.openxmlformats.org/officeDocument/2006/relationships">
  <sheetPr codeName="Sheet28">
    <pageSetUpPr fitToPage="1"/>
  </sheetPr>
  <dimension ref="B1:T42"/>
  <sheetViews>
    <sheetView workbookViewId="0"/>
  </sheetViews>
  <sheetFormatPr defaultRowHeight="12.75"/>
  <cols>
    <col min="1" max="1" width="2.7109375" style="336" customWidth="1"/>
    <col min="2" max="16384" width="9.140625" style="336"/>
  </cols>
  <sheetData>
    <row r="1" spans="2:20" s="588" customFormat="1">
      <c r="B1" s="26" t="s">
        <v>307</v>
      </c>
      <c r="C1" s="26"/>
      <c r="D1" s="26"/>
      <c r="E1" s="26"/>
      <c r="F1" s="26"/>
      <c r="G1" s="26"/>
      <c r="H1" s="26"/>
      <c r="I1" s="26"/>
      <c r="J1" s="26"/>
      <c r="K1" s="26"/>
      <c r="L1" s="26"/>
      <c r="M1" s="26"/>
      <c r="N1" s="26"/>
      <c r="O1" s="26"/>
      <c r="P1" s="26"/>
      <c r="Q1" s="26"/>
      <c r="R1" s="26"/>
      <c r="S1" s="26"/>
      <c r="T1" s="26"/>
    </row>
    <row r="2" spans="2:20" s="588" customFormat="1" ht="12.75" customHeight="1">
      <c r="B2" s="835"/>
      <c r="C2" s="835"/>
      <c r="D2" s="835"/>
      <c r="E2" s="835"/>
      <c r="F2" s="835"/>
      <c r="G2" s="835"/>
      <c r="H2" s="835"/>
      <c r="I2" s="835"/>
      <c r="J2" s="27"/>
      <c r="K2" s="27"/>
      <c r="L2" s="27"/>
      <c r="O2" s="27"/>
      <c r="P2" s="27"/>
      <c r="Q2" s="28"/>
      <c r="R2" s="803"/>
      <c r="S2" s="803"/>
      <c r="T2" s="803"/>
    </row>
    <row r="3" spans="2:20" s="588" customFormat="1" ht="12.75" customHeight="1">
      <c r="B3" s="397" t="s">
        <v>47</v>
      </c>
      <c r="C3" s="29"/>
      <c r="D3" s="29"/>
      <c r="E3" s="29"/>
      <c r="F3" s="29"/>
      <c r="G3" s="29"/>
      <c r="H3" s="29"/>
      <c r="I3" s="29"/>
      <c r="J3" s="29"/>
      <c r="K3" s="583"/>
      <c r="L3" s="92"/>
      <c r="O3" s="589"/>
      <c r="P3" s="802" t="s">
        <v>48</v>
      </c>
      <c r="Q3" s="29"/>
      <c r="R3" s="585"/>
      <c r="S3" s="585"/>
      <c r="T3" s="585"/>
    </row>
    <row r="4" spans="2:20" s="588" customFormat="1" ht="15" customHeight="1">
      <c r="B4" s="836" t="s">
        <v>310</v>
      </c>
      <c r="C4" s="836"/>
      <c r="D4" s="836"/>
      <c r="E4" s="836"/>
      <c r="F4" s="836"/>
      <c r="G4" s="836"/>
      <c r="H4" s="836"/>
      <c r="I4" s="836"/>
      <c r="J4" s="836"/>
      <c r="K4" s="836"/>
      <c r="L4" s="836"/>
      <c r="O4" s="589"/>
      <c r="P4" s="802"/>
      <c r="Q4" s="29"/>
      <c r="R4" s="585"/>
      <c r="S4" s="585"/>
      <c r="T4" s="585"/>
    </row>
    <row r="5" spans="2:20" s="588" customFormat="1" ht="15" customHeight="1">
      <c r="B5" s="836"/>
      <c r="C5" s="836"/>
      <c r="D5" s="836"/>
      <c r="E5" s="836"/>
      <c r="F5" s="836"/>
      <c r="G5" s="836"/>
      <c r="H5" s="836"/>
      <c r="I5" s="836"/>
      <c r="J5" s="836"/>
      <c r="K5" s="836"/>
      <c r="L5" s="836"/>
      <c r="M5" s="584"/>
      <c r="N5" s="584"/>
      <c r="O5" s="589"/>
      <c r="P5" s="802"/>
      <c r="Q5" s="29"/>
      <c r="R5" s="585"/>
      <c r="S5" s="585"/>
      <c r="T5" s="585"/>
    </row>
    <row r="6" spans="2:20" s="588" customFormat="1" ht="15" customHeight="1">
      <c r="B6" s="836"/>
      <c r="C6" s="836"/>
      <c r="D6" s="836"/>
      <c r="E6" s="836"/>
      <c r="F6" s="836"/>
      <c r="G6" s="836"/>
      <c r="H6" s="836"/>
      <c r="I6" s="836"/>
      <c r="J6" s="836"/>
      <c r="K6" s="836"/>
      <c r="L6" s="836"/>
      <c r="M6" s="584"/>
      <c r="N6" s="584"/>
      <c r="O6" s="30"/>
      <c r="P6" s="802"/>
      <c r="Q6" s="29"/>
      <c r="R6" s="585"/>
      <c r="S6" s="585"/>
      <c r="T6" s="585"/>
    </row>
    <row r="8" spans="2:20" ht="15">
      <c r="Q8"/>
    </row>
    <row r="41" spans="2:17" s="588" customFormat="1">
      <c r="B41" s="32" t="s">
        <v>634</v>
      </c>
      <c r="C41" s="33"/>
      <c r="D41" s="34"/>
      <c r="E41" s="34"/>
      <c r="F41" s="34"/>
      <c r="G41" s="34"/>
      <c r="H41" s="34"/>
      <c r="I41" s="34"/>
      <c r="J41" s="34"/>
      <c r="K41" s="34"/>
      <c r="L41" s="583"/>
      <c r="M41" s="583"/>
      <c r="N41" s="35"/>
      <c r="O41" s="35"/>
      <c r="P41" s="35"/>
      <c r="Q41" s="35"/>
    </row>
    <row r="42" spans="2:17" s="588" customFormat="1" ht="35.25" customHeight="1">
      <c r="B42" s="833" t="s">
        <v>0</v>
      </c>
      <c r="C42" s="834"/>
      <c r="D42" s="834"/>
      <c r="E42" s="834"/>
      <c r="F42" s="834"/>
      <c r="G42" s="834"/>
      <c r="H42" s="834"/>
      <c r="I42" s="834"/>
      <c r="J42" s="834"/>
      <c r="K42" s="834"/>
      <c r="L42" s="834"/>
      <c r="M42" s="834"/>
    </row>
  </sheetData>
  <sheetProtection password="B8D9" sheet="1" objects="1" scenarios="1"/>
  <mergeCells count="5">
    <mergeCell ref="B2:I2"/>
    <mergeCell ref="R2:T2"/>
    <mergeCell ref="B4:L6"/>
    <mergeCell ref="B42:M42"/>
    <mergeCell ref="P3:P6"/>
  </mergeCells>
  <hyperlinks>
    <hyperlink ref="P3" location="'List of Tables &amp; Charts'!A1" display="return to List of Tables &amp; Charts"/>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34.xml><?xml version="1.0" encoding="utf-8"?>
<worksheet xmlns="http://schemas.openxmlformats.org/spreadsheetml/2006/main" xmlns:r="http://schemas.openxmlformats.org/officeDocument/2006/relationships">
  <sheetPr codeName="Sheet31"/>
  <dimension ref="A1:T54"/>
  <sheetViews>
    <sheetView showGridLines="0" workbookViewId="0">
      <selection sqref="A1:B1"/>
    </sheetView>
  </sheetViews>
  <sheetFormatPr defaultRowHeight="12.75"/>
  <cols>
    <col min="1" max="1" width="16.7109375" style="588" customWidth="1"/>
    <col min="2" max="2" width="45.7109375" style="588" bestFit="1" customWidth="1"/>
    <col min="3" max="3" width="6.7109375" style="583" customWidth="1"/>
    <col min="4" max="4" width="10.7109375" style="583" customWidth="1"/>
    <col min="5" max="5" width="6.7109375" style="583" customWidth="1"/>
    <col min="6" max="6" width="10.7109375" style="583" customWidth="1"/>
    <col min="7" max="7" width="6.7109375" style="583" customWidth="1"/>
    <col min="8" max="8" width="10.7109375" style="583" customWidth="1"/>
    <col min="9" max="12" width="2.7109375" style="583" customWidth="1"/>
    <col min="13" max="13" width="9.28515625" style="588" customWidth="1"/>
    <col min="14" max="14" width="11.28515625" style="588" customWidth="1"/>
    <col min="15" max="15" width="9.28515625" style="588" customWidth="1"/>
    <col min="16" max="16" width="11.28515625" style="588" customWidth="1"/>
    <col min="17" max="17" width="9.28515625" style="588" customWidth="1"/>
    <col min="18" max="18" width="11.28515625" style="588" customWidth="1"/>
    <col min="19" max="19" width="13.140625" style="588" bestFit="1" customWidth="1"/>
    <col min="20" max="20" width="10.5703125" style="588" bestFit="1" customWidth="1"/>
    <col min="21" max="16384" width="9.140625" style="588"/>
  </cols>
  <sheetData>
    <row r="1" spans="1:20" ht="25.5" customHeight="1">
      <c r="A1" s="853">
        <v>2014</v>
      </c>
      <c r="B1" s="850"/>
      <c r="C1" s="854" t="s">
        <v>44</v>
      </c>
      <c r="D1" s="855"/>
      <c r="E1" s="855"/>
      <c r="F1" s="855"/>
      <c r="G1" s="855"/>
      <c r="H1" s="856"/>
      <c r="I1" s="36"/>
      <c r="J1" s="37"/>
      <c r="K1" s="586"/>
      <c r="L1" s="587" t="s">
        <v>280</v>
      </c>
      <c r="M1" s="857" t="s">
        <v>51</v>
      </c>
      <c r="N1" s="857"/>
      <c r="O1" s="857" t="s">
        <v>52</v>
      </c>
      <c r="P1" s="857"/>
      <c r="Q1" s="857" t="s">
        <v>53</v>
      </c>
      <c r="R1" s="857"/>
      <c r="S1" s="837"/>
      <c r="T1" s="838"/>
    </row>
    <row r="2" spans="1:20" ht="45" customHeight="1">
      <c r="A2" s="38" t="s">
        <v>26</v>
      </c>
      <c r="B2" s="39" t="s">
        <v>27</v>
      </c>
      <c r="C2" s="40" t="s">
        <v>54</v>
      </c>
      <c r="D2" s="40" t="s">
        <v>55</v>
      </c>
      <c r="E2" s="40" t="s">
        <v>56</v>
      </c>
      <c r="F2" s="40" t="s">
        <v>55</v>
      </c>
      <c r="G2" s="40" t="s">
        <v>57</v>
      </c>
      <c r="H2" s="40" t="s">
        <v>55</v>
      </c>
      <c r="I2" s="41" t="s">
        <v>58</v>
      </c>
      <c r="J2" s="42" t="s">
        <v>59</v>
      </c>
      <c r="K2" s="586" t="s">
        <v>667</v>
      </c>
      <c r="L2" s="587" t="s">
        <v>280</v>
      </c>
      <c r="M2" s="43" t="s">
        <v>28</v>
      </c>
      <c r="N2" s="43" t="s">
        <v>29</v>
      </c>
      <c r="O2" s="43" t="s">
        <v>28</v>
      </c>
      <c r="P2" s="43" t="s">
        <v>29</v>
      </c>
      <c r="Q2" s="43" t="s">
        <v>28</v>
      </c>
      <c r="R2" s="43" t="s">
        <v>29</v>
      </c>
      <c r="S2" s="325"/>
      <c r="T2" s="326"/>
    </row>
    <row r="3" spans="1:20">
      <c r="A3" s="45" t="s">
        <v>137</v>
      </c>
      <c r="B3" s="45" t="s">
        <v>137</v>
      </c>
      <c r="C3" s="46">
        <f t="shared" ref="C3:C32" si="0">IF(ISERR(M3/N3*100),"",M3/N3*100)</f>
        <v>76.960054938766163</v>
      </c>
      <c r="D3" s="46" t="str">
        <f t="shared" ref="D3:D32"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76 - 78</v>
      </c>
      <c r="E3" s="46">
        <f t="shared" ref="E3:E32" si="2">IF(ISERR((M3+O3)/P3*100),"",(M3+O3)/P3*100)</f>
        <v>90.603181870207166</v>
      </c>
      <c r="F3" s="46" t="str">
        <f t="shared" ref="F3:F32"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90 - 91</v>
      </c>
      <c r="G3" s="46">
        <f t="shared" ref="G3:G32" si="4">IF(ISERR((M3+O3+Q3)/R3*100),"",(M3+O3+Q3)/R3*100)</f>
        <v>92.136889092365806</v>
      </c>
      <c r="H3" s="46" t="str">
        <f t="shared" ref="H3:H32"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92 - 93</v>
      </c>
      <c r="I3" s="598">
        <f t="shared" ref="I3:I32" si="6">E3-C3</f>
        <v>13.643126931441003</v>
      </c>
      <c r="J3" s="597">
        <f t="shared" ref="J3:J32" si="7">G3-E3</f>
        <v>1.5337072221586396</v>
      </c>
      <c r="K3" s="596">
        <v>60</v>
      </c>
      <c r="L3" s="595">
        <v>90</v>
      </c>
      <c r="M3" s="427">
        <f t="shared" ref="M3:R3" si="8">SUM(M4:M32)</f>
        <v>6724</v>
      </c>
      <c r="N3" s="427">
        <f t="shared" si="8"/>
        <v>8737</v>
      </c>
      <c r="O3" s="427">
        <f t="shared" si="8"/>
        <v>1192</v>
      </c>
      <c r="P3" s="427">
        <f t="shared" si="8"/>
        <v>8737</v>
      </c>
      <c r="Q3" s="427">
        <f t="shared" si="8"/>
        <v>134</v>
      </c>
      <c r="R3" s="427">
        <f t="shared" si="8"/>
        <v>8737</v>
      </c>
      <c r="S3" s="325"/>
      <c r="T3" s="326"/>
    </row>
    <row r="4" spans="1:20">
      <c r="A4" s="45" t="s">
        <v>61</v>
      </c>
      <c r="B4" s="45" t="s">
        <v>60</v>
      </c>
      <c r="C4" s="46">
        <f t="shared" si="0"/>
        <v>72.333333333333343</v>
      </c>
      <c r="D4" s="46" t="str">
        <f t="shared" si="1"/>
        <v>67 - 77</v>
      </c>
      <c r="E4" s="46">
        <f t="shared" si="2"/>
        <v>85</v>
      </c>
      <c r="F4" s="46" t="str">
        <f t="shared" si="3"/>
        <v>81 - 89</v>
      </c>
      <c r="G4" s="46">
        <f t="shared" si="4"/>
        <v>86.333333333333329</v>
      </c>
      <c r="H4" s="46" t="str">
        <f t="shared" si="5"/>
        <v>82 - 90</v>
      </c>
      <c r="I4" s="606">
        <f t="shared" si="6"/>
        <v>12.666666666666657</v>
      </c>
      <c r="J4" s="605">
        <f t="shared" si="7"/>
        <v>1.3333333333333286</v>
      </c>
      <c r="K4" s="604">
        <v>60</v>
      </c>
      <c r="L4" s="603">
        <v>90</v>
      </c>
      <c r="M4" s="427">
        <v>217</v>
      </c>
      <c r="N4" s="427">
        <v>300</v>
      </c>
      <c r="O4" s="427">
        <v>38</v>
      </c>
      <c r="P4" s="427">
        <v>300</v>
      </c>
      <c r="Q4" s="427">
        <v>4</v>
      </c>
      <c r="R4" s="427">
        <v>300</v>
      </c>
      <c r="S4" s="656"/>
      <c r="T4" s="657"/>
    </row>
    <row r="5" spans="1:20">
      <c r="A5" s="45" t="s">
        <v>63</v>
      </c>
      <c r="B5" s="45" t="s">
        <v>64</v>
      </c>
      <c r="C5" s="46">
        <f t="shared" si="0"/>
        <v>77.014925373134318</v>
      </c>
      <c r="D5" s="46" t="str">
        <f t="shared" si="1"/>
        <v>72 - 81</v>
      </c>
      <c r="E5" s="46">
        <f t="shared" si="2"/>
        <v>89.850746268656707</v>
      </c>
      <c r="F5" s="46" t="str">
        <f t="shared" si="3"/>
        <v>86 - 93</v>
      </c>
      <c r="G5" s="46">
        <f t="shared" si="4"/>
        <v>91.343283582089555</v>
      </c>
      <c r="H5" s="46" t="str">
        <f t="shared" si="5"/>
        <v>88 - 94</v>
      </c>
      <c r="I5" s="594">
        <f t="shared" si="6"/>
        <v>12.835820895522389</v>
      </c>
      <c r="J5" s="593">
        <f t="shared" si="7"/>
        <v>1.4925373134328481</v>
      </c>
      <c r="K5" s="592">
        <v>60</v>
      </c>
      <c r="L5" s="591">
        <v>90</v>
      </c>
      <c r="M5" s="427">
        <v>258</v>
      </c>
      <c r="N5" s="427">
        <v>335</v>
      </c>
      <c r="O5" s="427">
        <v>43</v>
      </c>
      <c r="P5" s="427">
        <v>335</v>
      </c>
      <c r="Q5" s="427">
        <v>5</v>
      </c>
      <c r="R5" s="427">
        <v>335</v>
      </c>
      <c r="S5" s="656"/>
      <c r="T5" s="657"/>
    </row>
    <row r="6" spans="1:20">
      <c r="A6" s="45" t="s">
        <v>30</v>
      </c>
      <c r="B6" s="45" t="s">
        <v>66</v>
      </c>
      <c r="C6" s="46">
        <f t="shared" si="0"/>
        <v>94.660194174757279</v>
      </c>
      <c r="D6" s="46" t="str">
        <f t="shared" si="1"/>
        <v>91 - 97</v>
      </c>
      <c r="E6" s="46">
        <f t="shared" si="2"/>
        <v>99.029126213592235</v>
      </c>
      <c r="F6" s="46" t="str">
        <f t="shared" si="3"/>
        <v>97 - 100</v>
      </c>
      <c r="G6" s="46">
        <f t="shared" si="4"/>
        <v>99.514563106796118</v>
      </c>
      <c r="H6" s="46" t="str">
        <f t="shared" si="5"/>
        <v>97 - 100</v>
      </c>
      <c r="I6" s="602">
        <f t="shared" si="6"/>
        <v>4.3689320388349557</v>
      </c>
      <c r="J6" s="601">
        <f t="shared" si="7"/>
        <v>0.48543689320388239</v>
      </c>
      <c r="K6" s="600">
        <v>60</v>
      </c>
      <c r="L6" s="599">
        <v>90</v>
      </c>
      <c r="M6" s="427">
        <v>195</v>
      </c>
      <c r="N6" s="427">
        <v>206</v>
      </c>
      <c r="O6" s="427">
        <v>9</v>
      </c>
      <c r="P6" s="427">
        <v>206</v>
      </c>
      <c r="Q6" s="427">
        <v>1</v>
      </c>
      <c r="R6" s="427">
        <v>206</v>
      </c>
      <c r="S6" s="656"/>
      <c r="T6" s="657"/>
    </row>
    <row r="7" spans="1:20">
      <c r="A7" s="45" t="s">
        <v>68</v>
      </c>
      <c r="B7" s="45" t="s">
        <v>69</v>
      </c>
      <c r="C7" s="46">
        <f t="shared" si="0"/>
        <v>81.746031746031747</v>
      </c>
      <c r="D7" s="46" t="str">
        <f t="shared" si="1"/>
        <v>77 - 86</v>
      </c>
      <c r="E7" s="46">
        <f t="shared" si="2"/>
        <v>91.666666666666657</v>
      </c>
      <c r="F7" s="46" t="str">
        <f t="shared" si="3"/>
        <v>88 - 94</v>
      </c>
      <c r="G7" s="46">
        <f t="shared" si="4"/>
        <v>93.253968253968253</v>
      </c>
      <c r="H7" s="46" t="str">
        <f t="shared" si="5"/>
        <v>89 - 96</v>
      </c>
      <c r="I7" s="602">
        <f t="shared" si="6"/>
        <v>9.9206349206349103</v>
      </c>
      <c r="J7" s="601">
        <f t="shared" si="7"/>
        <v>1.5873015873015959</v>
      </c>
      <c r="K7" s="600">
        <v>60</v>
      </c>
      <c r="L7" s="599">
        <v>90</v>
      </c>
      <c r="M7" s="427">
        <v>206</v>
      </c>
      <c r="N7" s="427">
        <v>252</v>
      </c>
      <c r="O7" s="427">
        <v>25</v>
      </c>
      <c r="P7" s="427">
        <v>252</v>
      </c>
      <c r="Q7" s="427">
        <v>4</v>
      </c>
      <c r="R7" s="427">
        <v>252</v>
      </c>
      <c r="S7" s="656"/>
      <c r="T7" s="657"/>
    </row>
    <row r="8" spans="1:20">
      <c r="A8" s="45" t="s">
        <v>71</v>
      </c>
      <c r="B8" s="45" t="s">
        <v>72</v>
      </c>
      <c r="C8" s="46">
        <f t="shared" si="0"/>
        <v>97.435897435897431</v>
      </c>
      <c r="D8" s="46" t="str">
        <f t="shared" si="1"/>
        <v>87 - 100</v>
      </c>
      <c r="E8" s="46">
        <f t="shared" si="2"/>
        <v>100</v>
      </c>
      <c r="F8" s="46" t="str">
        <f t="shared" si="3"/>
        <v>91 - 100</v>
      </c>
      <c r="G8" s="46">
        <f t="shared" si="4"/>
        <v>100</v>
      </c>
      <c r="H8" s="46" t="str">
        <f t="shared" si="5"/>
        <v>91 - 100</v>
      </c>
      <c r="I8" s="602">
        <f t="shared" si="6"/>
        <v>2.5641025641025692</v>
      </c>
      <c r="J8" s="601">
        <f t="shared" si="7"/>
        <v>0</v>
      </c>
      <c r="K8" s="600">
        <v>60</v>
      </c>
      <c r="L8" s="599">
        <v>90</v>
      </c>
      <c r="M8" s="427">
        <v>38</v>
      </c>
      <c r="N8" s="427">
        <v>39</v>
      </c>
      <c r="O8" s="427">
        <v>1</v>
      </c>
      <c r="P8" s="427">
        <v>39</v>
      </c>
      <c r="Q8" s="427">
        <v>0</v>
      </c>
      <c r="R8" s="427">
        <v>39</v>
      </c>
      <c r="S8" s="656"/>
      <c r="T8" s="657"/>
    </row>
    <row r="9" spans="1:20">
      <c r="A9" s="45" t="s">
        <v>177</v>
      </c>
      <c r="B9" s="45" t="s">
        <v>74</v>
      </c>
      <c r="C9" s="46">
        <f t="shared" si="0"/>
        <v>81.558028616852155</v>
      </c>
      <c r="D9" s="46" t="str">
        <f t="shared" si="1"/>
        <v>78 - 84</v>
      </c>
      <c r="E9" s="46">
        <f t="shared" si="2"/>
        <v>89.82511923688395</v>
      </c>
      <c r="F9" s="46" t="str">
        <f t="shared" si="3"/>
        <v>87 - 92</v>
      </c>
      <c r="G9" s="46">
        <f t="shared" si="4"/>
        <v>90.779014308426071</v>
      </c>
      <c r="H9" s="46" t="str">
        <f t="shared" si="5"/>
        <v>88 - 93</v>
      </c>
      <c r="I9" s="602">
        <f t="shared" si="6"/>
        <v>8.2670906200317944</v>
      </c>
      <c r="J9" s="601">
        <f t="shared" si="7"/>
        <v>0.95389507154212083</v>
      </c>
      <c r="K9" s="600">
        <v>60</v>
      </c>
      <c r="L9" s="599">
        <v>90</v>
      </c>
      <c r="M9" s="427">
        <v>513</v>
      </c>
      <c r="N9" s="427">
        <v>629</v>
      </c>
      <c r="O9" s="427">
        <v>52</v>
      </c>
      <c r="P9" s="427">
        <v>629</v>
      </c>
      <c r="Q9" s="427">
        <v>6</v>
      </c>
      <c r="R9" s="427">
        <v>629</v>
      </c>
      <c r="S9" s="656"/>
      <c r="T9" s="657"/>
    </row>
    <row r="10" spans="1:20">
      <c r="A10" s="45" t="s">
        <v>186</v>
      </c>
      <c r="B10" s="45" t="s">
        <v>76</v>
      </c>
      <c r="C10" s="46">
        <f t="shared" si="0"/>
        <v>81.620553359683782</v>
      </c>
      <c r="D10" s="46" t="str">
        <f t="shared" si="1"/>
        <v>78 - 85</v>
      </c>
      <c r="E10" s="46">
        <f t="shared" si="2"/>
        <v>94.268774703557312</v>
      </c>
      <c r="F10" s="46" t="str">
        <f t="shared" si="3"/>
        <v>92 - 96</v>
      </c>
      <c r="G10" s="46">
        <f t="shared" si="4"/>
        <v>95.652173913043484</v>
      </c>
      <c r="H10" s="46" t="str">
        <f t="shared" si="5"/>
        <v>94 - 97</v>
      </c>
      <c r="I10" s="602">
        <f t="shared" si="6"/>
        <v>12.64822134387353</v>
      </c>
      <c r="J10" s="601">
        <f t="shared" si="7"/>
        <v>1.3833992094861713</v>
      </c>
      <c r="K10" s="600">
        <v>60</v>
      </c>
      <c r="L10" s="599">
        <v>90</v>
      </c>
      <c r="M10" s="427">
        <v>413</v>
      </c>
      <c r="N10" s="427">
        <v>506</v>
      </c>
      <c r="O10" s="427">
        <v>64</v>
      </c>
      <c r="P10" s="427">
        <v>506</v>
      </c>
      <c r="Q10" s="427">
        <v>7</v>
      </c>
      <c r="R10" s="427">
        <v>506</v>
      </c>
      <c r="S10" s="656"/>
      <c r="T10" s="657"/>
    </row>
    <row r="11" spans="1:20">
      <c r="A11" s="45" t="s">
        <v>178</v>
      </c>
      <c r="B11" s="45" t="s">
        <v>78</v>
      </c>
      <c r="C11" s="46">
        <f t="shared" si="0"/>
        <v>74.433656957928804</v>
      </c>
      <c r="D11" s="46" t="str">
        <f t="shared" si="1"/>
        <v>71 - 78</v>
      </c>
      <c r="E11" s="46">
        <f t="shared" si="2"/>
        <v>87.216828478964402</v>
      </c>
      <c r="F11" s="46" t="str">
        <f t="shared" si="3"/>
        <v>84 - 90</v>
      </c>
      <c r="G11" s="46">
        <f t="shared" si="4"/>
        <v>88.996763754045304</v>
      </c>
      <c r="H11" s="46" t="str">
        <f t="shared" si="5"/>
        <v>86 - 91</v>
      </c>
      <c r="I11" s="602">
        <f t="shared" si="6"/>
        <v>12.783171521035598</v>
      </c>
      <c r="J11" s="601">
        <f t="shared" si="7"/>
        <v>1.7799352750809021</v>
      </c>
      <c r="K11" s="600">
        <v>60</v>
      </c>
      <c r="L11" s="599">
        <v>90</v>
      </c>
      <c r="M11" s="427">
        <v>460</v>
      </c>
      <c r="N11" s="427">
        <v>618</v>
      </c>
      <c r="O11" s="427">
        <v>79</v>
      </c>
      <c r="P11" s="427">
        <v>618</v>
      </c>
      <c r="Q11" s="427">
        <v>11</v>
      </c>
      <c r="R11" s="427">
        <v>618</v>
      </c>
      <c r="S11" s="656"/>
      <c r="T11" s="657"/>
    </row>
    <row r="12" spans="1:20">
      <c r="A12" s="45" t="s">
        <v>80</v>
      </c>
      <c r="B12" s="45" t="s">
        <v>81</v>
      </c>
      <c r="C12" s="46">
        <f t="shared" si="0"/>
        <v>83.333333333333343</v>
      </c>
      <c r="D12" s="46" t="str">
        <f t="shared" si="1"/>
        <v>75 - 89</v>
      </c>
      <c r="E12" s="46">
        <f t="shared" si="2"/>
        <v>96.296296296296291</v>
      </c>
      <c r="F12" s="46" t="str">
        <f t="shared" si="3"/>
        <v>91 - 99</v>
      </c>
      <c r="G12" s="46">
        <f t="shared" si="4"/>
        <v>97.222222222222214</v>
      </c>
      <c r="H12" s="46" t="str">
        <f t="shared" si="5"/>
        <v>92 - 99</v>
      </c>
      <c r="I12" s="602">
        <f t="shared" si="6"/>
        <v>12.962962962962948</v>
      </c>
      <c r="J12" s="601">
        <f t="shared" si="7"/>
        <v>0.92592592592592382</v>
      </c>
      <c r="K12" s="600">
        <v>60</v>
      </c>
      <c r="L12" s="599">
        <v>90</v>
      </c>
      <c r="M12" s="427">
        <v>90</v>
      </c>
      <c r="N12" s="427">
        <v>108</v>
      </c>
      <c r="O12" s="427">
        <v>14</v>
      </c>
      <c r="P12" s="427">
        <v>108</v>
      </c>
      <c r="Q12" s="427">
        <v>1</v>
      </c>
      <c r="R12" s="427">
        <v>108</v>
      </c>
      <c r="S12" s="656"/>
      <c r="T12" s="657"/>
    </row>
    <row r="13" spans="1:20">
      <c r="A13" s="45" t="s">
        <v>187</v>
      </c>
      <c r="B13" s="45" t="s">
        <v>83</v>
      </c>
      <c r="C13" s="46">
        <f t="shared" si="0"/>
        <v>66.260162601626021</v>
      </c>
      <c r="D13" s="46" t="str">
        <f t="shared" si="1"/>
        <v>62 - 70</v>
      </c>
      <c r="E13" s="46">
        <f t="shared" si="2"/>
        <v>92.479674796747972</v>
      </c>
      <c r="F13" s="46" t="str">
        <f t="shared" si="3"/>
        <v>90 - 94</v>
      </c>
      <c r="G13" s="46">
        <f t="shared" si="4"/>
        <v>94.105691056910572</v>
      </c>
      <c r="H13" s="46" t="str">
        <f t="shared" si="5"/>
        <v>92 - 96</v>
      </c>
      <c r="I13" s="602">
        <f t="shared" si="6"/>
        <v>26.219512195121951</v>
      </c>
      <c r="J13" s="601">
        <f t="shared" si="7"/>
        <v>1.6260162601626007</v>
      </c>
      <c r="K13" s="600">
        <v>60</v>
      </c>
      <c r="L13" s="599">
        <v>90</v>
      </c>
      <c r="M13" s="427">
        <v>326</v>
      </c>
      <c r="N13" s="427">
        <v>492</v>
      </c>
      <c r="O13" s="427">
        <v>129</v>
      </c>
      <c r="P13" s="427">
        <v>492</v>
      </c>
      <c r="Q13" s="427">
        <v>8</v>
      </c>
      <c r="R13" s="427">
        <v>492</v>
      </c>
      <c r="S13" s="656"/>
      <c r="T13" s="657"/>
    </row>
    <row r="14" spans="1:20">
      <c r="A14" s="45" t="s">
        <v>85</v>
      </c>
      <c r="B14" s="45" t="s">
        <v>86</v>
      </c>
      <c r="C14" s="46">
        <f t="shared" si="0"/>
        <v>66.183574879227052</v>
      </c>
      <c r="D14" s="46" t="str">
        <f t="shared" si="1"/>
        <v>59 - 72</v>
      </c>
      <c r="E14" s="46">
        <f t="shared" si="2"/>
        <v>88.405797101449281</v>
      </c>
      <c r="F14" s="46" t="str">
        <f t="shared" si="3"/>
        <v>83 - 92</v>
      </c>
      <c r="G14" s="46">
        <f t="shared" si="4"/>
        <v>93.719806763285035</v>
      </c>
      <c r="H14" s="46" t="str">
        <f t="shared" si="5"/>
        <v>90 - 96</v>
      </c>
      <c r="I14" s="602">
        <f t="shared" si="6"/>
        <v>22.222222222222229</v>
      </c>
      <c r="J14" s="601">
        <f t="shared" si="7"/>
        <v>5.3140096618357546</v>
      </c>
      <c r="K14" s="600">
        <v>60</v>
      </c>
      <c r="L14" s="599">
        <v>90</v>
      </c>
      <c r="M14" s="427">
        <v>137</v>
      </c>
      <c r="N14" s="427">
        <v>207</v>
      </c>
      <c r="O14" s="427">
        <v>46</v>
      </c>
      <c r="P14" s="427">
        <v>207</v>
      </c>
      <c r="Q14" s="427">
        <v>11</v>
      </c>
      <c r="R14" s="427">
        <v>207</v>
      </c>
      <c r="S14" s="656"/>
      <c r="T14" s="657"/>
    </row>
    <row r="15" spans="1:20">
      <c r="A15" s="45" t="s">
        <v>532</v>
      </c>
      <c r="B15" s="45" t="s">
        <v>533</v>
      </c>
      <c r="C15" s="46">
        <f t="shared" si="0"/>
        <v>71.790540540540533</v>
      </c>
      <c r="D15" s="46" t="str">
        <f t="shared" si="1"/>
        <v>69 - 74</v>
      </c>
      <c r="E15" s="46">
        <f t="shared" si="2"/>
        <v>87.668918918918919</v>
      </c>
      <c r="F15" s="46" t="str">
        <f t="shared" si="3"/>
        <v>86 - 89</v>
      </c>
      <c r="G15" s="46">
        <f t="shared" si="4"/>
        <v>89.189189189189193</v>
      </c>
      <c r="H15" s="46" t="str">
        <f t="shared" si="5"/>
        <v>87 - 91</v>
      </c>
      <c r="I15" s="602">
        <f t="shared" si="6"/>
        <v>15.878378378378386</v>
      </c>
      <c r="J15" s="601">
        <f t="shared" si="7"/>
        <v>1.5202702702702737</v>
      </c>
      <c r="K15" s="600">
        <v>60</v>
      </c>
      <c r="L15" s="599">
        <v>90</v>
      </c>
      <c r="M15" s="427">
        <v>850</v>
      </c>
      <c r="N15" s="427">
        <v>1184</v>
      </c>
      <c r="O15" s="427">
        <v>188</v>
      </c>
      <c r="P15" s="427">
        <v>1184</v>
      </c>
      <c r="Q15" s="427">
        <v>18</v>
      </c>
      <c r="R15" s="427">
        <v>1184</v>
      </c>
      <c r="S15" s="656"/>
      <c r="T15" s="657"/>
    </row>
    <row r="16" spans="1:20">
      <c r="A16" s="45" t="s">
        <v>188</v>
      </c>
      <c r="B16" s="45" t="s">
        <v>88</v>
      </c>
      <c r="C16" s="46">
        <f t="shared" si="0"/>
        <v>71.544715447154474</v>
      </c>
      <c r="D16" s="46" t="str">
        <f t="shared" si="1"/>
        <v>67 - 76</v>
      </c>
      <c r="E16" s="46">
        <f t="shared" si="2"/>
        <v>88.888888888888886</v>
      </c>
      <c r="F16" s="46" t="str">
        <f t="shared" si="3"/>
        <v>85 - 92</v>
      </c>
      <c r="G16" s="46">
        <f t="shared" si="4"/>
        <v>91.056910569105682</v>
      </c>
      <c r="H16" s="46" t="str">
        <f t="shared" si="5"/>
        <v>88 - 94</v>
      </c>
      <c r="I16" s="602">
        <f t="shared" si="6"/>
        <v>17.344173441734412</v>
      </c>
      <c r="J16" s="601">
        <f t="shared" si="7"/>
        <v>2.1680216802167962</v>
      </c>
      <c r="K16" s="600">
        <v>60</v>
      </c>
      <c r="L16" s="599">
        <v>90</v>
      </c>
      <c r="M16" s="427">
        <v>264</v>
      </c>
      <c r="N16" s="427">
        <v>369</v>
      </c>
      <c r="O16" s="427">
        <v>64</v>
      </c>
      <c r="P16" s="427">
        <v>369</v>
      </c>
      <c r="Q16" s="427">
        <v>8</v>
      </c>
      <c r="R16" s="427">
        <v>369</v>
      </c>
      <c r="S16" s="656"/>
      <c r="T16" s="657"/>
    </row>
    <row r="17" spans="1:20">
      <c r="A17" s="45" t="s">
        <v>92</v>
      </c>
      <c r="B17" s="45" t="s">
        <v>93</v>
      </c>
      <c r="C17" s="46">
        <f t="shared" si="0"/>
        <v>90</v>
      </c>
      <c r="D17" s="46" t="str">
        <f t="shared" si="1"/>
        <v>74 - 97</v>
      </c>
      <c r="E17" s="46">
        <f t="shared" si="2"/>
        <v>100</v>
      </c>
      <c r="F17" s="46" t="str">
        <f t="shared" si="3"/>
        <v>89 - 100</v>
      </c>
      <c r="G17" s="46">
        <f t="shared" si="4"/>
        <v>100</v>
      </c>
      <c r="H17" s="46" t="str">
        <f t="shared" si="5"/>
        <v>89 - 100</v>
      </c>
      <c r="I17" s="602">
        <f t="shared" si="6"/>
        <v>10</v>
      </c>
      <c r="J17" s="601">
        <f t="shared" si="7"/>
        <v>0</v>
      </c>
      <c r="K17" s="600">
        <v>60</v>
      </c>
      <c r="L17" s="599">
        <v>90</v>
      </c>
      <c r="M17" s="427">
        <v>27</v>
      </c>
      <c r="N17" s="427">
        <v>30</v>
      </c>
      <c r="O17" s="427">
        <v>3</v>
      </c>
      <c r="P17" s="427">
        <v>30</v>
      </c>
      <c r="Q17" s="427">
        <v>0</v>
      </c>
      <c r="R17" s="427">
        <v>30</v>
      </c>
      <c r="S17" s="656"/>
      <c r="T17" s="657"/>
    </row>
    <row r="18" spans="1:20">
      <c r="A18" s="45" t="s">
        <v>95</v>
      </c>
      <c r="B18" s="45" t="s">
        <v>96</v>
      </c>
      <c r="C18" s="46">
        <f t="shared" si="0"/>
        <v>88.571428571428569</v>
      </c>
      <c r="D18" s="46" t="str">
        <f t="shared" si="1"/>
        <v>79 - 94</v>
      </c>
      <c r="E18" s="46">
        <f t="shared" si="2"/>
        <v>98.571428571428584</v>
      </c>
      <c r="F18" s="46" t="str">
        <f t="shared" si="3"/>
        <v>92 - 100</v>
      </c>
      <c r="G18" s="46">
        <f t="shared" si="4"/>
        <v>98.571428571428584</v>
      </c>
      <c r="H18" s="46" t="str">
        <f t="shared" si="5"/>
        <v>92 - 100</v>
      </c>
      <c r="I18" s="602">
        <f t="shared" si="6"/>
        <v>10.000000000000014</v>
      </c>
      <c r="J18" s="601">
        <f t="shared" si="7"/>
        <v>0</v>
      </c>
      <c r="K18" s="600">
        <v>60</v>
      </c>
      <c r="L18" s="599">
        <v>90</v>
      </c>
      <c r="M18" s="427">
        <v>62</v>
      </c>
      <c r="N18" s="427">
        <v>70</v>
      </c>
      <c r="O18" s="427">
        <v>7</v>
      </c>
      <c r="P18" s="427">
        <v>70</v>
      </c>
      <c r="Q18" s="427">
        <v>0</v>
      </c>
      <c r="R18" s="427">
        <v>70</v>
      </c>
      <c r="S18" s="656"/>
      <c r="T18" s="657"/>
    </row>
    <row r="19" spans="1:20">
      <c r="A19" s="45" t="s">
        <v>98</v>
      </c>
      <c r="B19" s="45" t="s">
        <v>99</v>
      </c>
      <c r="C19" s="46">
        <f t="shared" si="0"/>
        <v>83.333333333333343</v>
      </c>
      <c r="D19" s="46" t="str">
        <f t="shared" si="1"/>
        <v>69 - 92</v>
      </c>
      <c r="E19" s="46">
        <f t="shared" si="2"/>
        <v>92.857142857142861</v>
      </c>
      <c r="F19" s="46" t="str">
        <f t="shared" si="3"/>
        <v>81 - 98</v>
      </c>
      <c r="G19" s="46">
        <f t="shared" si="4"/>
        <v>92.857142857142861</v>
      </c>
      <c r="H19" s="46" t="str">
        <f t="shared" si="5"/>
        <v>81 - 98</v>
      </c>
      <c r="I19" s="602">
        <f t="shared" si="6"/>
        <v>9.5238095238095184</v>
      </c>
      <c r="J19" s="601">
        <f t="shared" si="7"/>
        <v>0</v>
      </c>
      <c r="K19" s="600">
        <v>60</v>
      </c>
      <c r="L19" s="599">
        <v>90</v>
      </c>
      <c r="M19" s="427">
        <v>35</v>
      </c>
      <c r="N19" s="427">
        <v>42</v>
      </c>
      <c r="O19" s="427">
        <v>4</v>
      </c>
      <c r="P19" s="427">
        <v>42</v>
      </c>
      <c r="Q19" s="427">
        <v>0</v>
      </c>
      <c r="R19" s="427">
        <v>42</v>
      </c>
      <c r="S19" s="656"/>
      <c r="T19" s="657"/>
    </row>
    <row r="20" spans="1:20">
      <c r="A20" s="45" t="s">
        <v>101</v>
      </c>
      <c r="B20" s="45" t="s">
        <v>102</v>
      </c>
      <c r="C20" s="46">
        <f t="shared" si="0"/>
        <v>85.846153846153854</v>
      </c>
      <c r="D20" s="46" t="str">
        <f t="shared" si="1"/>
        <v>82 - 89</v>
      </c>
      <c r="E20" s="46">
        <f t="shared" si="2"/>
        <v>98.769230769230759</v>
      </c>
      <c r="F20" s="46" t="str">
        <f t="shared" si="3"/>
        <v>97 - 100</v>
      </c>
      <c r="G20" s="46">
        <f t="shared" si="4"/>
        <v>98.769230769230759</v>
      </c>
      <c r="H20" s="46" t="str">
        <f t="shared" si="5"/>
        <v>97 - 100</v>
      </c>
      <c r="I20" s="602">
        <f t="shared" si="6"/>
        <v>12.923076923076906</v>
      </c>
      <c r="J20" s="601">
        <f t="shared" si="7"/>
        <v>0</v>
      </c>
      <c r="K20" s="600">
        <v>60</v>
      </c>
      <c r="L20" s="599">
        <v>90</v>
      </c>
      <c r="M20" s="427">
        <v>279</v>
      </c>
      <c r="N20" s="427">
        <v>325</v>
      </c>
      <c r="O20" s="427">
        <v>42</v>
      </c>
      <c r="P20" s="427">
        <v>325</v>
      </c>
      <c r="Q20" s="427">
        <v>0</v>
      </c>
      <c r="R20" s="427">
        <v>325</v>
      </c>
      <c r="S20" s="656"/>
      <c r="T20" s="657"/>
    </row>
    <row r="21" spans="1:20">
      <c r="A21" s="45" t="s">
        <v>104</v>
      </c>
      <c r="B21" s="45" t="s">
        <v>105</v>
      </c>
      <c r="C21" s="46">
        <f t="shared" si="0"/>
        <v>84.154929577464785</v>
      </c>
      <c r="D21" s="46" t="str">
        <f t="shared" si="1"/>
        <v>79 - 88</v>
      </c>
      <c r="E21" s="46">
        <f t="shared" si="2"/>
        <v>91.549295774647888</v>
      </c>
      <c r="F21" s="46" t="str">
        <f t="shared" si="3"/>
        <v>88 - 94</v>
      </c>
      <c r="G21" s="46">
        <f t="shared" si="4"/>
        <v>94.718309859154928</v>
      </c>
      <c r="H21" s="46" t="str">
        <f t="shared" si="5"/>
        <v>91 - 97</v>
      </c>
      <c r="I21" s="602">
        <f t="shared" si="6"/>
        <v>7.3943661971831034</v>
      </c>
      <c r="J21" s="601">
        <f t="shared" si="7"/>
        <v>3.1690140845070403</v>
      </c>
      <c r="K21" s="600">
        <v>60</v>
      </c>
      <c r="L21" s="599">
        <v>90</v>
      </c>
      <c r="M21" s="427">
        <v>239</v>
      </c>
      <c r="N21" s="427">
        <v>284</v>
      </c>
      <c r="O21" s="427">
        <v>21</v>
      </c>
      <c r="P21" s="427">
        <v>284</v>
      </c>
      <c r="Q21" s="427">
        <v>9</v>
      </c>
      <c r="R21" s="427">
        <v>284</v>
      </c>
      <c r="S21" s="656"/>
      <c r="T21" s="657"/>
    </row>
    <row r="22" spans="1:20">
      <c r="A22" s="45" t="s">
        <v>107</v>
      </c>
      <c r="B22" s="45" t="s">
        <v>108</v>
      </c>
      <c r="C22" s="46">
        <f t="shared" si="0"/>
        <v>88.175675675675677</v>
      </c>
      <c r="D22" s="46" t="str">
        <f t="shared" si="1"/>
        <v>84 - 91</v>
      </c>
      <c r="E22" s="46">
        <f t="shared" si="2"/>
        <v>96.959459459459467</v>
      </c>
      <c r="F22" s="46" t="str">
        <f t="shared" si="3"/>
        <v>94 - 98</v>
      </c>
      <c r="G22" s="46">
        <f t="shared" si="4"/>
        <v>97.63513513513513</v>
      </c>
      <c r="H22" s="46" t="str">
        <f t="shared" si="5"/>
        <v>95 - 99</v>
      </c>
      <c r="I22" s="602">
        <f t="shared" si="6"/>
        <v>8.7837837837837895</v>
      </c>
      <c r="J22" s="601">
        <f t="shared" si="7"/>
        <v>0.675675675675663</v>
      </c>
      <c r="K22" s="600">
        <v>60</v>
      </c>
      <c r="L22" s="599">
        <v>90</v>
      </c>
      <c r="M22" s="427">
        <v>261</v>
      </c>
      <c r="N22" s="427">
        <v>296</v>
      </c>
      <c r="O22" s="427">
        <v>26</v>
      </c>
      <c r="P22" s="427">
        <v>296</v>
      </c>
      <c r="Q22" s="427">
        <v>2</v>
      </c>
      <c r="R22" s="427">
        <v>296</v>
      </c>
      <c r="S22" s="656"/>
      <c r="T22" s="657"/>
    </row>
    <row r="23" spans="1:20">
      <c r="A23" s="45" t="s">
        <v>110</v>
      </c>
      <c r="B23" s="45" t="s">
        <v>109</v>
      </c>
      <c r="C23" s="46">
        <f t="shared" si="0"/>
        <v>89.244186046511629</v>
      </c>
      <c r="D23" s="46" t="str">
        <f t="shared" si="1"/>
        <v>86 - 92</v>
      </c>
      <c r="E23" s="46">
        <f t="shared" si="2"/>
        <v>97.674418604651152</v>
      </c>
      <c r="F23" s="46" t="str">
        <f t="shared" si="3"/>
        <v>95 - 99</v>
      </c>
      <c r="G23" s="46">
        <f t="shared" si="4"/>
        <v>98.54651162790698</v>
      </c>
      <c r="H23" s="46" t="str">
        <f t="shared" si="5"/>
        <v>97 - 99</v>
      </c>
      <c r="I23" s="602">
        <f t="shared" si="6"/>
        <v>8.4302325581395223</v>
      </c>
      <c r="J23" s="601">
        <f t="shared" si="7"/>
        <v>0.87209302325582883</v>
      </c>
      <c r="K23" s="600">
        <v>60</v>
      </c>
      <c r="L23" s="599">
        <v>90</v>
      </c>
      <c r="M23" s="427">
        <v>307</v>
      </c>
      <c r="N23" s="427">
        <v>344</v>
      </c>
      <c r="O23" s="427">
        <v>29</v>
      </c>
      <c r="P23" s="427">
        <v>344</v>
      </c>
      <c r="Q23" s="427">
        <v>3</v>
      </c>
      <c r="R23" s="427">
        <v>344</v>
      </c>
      <c r="S23" s="656"/>
      <c r="T23" s="657"/>
    </row>
    <row r="24" spans="1:20">
      <c r="A24" s="45" t="s">
        <v>112</v>
      </c>
      <c r="B24" s="45" t="s">
        <v>113</v>
      </c>
      <c r="C24" s="46">
        <f t="shared" si="0"/>
        <v>65.322580645161281</v>
      </c>
      <c r="D24" s="46" t="str">
        <f t="shared" si="1"/>
        <v>62 - 68</v>
      </c>
      <c r="E24" s="46">
        <f t="shared" si="2"/>
        <v>81.912442396313367</v>
      </c>
      <c r="F24" s="46" t="str">
        <f t="shared" si="3"/>
        <v>79 - 84</v>
      </c>
      <c r="G24" s="46">
        <f t="shared" si="4"/>
        <v>83.064516129032256</v>
      </c>
      <c r="H24" s="46" t="str">
        <f t="shared" si="5"/>
        <v>80 - 85</v>
      </c>
      <c r="I24" s="602">
        <f t="shared" si="6"/>
        <v>16.589861751152085</v>
      </c>
      <c r="J24" s="601">
        <f t="shared" si="7"/>
        <v>1.1520737327188897</v>
      </c>
      <c r="K24" s="600">
        <v>60</v>
      </c>
      <c r="L24" s="599">
        <v>90</v>
      </c>
      <c r="M24" s="427">
        <v>567</v>
      </c>
      <c r="N24" s="427">
        <v>868</v>
      </c>
      <c r="O24" s="427">
        <v>144</v>
      </c>
      <c r="P24" s="427">
        <v>868</v>
      </c>
      <c r="Q24" s="427">
        <v>10</v>
      </c>
      <c r="R24" s="427">
        <v>868</v>
      </c>
      <c r="S24" s="656"/>
      <c r="T24" s="657"/>
    </row>
    <row r="25" spans="1:20">
      <c r="A25" s="45" t="s">
        <v>115</v>
      </c>
      <c r="B25" s="45" t="s">
        <v>116</v>
      </c>
      <c r="C25" s="46">
        <f t="shared" si="0"/>
        <v>80.341880341880341</v>
      </c>
      <c r="D25" s="46" t="str">
        <f t="shared" si="1"/>
        <v>75 - 85</v>
      </c>
      <c r="E25" s="46">
        <f t="shared" si="2"/>
        <v>94.01709401709401</v>
      </c>
      <c r="F25" s="46" t="str">
        <f t="shared" si="3"/>
        <v>90 - 96</v>
      </c>
      <c r="G25" s="46">
        <f t="shared" si="4"/>
        <v>95.726495726495727</v>
      </c>
      <c r="H25" s="46" t="str">
        <f t="shared" si="5"/>
        <v>92 - 98</v>
      </c>
      <c r="I25" s="602">
        <f t="shared" si="6"/>
        <v>13.675213675213669</v>
      </c>
      <c r="J25" s="601">
        <f t="shared" si="7"/>
        <v>1.7094017094017175</v>
      </c>
      <c r="K25" s="600">
        <v>60</v>
      </c>
      <c r="L25" s="599">
        <v>90</v>
      </c>
      <c r="M25" s="427">
        <v>188</v>
      </c>
      <c r="N25" s="427">
        <v>234</v>
      </c>
      <c r="O25" s="427">
        <v>32</v>
      </c>
      <c r="P25" s="427">
        <v>234</v>
      </c>
      <c r="Q25" s="427">
        <v>4</v>
      </c>
      <c r="R25" s="427">
        <v>234</v>
      </c>
      <c r="S25" s="656"/>
      <c r="T25" s="657"/>
    </row>
    <row r="26" spans="1:20">
      <c r="A26" s="45" t="s">
        <v>118</v>
      </c>
      <c r="B26" s="45" t="s">
        <v>119</v>
      </c>
      <c r="C26" s="46">
        <f t="shared" si="0"/>
        <v>72.049689440993788</v>
      </c>
      <c r="D26" s="46" t="str">
        <f t="shared" si="1"/>
        <v>67 - 77</v>
      </c>
      <c r="E26" s="46">
        <f t="shared" si="2"/>
        <v>88.81987577639751</v>
      </c>
      <c r="F26" s="46" t="str">
        <f t="shared" si="3"/>
        <v>85 - 92</v>
      </c>
      <c r="G26" s="46">
        <f t="shared" si="4"/>
        <v>90.372670807453417</v>
      </c>
      <c r="H26" s="46" t="str">
        <f t="shared" si="5"/>
        <v>87 - 93</v>
      </c>
      <c r="I26" s="602">
        <f t="shared" si="6"/>
        <v>16.770186335403722</v>
      </c>
      <c r="J26" s="601">
        <f t="shared" si="7"/>
        <v>1.5527950310559078</v>
      </c>
      <c r="K26" s="600">
        <v>60</v>
      </c>
      <c r="L26" s="599">
        <v>90</v>
      </c>
      <c r="M26" s="427">
        <v>232</v>
      </c>
      <c r="N26" s="427">
        <v>322</v>
      </c>
      <c r="O26" s="427">
        <v>54</v>
      </c>
      <c r="P26" s="427">
        <v>322</v>
      </c>
      <c r="Q26" s="427">
        <v>5</v>
      </c>
      <c r="R26" s="427">
        <v>322</v>
      </c>
      <c r="S26" s="656"/>
      <c r="T26" s="657"/>
    </row>
    <row r="27" spans="1:20">
      <c r="A27" s="45" t="s">
        <v>121</v>
      </c>
      <c r="B27" s="45" t="s">
        <v>122</v>
      </c>
      <c r="C27" s="46">
        <f t="shared" si="0"/>
        <v>75</v>
      </c>
      <c r="D27" s="46" t="str">
        <f t="shared" si="1"/>
        <v>60 - 86</v>
      </c>
      <c r="E27" s="46">
        <f t="shared" si="2"/>
        <v>85</v>
      </c>
      <c r="F27" s="46" t="str">
        <f t="shared" si="3"/>
        <v>71 - 93</v>
      </c>
      <c r="G27" s="46">
        <f t="shared" si="4"/>
        <v>90</v>
      </c>
      <c r="H27" s="46" t="str">
        <f t="shared" si="5"/>
        <v>77 - 96</v>
      </c>
      <c r="I27" s="602">
        <f t="shared" si="6"/>
        <v>10</v>
      </c>
      <c r="J27" s="601">
        <f t="shared" si="7"/>
        <v>5</v>
      </c>
      <c r="K27" s="600">
        <v>60</v>
      </c>
      <c r="L27" s="599">
        <v>90</v>
      </c>
      <c r="M27" s="427">
        <v>30</v>
      </c>
      <c r="N27" s="427">
        <v>40</v>
      </c>
      <c r="O27" s="427">
        <v>4</v>
      </c>
      <c r="P27" s="427">
        <v>40</v>
      </c>
      <c r="Q27" s="427">
        <v>2</v>
      </c>
      <c r="R27" s="427">
        <v>40</v>
      </c>
      <c r="S27" s="656"/>
      <c r="T27" s="657"/>
    </row>
    <row r="28" spans="1:20">
      <c r="A28" s="45" t="s">
        <v>124</v>
      </c>
      <c r="B28" s="45" t="s">
        <v>125</v>
      </c>
      <c r="C28" s="46">
        <f t="shared" si="0"/>
        <v>85.714285714285708</v>
      </c>
      <c r="D28" s="46" t="str">
        <f t="shared" si="1"/>
        <v>71 - 94</v>
      </c>
      <c r="E28" s="46">
        <f t="shared" si="2"/>
        <v>97.142857142857139</v>
      </c>
      <c r="F28" s="46" t="str">
        <f t="shared" si="3"/>
        <v>85 - 99</v>
      </c>
      <c r="G28" s="46">
        <f t="shared" si="4"/>
        <v>100</v>
      </c>
      <c r="H28" s="46" t="str">
        <f t="shared" si="5"/>
        <v>90 - 100</v>
      </c>
      <c r="I28" s="602">
        <f t="shared" si="6"/>
        <v>11.428571428571431</v>
      </c>
      <c r="J28" s="601">
        <f t="shared" si="7"/>
        <v>2.8571428571428612</v>
      </c>
      <c r="K28" s="600">
        <v>60</v>
      </c>
      <c r="L28" s="599">
        <v>90</v>
      </c>
      <c r="M28" s="427">
        <v>30</v>
      </c>
      <c r="N28" s="427">
        <v>35</v>
      </c>
      <c r="O28" s="427">
        <v>4</v>
      </c>
      <c r="P28" s="427">
        <v>35</v>
      </c>
      <c r="Q28" s="427">
        <v>1</v>
      </c>
      <c r="R28" s="427">
        <v>35</v>
      </c>
      <c r="S28" s="656"/>
      <c r="T28" s="657"/>
    </row>
    <row r="29" spans="1:20">
      <c r="A29" s="45" t="s">
        <v>127</v>
      </c>
      <c r="B29" s="45" t="s">
        <v>128</v>
      </c>
      <c r="C29" s="46">
        <f t="shared" si="0"/>
        <v>81.395348837209298</v>
      </c>
      <c r="D29" s="46" t="str">
        <f t="shared" si="1"/>
        <v>77 - 85</v>
      </c>
      <c r="E29" s="46">
        <f t="shared" si="2"/>
        <v>94.573643410852711</v>
      </c>
      <c r="F29" s="46" t="str">
        <f t="shared" si="3"/>
        <v>92 - 96</v>
      </c>
      <c r="G29" s="46">
        <f t="shared" si="4"/>
        <v>96.899224806201545</v>
      </c>
      <c r="H29" s="46" t="str">
        <f t="shared" si="5"/>
        <v>95 - 98</v>
      </c>
      <c r="I29" s="602">
        <f t="shared" si="6"/>
        <v>13.178294573643413</v>
      </c>
      <c r="J29" s="601">
        <f t="shared" si="7"/>
        <v>2.3255813953488342</v>
      </c>
      <c r="K29" s="600">
        <v>60</v>
      </c>
      <c r="L29" s="599">
        <v>90</v>
      </c>
      <c r="M29" s="427">
        <v>315</v>
      </c>
      <c r="N29" s="427">
        <v>387</v>
      </c>
      <c r="O29" s="427">
        <v>51</v>
      </c>
      <c r="P29" s="427">
        <v>387</v>
      </c>
      <c r="Q29" s="427">
        <v>9</v>
      </c>
      <c r="R29" s="427">
        <v>387</v>
      </c>
      <c r="S29" s="656"/>
      <c r="T29" s="657"/>
    </row>
    <row r="30" spans="1:20">
      <c r="A30" s="45" t="s">
        <v>130</v>
      </c>
      <c r="B30" s="45" t="s">
        <v>131</v>
      </c>
      <c r="C30" s="46">
        <f t="shared" si="0"/>
        <v>84.974093264248708</v>
      </c>
      <c r="D30" s="46" t="str">
        <f t="shared" si="1"/>
        <v>79 - 89</v>
      </c>
      <c r="E30" s="46">
        <f t="shared" si="2"/>
        <v>94.300518134715034</v>
      </c>
      <c r="F30" s="46" t="str">
        <f t="shared" si="3"/>
        <v>90 - 97</v>
      </c>
      <c r="G30" s="46">
        <f t="shared" si="4"/>
        <v>96.891191709844563</v>
      </c>
      <c r="H30" s="46" t="str">
        <f t="shared" si="5"/>
        <v>93 - 99</v>
      </c>
      <c r="I30" s="602">
        <f t="shared" si="6"/>
        <v>9.326424870466326</v>
      </c>
      <c r="J30" s="601">
        <f t="shared" si="7"/>
        <v>2.5906735751295287</v>
      </c>
      <c r="K30" s="600">
        <v>60</v>
      </c>
      <c r="L30" s="599">
        <v>90</v>
      </c>
      <c r="M30" s="427">
        <v>164</v>
      </c>
      <c r="N30" s="427">
        <v>193</v>
      </c>
      <c r="O30" s="427">
        <v>18</v>
      </c>
      <c r="P30" s="427">
        <v>193</v>
      </c>
      <c r="Q30" s="427">
        <v>5</v>
      </c>
      <c r="R30" s="427">
        <v>193</v>
      </c>
      <c r="S30" s="656"/>
      <c r="T30" s="657"/>
    </row>
    <row r="31" spans="1:20">
      <c r="A31" s="45" t="s">
        <v>39</v>
      </c>
      <c r="B31" s="45" t="s">
        <v>136</v>
      </c>
      <c r="C31" s="46">
        <f t="shared" si="0"/>
        <v>95.454545454545453</v>
      </c>
      <c r="D31" s="46" t="str">
        <f t="shared" si="1"/>
        <v>78 - 99</v>
      </c>
      <c r="E31" s="46">
        <f t="shared" si="2"/>
        <v>100</v>
      </c>
      <c r="F31" s="46" t="str">
        <f t="shared" si="3"/>
        <v>85 - 100</v>
      </c>
      <c r="G31" s="46">
        <f t="shared" si="4"/>
        <v>100</v>
      </c>
      <c r="H31" s="46" t="str">
        <f t="shared" si="5"/>
        <v>85 - 100</v>
      </c>
      <c r="I31" s="598">
        <f t="shared" si="6"/>
        <v>4.5454545454545467</v>
      </c>
      <c r="J31" s="597">
        <f t="shared" si="7"/>
        <v>0</v>
      </c>
      <c r="K31" s="596">
        <v>60</v>
      </c>
      <c r="L31" s="595">
        <v>90</v>
      </c>
      <c r="M31" s="427">
        <v>21</v>
      </c>
      <c r="N31" s="427">
        <v>22</v>
      </c>
      <c r="O31" s="427">
        <v>1</v>
      </c>
      <c r="P31" s="427">
        <v>22</v>
      </c>
      <c r="Q31" s="427">
        <v>0</v>
      </c>
      <c r="R31" s="427">
        <v>22</v>
      </c>
      <c r="S31" s="656"/>
      <c r="T31" s="657"/>
    </row>
    <row r="32" spans="1:20" hidden="1">
      <c r="A32" s="45"/>
      <c r="B32" s="45"/>
      <c r="C32" s="46" t="str">
        <f t="shared" si="0"/>
        <v/>
      </c>
      <c r="D32" s="46" t="e">
        <f t="shared" si="1"/>
        <v>#DIV/0!</v>
      </c>
      <c r="E32" s="46" t="str">
        <f t="shared" si="2"/>
        <v/>
      </c>
      <c r="F32" s="46" t="e">
        <f t="shared" si="3"/>
        <v>#DIV/0!</v>
      </c>
      <c r="G32" s="46" t="str">
        <f t="shared" si="4"/>
        <v/>
      </c>
      <c r="H32" s="46" t="e">
        <f t="shared" si="5"/>
        <v>#DIV/0!</v>
      </c>
      <c r="I32" s="594" t="e">
        <f t="shared" si="6"/>
        <v>#VALUE!</v>
      </c>
      <c r="J32" s="593" t="e">
        <f t="shared" si="7"/>
        <v>#VALUE!</v>
      </c>
      <c r="K32" s="592">
        <v>60</v>
      </c>
      <c r="L32" s="591">
        <v>90</v>
      </c>
      <c r="M32" s="427"/>
      <c r="N32" s="427"/>
      <c r="O32" s="427"/>
      <c r="P32" s="427"/>
      <c r="Q32" s="427"/>
      <c r="R32" s="427"/>
      <c r="S32" s="325"/>
      <c r="T32" s="326"/>
    </row>
    <row r="33" spans="1:20">
      <c r="A33" s="50"/>
      <c r="C33" s="34"/>
      <c r="D33" s="34"/>
      <c r="E33" s="34"/>
      <c r="F33" s="34"/>
      <c r="G33" s="34"/>
      <c r="H33" s="34"/>
      <c r="I33" s="34"/>
      <c r="J33" s="34"/>
    </row>
    <row r="34" spans="1:20">
      <c r="A34" s="51"/>
      <c r="C34" s="34"/>
      <c r="D34" s="34"/>
      <c r="E34" s="34"/>
      <c r="F34" s="34"/>
      <c r="G34" s="34"/>
      <c r="H34" s="34"/>
      <c r="I34" s="34"/>
      <c r="J34" s="34"/>
    </row>
    <row r="35" spans="1:20" ht="30" customHeight="1">
      <c r="A35" s="839" t="s">
        <v>138</v>
      </c>
      <c r="B35" s="840"/>
      <c r="C35" s="841" t="str">
        <f>C2&amp;" (%)"</f>
        <v>Same Day (%)</v>
      </c>
      <c r="D35" s="842"/>
      <c r="E35" s="841" t="str">
        <f>E2&amp;" (%)"</f>
        <v>Within 1 Day (%)</v>
      </c>
      <c r="F35" s="842"/>
      <c r="G35" s="841" t="str">
        <f>G2&amp;" (%)"</f>
        <v>Within 2 Days (%)</v>
      </c>
      <c r="H35" s="843"/>
      <c r="I35" s="844"/>
      <c r="J35" s="845"/>
      <c r="K35" s="845"/>
      <c r="L35" s="846"/>
      <c r="M35" s="850" t="s">
        <v>51</v>
      </c>
      <c r="N35" s="851"/>
      <c r="O35" s="851" t="s">
        <v>52</v>
      </c>
      <c r="P35" s="851"/>
      <c r="Q35" s="851" t="s">
        <v>139</v>
      </c>
      <c r="R35" s="852"/>
      <c r="S35" s="837"/>
      <c r="T35" s="838"/>
    </row>
    <row r="36" spans="1:20" ht="35.1" customHeight="1">
      <c r="A36" s="52"/>
      <c r="B36" s="53" t="s">
        <v>140</v>
      </c>
      <c r="C36" s="54" t="s">
        <v>141</v>
      </c>
      <c r="D36" s="55" t="s">
        <v>55</v>
      </c>
      <c r="E36" s="54" t="s">
        <v>141</v>
      </c>
      <c r="F36" s="55" t="s">
        <v>55</v>
      </c>
      <c r="G36" s="54" t="s">
        <v>141</v>
      </c>
      <c r="H36" s="56" t="s">
        <v>55</v>
      </c>
      <c r="I36" s="847"/>
      <c r="J36" s="848"/>
      <c r="K36" s="848"/>
      <c r="L36" s="849"/>
      <c r="M36" s="57" t="s">
        <v>28</v>
      </c>
      <c r="N36" s="58" t="s">
        <v>29</v>
      </c>
      <c r="O36" s="58" t="s">
        <v>28</v>
      </c>
      <c r="P36" s="58" t="s">
        <v>29</v>
      </c>
      <c r="Q36" s="58" t="s">
        <v>28</v>
      </c>
      <c r="R36" s="59" t="s">
        <v>29</v>
      </c>
      <c r="S36" s="325"/>
      <c r="T36" s="326"/>
    </row>
    <row r="37" spans="1:20">
      <c r="A37" s="858"/>
      <c r="B37" s="60" t="s">
        <v>35</v>
      </c>
      <c r="C37" s="46">
        <f t="shared" ref="C37:C50" si="9">M37/N37*100</f>
        <v>74.803149606299215</v>
      </c>
      <c r="D37" s="46" t="str">
        <f t="shared" ref="D37:D50" si="10">IF(AND(N37&gt;0,ROUND(SUM(100*((2*M37+1.96^2)-(1.96*(SQRT(1.96^2+4*M37*(1-(M37/N37))))))/(2*(N37+1.96^2))),0)&lt;0),CONCATENATE(SUM(1*0)," - ",ROUND(SUM(100*((2*M37+1.96^2)+(1.96*(SQRT(1.96^2+4*M37*(1-(M37/N37))))))/(2*(N37+1.96^2))),0)),IF(AND(N37&gt;0,ROUND(SUM(100*((2*M37+1.96^2)-(1.96*(SQRT(1.96^2+4*M37*(1-(M37/N37))))))/(2*(N37+1.96^2))),0)&gt;=0),CONCATENATE(ROUND(SUM(100*((2*M37+1.96^2)-(1.96*(SQRT(1.96^2+4*M37*(1-(M37/N37))))))/(2*(N37+1.96^2))),0)," - ",ROUND(SUM(100*((2*M37+1.96^2)+(1.96*(SQRT(1.96^2+4*M37*(1-(M37/N37))))))/(2*(N37+1.96^2))),0)),""))</f>
        <v>71 - 78</v>
      </c>
      <c r="E37" s="46">
        <f t="shared" ref="E37:E50" si="11">(M37+O37)/P37*100</f>
        <v>87.559055118110237</v>
      </c>
      <c r="F37" s="46" t="str">
        <f t="shared" ref="F37:F50" si="12">IF(AND(P37&gt;0,ROUND(SUM(100*((2*(M37+O37)+1.96^2)-(1.96*(SQRT(1.96^2+4*(M37+O37)*(1-((M37+O37)/P37))))))/(2*(P37+1.96^2))),0)&lt;0),CONCATENATE(SUM(1*0)," - ",ROUND(SUM(100*((2*(M37+O37)+1.96^2)+(1.96*(SQRT(1.96^2+4*(M37+O37)*(1-((M37+O37)/P37))))))/(2*(P37+1.96^2))),0)),IF(AND(P37&gt;0,ROUND(SUM(100*((2*(M37+O37)+1.96^2)-(1.96*(SQRT(1.96^2+4*(M37+O37)*(1-((M37+O37)/P37))))))/(2*(P37+1.96^2))),0)&gt;=0),CONCATENATE(ROUND(SUM(100*((2*(M37+O37)+1.96^2)-(1.96*(SQRT(1.96^2+4*(M37+O37)*(1-((M37+O37)/P37))))))/(2*(P37+1.96^2))),0)," - ",ROUND(SUM(100*((2*(M37+O37)+1.96^2)+(1.96*(SQRT(1.96^2+4*(M37+O37)*(1-((M37+O37)/P37))))))/(2*(P37+1.96^2))),0)),""))</f>
        <v>85 - 90</v>
      </c>
      <c r="G37" s="46">
        <f t="shared" ref="G37:G50" si="13">(M37+O37+Q37)/R37*100</f>
        <v>88.976377952755897</v>
      </c>
      <c r="H37" s="46" t="str">
        <f t="shared" ref="H37:H50" si="14">IF(AND(R37&gt;0,ROUND(SUM(100*((2*(M37+O37+Q37)+1.96^2)-(1.96*(SQRT(1.96^2+4*(M37+O37+Q37)*(1-((M37+O37+Q37)/R37))))))/(2*(R37+1.96^2))),0)&lt;0),CONCATENATE(SUM(1*0)," - ",ROUND(SUM(100*((2*(M37+O37+Q37)+1.96^2)+(1.96*(SQRT(1.96^2+4*(M37+O37+Q37)*(1-((M37+O37+Q37)/R37))))))/(2*(R37+1.96^2))),0)),IF(AND(R37&gt;0,ROUND(SUM(100*((2*(M37+O37+Q37)+1.96^2)-(1.96*(SQRT(1.96^2+4*(M37+O37+Q37)*(1-((M37+O37+Q37)/R37))))))/(2*(R37+1.96^2))),0)&gt;=0),CONCATENATE(ROUND(SUM(100*((2*(M37+O37+Q37)+1.96^2)-(1.96*(SQRT(1.96^2+4*(M37+O37+Q37)*(1-((M37+O37+Q37)/R37))))))/(2*(R37+1.96^2))),0)," - ",ROUND(SUM(100*((2*(M37+O37+Q37)+1.96^2)+(1.96*(SQRT(1.96^2+4*(M37+O37+Q37)*(1-((M37+O37+Q37)/R37))))))/(2*(R37+1.96^2))),0)),""))</f>
        <v>86 - 91</v>
      </c>
      <c r="I37" s="861"/>
      <c r="J37" s="862"/>
      <c r="K37" s="862"/>
      <c r="L37" s="863"/>
      <c r="M37" s="428">
        <v>475</v>
      </c>
      <c r="N37" s="428">
        <v>635</v>
      </c>
      <c r="O37" s="590">
        <v>81</v>
      </c>
      <c r="P37" s="590">
        <v>635</v>
      </c>
      <c r="Q37" s="429">
        <v>9</v>
      </c>
      <c r="R37" s="429">
        <v>635</v>
      </c>
      <c r="S37" s="325"/>
      <c r="T37" s="326"/>
    </row>
    <row r="38" spans="1:20">
      <c r="A38" s="859"/>
      <c r="B38" s="60" t="s">
        <v>30</v>
      </c>
      <c r="C38" s="46">
        <f t="shared" si="9"/>
        <v>94.660194174757279</v>
      </c>
      <c r="D38" s="46" t="str">
        <f t="shared" si="10"/>
        <v>91 - 97</v>
      </c>
      <c r="E38" s="46">
        <f t="shared" si="11"/>
        <v>99.029126213592235</v>
      </c>
      <c r="F38" s="46" t="str">
        <f t="shared" si="12"/>
        <v>97 - 100</v>
      </c>
      <c r="G38" s="46">
        <f t="shared" si="13"/>
        <v>99.514563106796118</v>
      </c>
      <c r="H38" s="46" t="str">
        <f t="shared" si="14"/>
        <v>97 - 100</v>
      </c>
      <c r="I38" s="861"/>
      <c r="J38" s="862"/>
      <c r="K38" s="862"/>
      <c r="L38" s="863"/>
      <c r="M38" s="428">
        <v>195</v>
      </c>
      <c r="N38" s="428">
        <v>206</v>
      </c>
      <c r="O38" s="428">
        <v>9</v>
      </c>
      <c r="P38" s="428">
        <v>206</v>
      </c>
      <c r="Q38" s="429">
        <v>1</v>
      </c>
      <c r="R38" s="429">
        <v>206</v>
      </c>
      <c r="S38" s="327"/>
      <c r="T38" s="328"/>
    </row>
    <row r="39" spans="1:20">
      <c r="A39" s="859"/>
      <c r="B39" s="60" t="s">
        <v>33</v>
      </c>
      <c r="C39" s="46">
        <f t="shared" si="9"/>
        <v>83.848797250859107</v>
      </c>
      <c r="D39" s="46" t="str">
        <f t="shared" si="10"/>
        <v>79 - 88</v>
      </c>
      <c r="E39" s="46">
        <f t="shared" si="11"/>
        <v>92.783505154639172</v>
      </c>
      <c r="F39" s="46" t="str">
        <f t="shared" si="12"/>
        <v>89 - 95</v>
      </c>
      <c r="G39" s="46">
        <f t="shared" si="13"/>
        <v>94.158075601374563</v>
      </c>
      <c r="H39" s="46" t="str">
        <f t="shared" si="14"/>
        <v>91 - 96</v>
      </c>
      <c r="I39" s="861"/>
      <c r="J39" s="862"/>
      <c r="K39" s="862"/>
      <c r="L39" s="863"/>
      <c r="M39" s="428">
        <v>244</v>
      </c>
      <c r="N39" s="428">
        <v>291</v>
      </c>
      <c r="O39" s="428">
        <v>26</v>
      </c>
      <c r="P39" s="428">
        <v>291</v>
      </c>
      <c r="Q39" s="429">
        <v>4</v>
      </c>
      <c r="R39" s="429">
        <v>291</v>
      </c>
      <c r="S39" s="327"/>
      <c r="T39" s="328"/>
    </row>
    <row r="40" spans="1:20">
      <c r="A40" s="859"/>
      <c r="B40" s="60" t="s">
        <v>32</v>
      </c>
      <c r="C40" s="46">
        <f t="shared" si="9"/>
        <v>81.558028616852155</v>
      </c>
      <c r="D40" s="46" t="str">
        <f t="shared" si="10"/>
        <v>78 - 84</v>
      </c>
      <c r="E40" s="46">
        <f t="shared" si="11"/>
        <v>89.82511923688395</v>
      </c>
      <c r="F40" s="46" t="str">
        <f t="shared" si="12"/>
        <v>87 - 92</v>
      </c>
      <c r="G40" s="46">
        <f t="shared" si="13"/>
        <v>90.779014308426071</v>
      </c>
      <c r="H40" s="46" t="str">
        <f t="shared" si="14"/>
        <v>88 - 93</v>
      </c>
      <c r="I40" s="861"/>
      <c r="J40" s="862"/>
      <c r="K40" s="862"/>
      <c r="L40" s="863"/>
      <c r="M40" s="428">
        <v>513</v>
      </c>
      <c r="N40" s="428">
        <v>629</v>
      </c>
      <c r="O40" s="428">
        <v>52</v>
      </c>
      <c r="P40" s="428">
        <v>629</v>
      </c>
      <c r="Q40" s="429">
        <v>6</v>
      </c>
      <c r="R40" s="429">
        <v>629</v>
      </c>
      <c r="S40" s="327"/>
      <c r="T40" s="328"/>
    </row>
    <row r="41" spans="1:20">
      <c r="A41" s="859"/>
      <c r="B41" s="60" t="s">
        <v>37</v>
      </c>
      <c r="C41" s="46">
        <f t="shared" si="9"/>
        <v>81.620553359683782</v>
      </c>
      <c r="D41" s="46" t="str">
        <f t="shared" si="10"/>
        <v>78 - 85</v>
      </c>
      <c r="E41" s="46">
        <f t="shared" si="11"/>
        <v>94.268774703557312</v>
      </c>
      <c r="F41" s="46" t="str">
        <f t="shared" si="12"/>
        <v>92 - 96</v>
      </c>
      <c r="G41" s="46">
        <f t="shared" si="13"/>
        <v>95.652173913043484</v>
      </c>
      <c r="H41" s="46" t="str">
        <f t="shared" si="14"/>
        <v>94 - 97</v>
      </c>
      <c r="I41" s="861"/>
      <c r="J41" s="862"/>
      <c r="K41" s="862"/>
      <c r="L41" s="863"/>
      <c r="M41" s="428">
        <v>413</v>
      </c>
      <c r="N41" s="428">
        <v>506</v>
      </c>
      <c r="O41" s="428">
        <v>64</v>
      </c>
      <c r="P41" s="428">
        <v>506</v>
      </c>
      <c r="Q41" s="429">
        <v>7</v>
      </c>
      <c r="R41" s="429">
        <v>506</v>
      </c>
      <c r="S41" s="327"/>
      <c r="T41" s="328"/>
    </row>
    <row r="42" spans="1:20">
      <c r="A42" s="859"/>
      <c r="B42" s="60" t="s">
        <v>36</v>
      </c>
      <c r="C42" s="46">
        <f t="shared" si="9"/>
        <v>75.757575757575751</v>
      </c>
      <c r="D42" s="46" t="str">
        <f t="shared" si="10"/>
        <v>73 - 79</v>
      </c>
      <c r="E42" s="46">
        <f t="shared" si="11"/>
        <v>88.567493112947659</v>
      </c>
      <c r="F42" s="46" t="str">
        <f t="shared" si="12"/>
        <v>86 - 91</v>
      </c>
      <c r="G42" s="46">
        <f t="shared" si="13"/>
        <v>90.220385674931123</v>
      </c>
      <c r="H42" s="46" t="str">
        <f t="shared" si="14"/>
        <v>88 - 92</v>
      </c>
      <c r="I42" s="861"/>
      <c r="J42" s="862"/>
      <c r="K42" s="862"/>
      <c r="L42" s="863"/>
      <c r="M42" s="428">
        <v>550</v>
      </c>
      <c r="N42" s="428">
        <v>726</v>
      </c>
      <c r="O42" s="428">
        <v>93</v>
      </c>
      <c r="P42" s="428">
        <v>726</v>
      </c>
      <c r="Q42" s="429">
        <v>12</v>
      </c>
      <c r="R42" s="429">
        <v>726</v>
      </c>
      <c r="S42" s="327"/>
      <c r="T42" s="328"/>
    </row>
    <row r="43" spans="1:20">
      <c r="A43" s="859"/>
      <c r="B43" s="60" t="s">
        <v>42</v>
      </c>
      <c r="C43" s="46">
        <f t="shared" si="9"/>
        <v>70.026642984014202</v>
      </c>
      <c r="D43" s="46" t="str">
        <f t="shared" si="10"/>
        <v>68 - 72</v>
      </c>
      <c r="E43" s="46">
        <f t="shared" si="11"/>
        <v>88.987566607460039</v>
      </c>
      <c r="F43" s="46" t="str">
        <f t="shared" si="12"/>
        <v>88 - 90</v>
      </c>
      <c r="G43" s="46">
        <f t="shared" si="13"/>
        <v>90.985790408525759</v>
      </c>
      <c r="H43" s="46" t="str">
        <f t="shared" si="14"/>
        <v>90 - 92</v>
      </c>
      <c r="I43" s="861"/>
      <c r="J43" s="862"/>
      <c r="K43" s="862"/>
      <c r="L43" s="863"/>
      <c r="M43" s="428">
        <v>1577</v>
      </c>
      <c r="N43" s="428">
        <v>2252</v>
      </c>
      <c r="O43" s="428">
        <v>427</v>
      </c>
      <c r="P43" s="428">
        <v>2252</v>
      </c>
      <c r="Q43" s="429">
        <v>45</v>
      </c>
      <c r="R43" s="429">
        <v>2252</v>
      </c>
      <c r="S43" s="327"/>
      <c r="T43" s="328"/>
    </row>
    <row r="44" spans="1:20">
      <c r="A44" s="859"/>
      <c r="B44" s="60" t="s">
        <v>38</v>
      </c>
      <c r="C44" s="46">
        <f t="shared" si="9"/>
        <v>86.295503211991431</v>
      </c>
      <c r="D44" s="46" t="str">
        <f t="shared" si="10"/>
        <v>83 - 89</v>
      </c>
      <c r="E44" s="46">
        <f t="shared" si="11"/>
        <v>98.286937901498931</v>
      </c>
      <c r="F44" s="46" t="str">
        <f t="shared" si="12"/>
        <v>97 - 99</v>
      </c>
      <c r="G44" s="46">
        <f t="shared" si="13"/>
        <v>98.286937901498931</v>
      </c>
      <c r="H44" s="46" t="str">
        <f t="shared" si="14"/>
        <v>97 - 99</v>
      </c>
      <c r="I44" s="861"/>
      <c r="J44" s="862"/>
      <c r="K44" s="862"/>
      <c r="L44" s="863"/>
      <c r="M44" s="428">
        <v>403</v>
      </c>
      <c r="N44" s="428">
        <v>467</v>
      </c>
      <c r="O44" s="428">
        <v>56</v>
      </c>
      <c r="P44" s="428">
        <v>467</v>
      </c>
      <c r="Q44" s="429">
        <v>0</v>
      </c>
      <c r="R44" s="429">
        <v>467</v>
      </c>
      <c r="S44" s="327"/>
      <c r="T44" s="328"/>
    </row>
    <row r="45" spans="1:20">
      <c r="A45" s="859"/>
      <c r="B45" s="60" t="s">
        <v>31</v>
      </c>
      <c r="C45" s="46">
        <f t="shared" si="9"/>
        <v>87.337662337662337</v>
      </c>
      <c r="D45" s="46" t="str">
        <f t="shared" si="10"/>
        <v>85 - 89</v>
      </c>
      <c r="E45" s="46">
        <f t="shared" si="11"/>
        <v>95.562770562770567</v>
      </c>
      <c r="F45" s="46" t="str">
        <f t="shared" si="12"/>
        <v>94 - 97</v>
      </c>
      <c r="G45" s="46">
        <f t="shared" si="13"/>
        <v>97.077922077922068</v>
      </c>
      <c r="H45" s="46" t="str">
        <f t="shared" si="14"/>
        <v>96 - 98</v>
      </c>
      <c r="I45" s="861"/>
      <c r="J45" s="862"/>
      <c r="K45" s="862"/>
      <c r="L45" s="863"/>
      <c r="M45" s="428">
        <v>807</v>
      </c>
      <c r="N45" s="428">
        <v>924</v>
      </c>
      <c r="O45" s="428">
        <v>76</v>
      </c>
      <c r="P45" s="428">
        <v>924</v>
      </c>
      <c r="Q45" s="429">
        <v>14</v>
      </c>
      <c r="R45" s="429">
        <v>924</v>
      </c>
      <c r="S45" s="327"/>
      <c r="T45" s="328"/>
    </row>
    <row r="46" spans="1:20">
      <c r="A46" s="859"/>
      <c r="B46" s="60" t="s">
        <v>40</v>
      </c>
      <c r="C46" s="46">
        <f t="shared" si="9"/>
        <v>69.311797752808985</v>
      </c>
      <c r="D46" s="46" t="str">
        <f t="shared" si="10"/>
        <v>67 - 72</v>
      </c>
      <c r="E46" s="46">
        <f t="shared" si="11"/>
        <v>85.463483146067418</v>
      </c>
      <c r="F46" s="46" t="str">
        <f t="shared" si="12"/>
        <v>84 - 87</v>
      </c>
      <c r="G46" s="46">
        <f t="shared" si="13"/>
        <v>86.797752808988761</v>
      </c>
      <c r="H46" s="46" t="str">
        <f t="shared" si="14"/>
        <v>85 - 88</v>
      </c>
      <c r="I46" s="861"/>
      <c r="J46" s="862"/>
      <c r="K46" s="862"/>
      <c r="L46" s="863"/>
      <c r="M46" s="428">
        <v>987</v>
      </c>
      <c r="N46" s="428">
        <v>1424</v>
      </c>
      <c r="O46" s="428">
        <v>230</v>
      </c>
      <c r="P46" s="428">
        <v>1424</v>
      </c>
      <c r="Q46" s="429">
        <v>19</v>
      </c>
      <c r="R46" s="429">
        <v>1424</v>
      </c>
      <c r="S46" s="327"/>
      <c r="T46" s="328"/>
    </row>
    <row r="47" spans="1:20">
      <c r="A47" s="859"/>
      <c r="B47" s="60" t="s">
        <v>43</v>
      </c>
      <c r="C47" s="46">
        <f t="shared" si="9"/>
        <v>75</v>
      </c>
      <c r="D47" s="46" t="str">
        <f t="shared" si="10"/>
        <v>60 - 86</v>
      </c>
      <c r="E47" s="46">
        <f t="shared" si="11"/>
        <v>85</v>
      </c>
      <c r="F47" s="46" t="str">
        <f t="shared" si="12"/>
        <v>71 - 93</v>
      </c>
      <c r="G47" s="46">
        <f t="shared" si="13"/>
        <v>90</v>
      </c>
      <c r="H47" s="46" t="str">
        <f t="shared" si="14"/>
        <v>77 - 96</v>
      </c>
      <c r="I47" s="861"/>
      <c r="J47" s="862"/>
      <c r="K47" s="862"/>
      <c r="L47" s="863"/>
      <c r="M47" s="428">
        <v>30</v>
      </c>
      <c r="N47" s="428">
        <v>40</v>
      </c>
      <c r="O47" s="428">
        <v>4</v>
      </c>
      <c r="P47" s="428">
        <v>40</v>
      </c>
      <c r="Q47" s="429">
        <v>2</v>
      </c>
      <c r="R47" s="429">
        <v>40</v>
      </c>
      <c r="S47" s="327"/>
      <c r="T47" s="328"/>
    </row>
    <row r="48" spans="1:20">
      <c r="A48" s="859"/>
      <c r="B48" s="60" t="s">
        <v>41</v>
      </c>
      <c r="C48" s="46">
        <f t="shared" si="9"/>
        <v>85.714285714285708</v>
      </c>
      <c r="D48" s="46" t="str">
        <f t="shared" si="10"/>
        <v>71 - 94</v>
      </c>
      <c r="E48" s="46">
        <f t="shared" si="11"/>
        <v>97.142857142857139</v>
      </c>
      <c r="F48" s="46" t="str">
        <f t="shared" si="12"/>
        <v>85 - 99</v>
      </c>
      <c r="G48" s="46">
        <f t="shared" si="13"/>
        <v>100</v>
      </c>
      <c r="H48" s="46" t="str">
        <f t="shared" si="14"/>
        <v>90 - 100</v>
      </c>
      <c r="I48" s="861"/>
      <c r="J48" s="862"/>
      <c r="K48" s="862"/>
      <c r="L48" s="863"/>
      <c r="M48" s="428">
        <v>30</v>
      </c>
      <c r="N48" s="428">
        <v>35</v>
      </c>
      <c r="O48" s="428">
        <v>4</v>
      </c>
      <c r="P48" s="428">
        <v>35</v>
      </c>
      <c r="Q48" s="429">
        <v>1</v>
      </c>
      <c r="R48" s="429">
        <v>35</v>
      </c>
      <c r="S48" s="327"/>
      <c r="T48" s="328"/>
    </row>
    <row r="49" spans="1:20">
      <c r="A49" s="859"/>
      <c r="B49" s="60" t="s">
        <v>34</v>
      </c>
      <c r="C49" s="46">
        <f t="shared" si="9"/>
        <v>82.58620689655173</v>
      </c>
      <c r="D49" s="46" t="str">
        <f t="shared" si="10"/>
        <v>79 - 85</v>
      </c>
      <c r="E49" s="46">
        <f t="shared" si="11"/>
        <v>94.482758620689651</v>
      </c>
      <c r="F49" s="46" t="str">
        <f t="shared" si="12"/>
        <v>92 - 96</v>
      </c>
      <c r="G49" s="46">
        <f t="shared" si="13"/>
        <v>96.896551724137936</v>
      </c>
      <c r="H49" s="46" t="str">
        <f t="shared" si="14"/>
        <v>95 - 98</v>
      </c>
      <c r="I49" s="861"/>
      <c r="J49" s="862"/>
      <c r="K49" s="862"/>
      <c r="L49" s="863"/>
      <c r="M49" s="428">
        <v>479</v>
      </c>
      <c r="N49" s="428">
        <v>580</v>
      </c>
      <c r="O49" s="428">
        <v>69</v>
      </c>
      <c r="P49" s="428">
        <v>580</v>
      </c>
      <c r="Q49" s="429">
        <v>14</v>
      </c>
      <c r="R49" s="429">
        <v>580</v>
      </c>
      <c r="S49" s="327"/>
      <c r="T49" s="328"/>
    </row>
    <row r="50" spans="1:20">
      <c r="A50" s="860"/>
      <c r="B50" s="60" t="s">
        <v>39</v>
      </c>
      <c r="C50" s="46">
        <f t="shared" si="9"/>
        <v>95.454545454545453</v>
      </c>
      <c r="D50" s="46" t="str">
        <f t="shared" si="10"/>
        <v>78 - 99</v>
      </c>
      <c r="E50" s="46">
        <f t="shared" si="11"/>
        <v>100</v>
      </c>
      <c r="F50" s="46" t="str">
        <f t="shared" si="12"/>
        <v>85 - 100</v>
      </c>
      <c r="G50" s="46">
        <f t="shared" si="13"/>
        <v>100</v>
      </c>
      <c r="H50" s="46" t="str">
        <f t="shared" si="14"/>
        <v>85 - 100</v>
      </c>
      <c r="I50" s="864"/>
      <c r="J50" s="865"/>
      <c r="K50" s="865"/>
      <c r="L50" s="866"/>
      <c r="M50" s="428">
        <v>21</v>
      </c>
      <c r="N50" s="428">
        <v>22</v>
      </c>
      <c r="O50" s="428">
        <v>1</v>
      </c>
      <c r="P50" s="428">
        <v>22</v>
      </c>
      <c r="Q50" s="429">
        <v>0</v>
      </c>
      <c r="R50" s="429">
        <v>22</v>
      </c>
      <c r="S50" s="327"/>
      <c r="T50" s="328"/>
    </row>
    <row r="51" spans="1:20">
      <c r="A51" s="51"/>
      <c r="B51" s="33"/>
      <c r="C51" s="34"/>
      <c r="D51" s="34"/>
      <c r="E51" s="34"/>
      <c r="F51" s="34"/>
      <c r="G51" s="34"/>
      <c r="H51" s="34"/>
      <c r="I51" s="34"/>
      <c r="J51" s="34"/>
      <c r="M51" s="35"/>
      <c r="N51" s="35"/>
      <c r="O51" s="35"/>
      <c r="P51" s="35"/>
    </row>
    <row r="52" spans="1:20" s="583" customFormat="1">
      <c r="A52" s="51"/>
      <c r="B52" s="588"/>
      <c r="C52" s="34"/>
      <c r="D52" s="34"/>
      <c r="E52" s="34"/>
      <c r="F52" s="34"/>
      <c r="G52" s="34"/>
      <c r="H52" s="34"/>
      <c r="I52" s="34"/>
      <c r="J52" s="34"/>
      <c r="M52" s="588"/>
      <c r="N52" s="588"/>
      <c r="O52" s="588"/>
      <c r="P52" s="588"/>
      <c r="Q52" s="588"/>
      <c r="R52" s="588"/>
      <c r="S52" s="588"/>
      <c r="T52" s="588"/>
    </row>
    <row r="53" spans="1:20" s="583" customFormat="1">
      <c r="A53" s="51"/>
      <c r="B53" s="588"/>
      <c r="C53" s="34"/>
      <c r="D53" s="34"/>
      <c r="E53" s="34"/>
      <c r="F53" s="34"/>
      <c r="G53" s="34"/>
      <c r="H53" s="34"/>
      <c r="I53" s="34"/>
      <c r="J53" s="34"/>
      <c r="M53" s="588"/>
      <c r="N53" s="588"/>
      <c r="O53" s="588"/>
      <c r="P53" s="588"/>
      <c r="Q53" s="588"/>
      <c r="R53" s="588"/>
      <c r="S53" s="588"/>
      <c r="T53" s="588"/>
    </row>
    <row r="54" spans="1:20" s="583" customFormat="1">
      <c r="A54" s="51"/>
      <c r="B54" s="588"/>
      <c r="C54" s="34"/>
      <c r="D54" s="34"/>
      <c r="E54" s="34"/>
      <c r="F54" s="34"/>
      <c r="G54" s="34"/>
      <c r="H54" s="34"/>
      <c r="I54" s="34"/>
      <c r="J54" s="34"/>
      <c r="M54" s="588"/>
      <c r="N54" s="588"/>
      <c r="O54" s="588"/>
      <c r="P54" s="588"/>
      <c r="Q54" s="588"/>
      <c r="R54" s="588"/>
      <c r="S54" s="588"/>
      <c r="T54" s="588"/>
    </row>
  </sheetData>
  <sheetProtection password="B8D9" sheet="1" objects="1" scenarios="1"/>
  <mergeCells count="17">
    <mergeCell ref="O35:P35"/>
    <mergeCell ref="Q35:R35"/>
    <mergeCell ref="S35:T35"/>
    <mergeCell ref="A37:A50"/>
    <mergeCell ref="I37:L50"/>
    <mergeCell ref="A35:B35"/>
    <mergeCell ref="C35:D35"/>
    <mergeCell ref="E35:F35"/>
    <mergeCell ref="G35:H35"/>
    <mergeCell ref="I35:L36"/>
    <mergeCell ref="M35:N35"/>
    <mergeCell ref="S1:T1"/>
    <mergeCell ref="A1:B1"/>
    <mergeCell ref="C1:H1"/>
    <mergeCell ref="M1:N1"/>
    <mergeCell ref="O1:P1"/>
    <mergeCell ref="Q1:R1"/>
  </mergeCells>
  <printOptions horizontalCentered="1"/>
  <pageMargins left="0" right="0" top="0.27559055118110237" bottom="0.51181102362204722" header="0.15748031496062992" footer="0.19685039370078741"/>
  <pageSetup paperSize="9" scale="6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35.xml><?xml version="1.0" encoding="utf-8"?>
<worksheet xmlns="http://schemas.openxmlformats.org/spreadsheetml/2006/main" xmlns:r="http://schemas.openxmlformats.org/officeDocument/2006/relationships">
  <sheetPr codeName="Sheet32">
    <pageSetUpPr fitToPage="1"/>
  </sheetPr>
  <dimension ref="B1:AA44"/>
  <sheetViews>
    <sheetView workbookViewId="0"/>
  </sheetViews>
  <sheetFormatPr defaultRowHeight="12.75"/>
  <cols>
    <col min="1" max="1" width="2.7109375" style="336" customWidth="1"/>
    <col min="2" max="16384" width="9.140625" style="336"/>
  </cols>
  <sheetData>
    <row r="1" spans="2:27" s="579" customFormat="1">
      <c r="B1" s="26" t="s">
        <v>668</v>
      </c>
      <c r="C1" s="26"/>
      <c r="D1" s="26"/>
      <c r="E1" s="26"/>
      <c r="F1" s="26"/>
      <c r="G1" s="26"/>
      <c r="H1" s="26"/>
      <c r="I1" s="26"/>
      <c r="J1" s="26"/>
      <c r="K1" s="26"/>
      <c r="L1" s="26"/>
      <c r="M1" s="26"/>
      <c r="N1" s="26"/>
      <c r="O1" s="26"/>
      <c r="P1" s="802" t="s">
        <v>48</v>
      </c>
      <c r="Q1" s="26"/>
      <c r="R1" s="26"/>
      <c r="S1" s="26"/>
      <c r="T1" s="26"/>
    </row>
    <row r="2" spans="2:27" s="579" customFormat="1" ht="12.75" customHeight="1">
      <c r="B2" s="868" t="s">
        <v>13</v>
      </c>
      <c r="C2" s="868"/>
      <c r="D2" s="868"/>
      <c r="E2" s="868"/>
      <c r="F2" s="868"/>
      <c r="G2" s="868"/>
      <c r="H2" s="868"/>
      <c r="I2" s="868"/>
      <c r="J2" s="868"/>
      <c r="K2" s="868"/>
      <c r="L2" s="868"/>
      <c r="M2" s="868"/>
      <c r="O2" s="27"/>
      <c r="P2" s="802"/>
      <c r="Q2" s="28"/>
      <c r="R2" s="803"/>
      <c r="S2" s="803"/>
      <c r="T2" s="803"/>
    </row>
    <row r="3" spans="2:27" s="579" customFormat="1" ht="12.75" customHeight="1">
      <c r="B3" s="868"/>
      <c r="C3" s="868"/>
      <c r="D3" s="868"/>
      <c r="E3" s="868"/>
      <c r="F3" s="868"/>
      <c r="G3" s="868"/>
      <c r="H3" s="868"/>
      <c r="I3" s="868"/>
      <c r="J3" s="868"/>
      <c r="K3" s="868"/>
      <c r="L3" s="868"/>
      <c r="M3" s="868"/>
      <c r="O3" s="589"/>
      <c r="P3" s="802"/>
      <c r="Q3" s="29"/>
      <c r="R3" s="572"/>
      <c r="S3" s="572"/>
      <c r="T3" s="572"/>
    </row>
    <row r="4" spans="2:27" s="579" customFormat="1" ht="12.75" customHeight="1">
      <c r="B4" s="869" t="s">
        <v>311</v>
      </c>
      <c r="C4" s="869"/>
      <c r="D4" s="869"/>
      <c r="E4" s="869"/>
      <c r="F4" s="869"/>
      <c r="G4" s="869"/>
      <c r="H4" s="869"/>
      <c r="I4" s="869"/>
      <c r="J4" s="869"/>
      <c r="K4" s="869"/>
      <c r="L4" s="869"/>
      <c r="M4" s="284"/>
      <c r="N4" s="284"/>
      <c r="O4" s="27"/>
      <c r="P4" s="802"/>
      <c r="Q4" s="573"/>
      <c r="R4" s="27"/>
      <c r="S4" s="28"/>
      <c r="T4" s="28"/>
      <c r="U4" s="28"/>
      <c r="V4" s="28"/>
      <c r="W4" s="28"/>
      <c r="X4" s="28"/>
      <c r="Y4" s="28"/>
      <c r="Z4" s="572"/>
      <c r="AA4" s="572"/>
    </row>
    <row r="5" spans="2:27" s="579" customFormat="1" ht="12.75" customHeight="1">
      <c r="B5" s="869"/>
      <c r="C5" s="869"/>
      <c r="D5" s="869"/>
      <c r="E5" s="869"/>
      <c r="F5" s="869"/>
      <c r="G5" s="869"/>
      <c r="H5" s="869"/>
      <c r="I5" s="869"/>
      <c r="J5" s="869"/>
      <c r="K5" s="869"/>
      <c r="L5" s="869"/>
      <c r="M5" s="284"/>
      <c r="N5" s="284"/>
      <c r="O5" s="27"/>
      <c r="P5" s="92"/>
      <c r="Q5" s="30"/>
      <c r="R5" s="30"/>
      <c r="S5" s="29"/>
      <c r="T5" s="572"/>
      <c r="U5" s="572"/>
      <c r="V5" s="572"/>
      <c r="W5" s="572"/>
      <c r="X5" s="572"/>
      <c r="Y5" s="572"/>
      <c r="Z5" s="572"/>
      <c r="AA5" s="572"/>
    </row>
    <row r="6" spans="2:27" s="579" customFormat="1" ht="15" customHeight="1">
      <c r="B6" s="869"/>
      <c r="C6" s="869"/>
      <c r="D6" s="869"/>
      <c r="E6" s="869"/>
      <c r="F6" s="869"/>
      <c r="G6" s="869"/>
      <c r="H6" s="869"/>
      <c r="I6" s="869"/>
      <c r="J6" s="869"/>
      <c r="K6" s="869"/>
      <c r="L6" s="869"/>
      <c r="M6" s="571"/>
      <c r="N6" s="571"/>
      <c r="O6" s="30"/>
      <c r="P6" s="726" t="s">
        <v>749</v>
      </c>
      <c r="Q6" s="29"/>
      <c r="R6" s="572"/>
      <c r="S6" s="572"/>
      <c r="T6" s="572"/>
    </row>
    <row r="12" spans="2:27">
      <c r="Q12" s="607"/>
    </row>
    <row r="41" spans="2:17" s="579" customFormat="1">
      <c r="B41" s="32" t="s">
        <v>454</v>
      </c>
      <c r="C41" s="33"/>
      <c r="D41" s="34"/>
      <c r="E41" s="34"/>
      <c r="F41" s="34"/>
      <c r="G41" s="34"/>
      <c r="H41" s="34"/>
      <c r="I41" s="34"/>
      <c r="J41" s="34"/>
      <c r="K41" s="34"/>
      <c r="L41" s="569"/>
      <c r="M41" s="569"/>
      <c r="N41" s="35"/>
      <c r="O41" s="35"/>
      <c r="P41" s="35"/>
      <c r="Q41" s="35"/>
    </row>
    <row r="42" spans="2:17" s="579" customFormat="1" ht="21.75" customHeight="1">
      <c r="B42" s="870" t="s">
        <v>641</v>
      </c>
      <c r="C42" s="870"/>
      <c r="D42" s="870"/>
      <c r="E42" s="870"/>
      <c r="F42" s="870"/>
      <c r="G42" s="870"/>
      <c r="H42" s="870"/>
      <c r="I42" s="870"/>
      <c r="J42" s="870"/>
      <c r="K42" s="870"/>
      <c r="L42" s="870"/>
      <c r="M42" s="870"/>
      <c r="N42" s="870"/>
      <c r="O42" s="870"/>
      <c r="P42" s="870"/>
    </row>
    <row r="43" spans="2:17" s="579" customFormat="1" ht="21.75" customHeight="1">
      <c r="B43" s="870"/>
      <c r="C43" s="870"/>
      <c r="D43" s="870"/>
      <c r="E43" s="870"/>
      <c r="F43" s="870"/>
      <c r="G43" s="870"/>
      <c r="H43" s="870"/>
      <c r="I43" s="870"/>
      <c r="J43" s="870"/>
      <c r="K43" s="870"/>
      <c r="L43" s="870"/>
      <c r="M43" s="870"/>
      <c r="N43" s="870"/>
      <c r="O43" s="870"/>
      <c r="P43" s="870"/>
    </row>
    <row r="44" spans="2:17" s="579" customFormat="1" ht="23.25" customHeight="1">
      <c r="B44" s="867" t="s">
        <v>297</v>
      </c>
      <c r="C44" s="784"/>
      <c r="D44" s="784"/>
      <c r="E44" s="784"/>
      <c r="F44" s="784"/>
      <c r="G44" s="784"/>
      <c r="H44" s="784"/>
      <c r="I44" s="784"/>
      <c r="J44" s="784"/>
      <c r="K44" s="784"/>
      <c r="L44" s="784"/>
      <c r="M44" s="784"/>
      <c r="N44" s="784"/>
      <c r="O44" s="784"/>
      <c r="P44" s="784"/>
    </row>
  </sheetData>
  <sheetProtection password="B8D9" sheet="1" objects="1" scenarios="1"/>
  <mergeCells count="6">
    <mergeCell ref="B44:P44"/>
    <mergeCell ref="B2:M3"/>
    <mergeCell ref="R2:T2"/>
    <mergeCell ref="B4:L6"/>
    <mergeCell ref="B42:P43"/>
    <mergeCell ref="P1:P4"/>
  </mergeCells>
  <hyperlinks>
    <hyperlink ref="P1" location="'List of Tables &amp; Charts'!A1" display="return to List of Tables &amp; Charts"/>
    <hyperlink ref="P6" location="'Chart 4 (2015) DATA'!A1" display="view Chart 4 data"/>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36.xml><?xml version="1.0" encoding="utf-8"?>
<worksheet xmlns="http://schemas.openxmlformats.org/spreadsheetml/2006/main" xmlns:r="http://schemas.openxmlformats.org/officeDocument/2006/relationships">
  <sheetPr codeName="Sheet35">
    <pageSetUpPr fitToPage="1"/>
  </sheetPr>
  <dimension ref="A1:AB55"/>
  <sheetViews>
    <sheetView showGridLines="0" workbookViewId="0">
      <selection sqref="A1:B1"/>
    </sheetView>
  </sheetViews>
  <sheetFormatPr defaultRowHeight="12.75"/>
  <cols>
    <col min="1" max="1" width="16.7109375" style="579" customWidth="1"/>
    <col min="2" max="2" width="45.7109375" style="579" bestFit="1" customWidth="1"/>
    <col min="3" max="8" width="6.7109375" style="569" customWidth="1"/>
    <col min="9" max="14" width="2.7109375" style="569" customWidth="1"/>
    <col min="15" max="15" width="9.28515625" style="579" customWidth="1"/>
    <col min="16" max="16" width="11.28515625" style="579" customWidth="1"/>
    <col min="17" max="17" width="9.28515625" style="579" customWidth="1"/>
    <col min="18" max="18" width="11.28515625" style="579" customWidth="1"/>
    <col min="19" max="19" width="9.28515625" style="579" customWidth="1"/>
    <col min="20" max="20" width="11.28515625" style="579" customWidth="1"/>
    <col min="21" max="21" width="9.28515625" style="579" customWidth="1"/>
    <col min="22" max="22" width="11.28515625" style="579" customWidth="1"/>
    <col min="23" max="23" width="9.28515625" style="579" customWidth="1"/>
    <col min="24" max="24" width="11.28515625" style="579" customWidth="1"/>
    <col min="25" max="25" width="9.28515625" style="579" customWidth="1"/>
    <col min="26" max="26" width="11.28515625" style="579" customWidth="1"/>
    <col min="27" max="16384" width="9.140625" style="579"/>
  </cols>
  <sheetData>
    <row r="1" spans="1:28" ht="25.5" customHeight="1">
      <c r="A1" s="853">
        <v>2015</v>
      </c>
      <c r="B1" s="850"/>
      <c r="C1" s="881" t="s">
        <v>44</v>
      </c>
      <c r="D1" s="882"/>
      <c r="E1" s="882"/>
      <c r="F1" s="882"/>
      <c r="G1" s="882"/>
      <c r="H1" s="883"/>
      <c r="I1" s="37"/>
      <c r="J1" s="37"/>
      <c r="K1" s="37"/>
      <c r="L1" s="63"/>
      <c r="M1" s="618"/>
      <c r="N1" s="617"/>
      <c r="O1" s="857" t="s">
        <v>51</v>
      </c>
      <c r="P1" s="857"/>
      <c r="Q1" s="857" t="s">
        <v>145</v>
      </c>
      <c r="R1" s="857"/>
      <c r="S1" s="857" t="s">
        <v>146</v>
      </c>
      <c r="T1" s="857"/>
      <c r="U1" s="857" t="s">
        <v>147</v>
      </c>
      <c r="V1" s="857"/>
      <c r="W1" s="857" t="s">
        <v>148</v>
      </c>
      <c r="X1" s="857"/>
      <c r="Y1" s="857" t="s">
        <v>149</v>
      </c>
      <c r="Z1" s="871"/>
    </row>
    <row r="2" spans="1:28" ht="45" customHeight="1">
      <c r="A2" s="38" t="s">
        <v>26</v>
      </c>
      <c r="B2" s="39" t="s">
        <v>27</v>
      </c>
      <c r="C2" s="40" t="s">
        <v>54</v>
      </c>
      <c r="D2" s="40" t="s">
        <v>150</v>
      </c>
      <c r="E2" s="40" t="s">
        <v>151</v>
      </c>
      <c r="F2" s="40" t="s">
        <v>152</v>
      </c>
      <c r="G2" s="40" t="s">
        <v>153</v>
      </c>
      <c r="H2" s="40" t="s">
        <v>154</v>
      </c>
      <c r="I2" s="42" t="s">
        <v>155</v>
      </c>
      <c r="J2" s="42" t="s">
        <v>156</v>
      </c>
      <c r="K2" s="42" t="s">
        <v>157</v>
      </c>
      <c r="L2" s="64" t="s">
        <v>158</v>
      </c>
      <c r="M2" s="616" t="s">
        <v>153</v>
      </c>
      <c r="N2" s="615" t="s">
        <v>280</v>
      </c>
      <c r="O2" s="43" t="s">
        <v>28</v>
      </c>
      <c r="P2" s="43" t="s">
        <v>29</v>
      </c>
      <c r="Q2" s="43" t="s">
        <v>28</v>
      </c>
      <c r="R2" s="43" t="s">
        <v>29</v>
      </c>
      <c r="S2" s="43" t="s">
        <v>28</v>
      </c>
      <c r="T2" s="43" t="s">
        <v>29</v>
      </c>
      <c r="U2" s="43" t="s">
        <v>28</v>
      </c>
      <c r="V2" s="43" t="s">
        <v>29</v>
      </c>
      <c r="W2" s="43" t="s">
        <v>28</v>
      </c>
      <c r="X2" s="43" t="s">
        <v>29</v>
      </c>
      <c r="Y2" s="43" t="s">
        <v>28</v>
      </c>
      <c r="Z2" s="65" t="s">
        <v>29</v>
      </c>
      <c r="AA2" s="44" t="s">
        <v>144</v>
      </c>
    </row>
    <row r="3" spans="1:28">
      <c r="A3" s="45" t="s">
        <v>137</v>
      </c>
      <c r="B3" s="45" t="s">
        <v>137</v>
      </c>
      <c r="C3" s="46">
        <f t="shared" ref="C3:C32" si="0">IF(ISERR(O3/P3*100),"",O3/P3*100)</f>
        <v>69.488145357855075</v>
      </c>
      <c r="D3" s="46">
        <f t="shared" ref="D3:D32" si="1">IF(ISERR(Q3/R3*100),"",Q3/R3*100)</f>
        <v>56.492355417682248</v>
      </c>
      <c r="E3" s="46">
        <f t="shared" ref="E3:E32" si="2">IF(ISERR(S3/T3*100),"",S3/T3*100)</f>
        <v>68.468867715488585</v>
      </c>
      <c r="F3" s="46">
        <f t="shared" ref="F3:F32" si="3">IF(ISERR(U3/V3*100),"",U3/V3*100)</f>
        <v>77.952581431420342</v>
      </c>
      <c r="G3" s="46">
        <f t="shared" ref="G3:G32" si="4">IF(ISERR(W3/X3*100),"",W3/X3*100)</f>
        <v>91.458010192776428</v>
      </c>
      <c r="H3" s="46">
        <f t="shared" ref="H3:H32" si="5">IF(ISERR(Y3/Z3*100),"",Y3/Z3*100)</f>
        <v>7.2789718590737866</v>
      </c>
      <c r="I3" s="614">
        <f t="shared" ref="I3:I32" si="6">E3-D3</f>
        <v>11.976512297806337</v>
      </c>
      <c r="J3" s="613">
        <f t="shared" ref="J3:J32" si="7">F3-E3</f>
        <v>9.4837137159317564</v>
      </c>
      <c r="K3" s="613">
        <f t="shared" ref="K3:K32" si="8">G3-F3</f>
        <v>13.505428761356086</v>
      </c>
      <c r="L3" s="612">
        <f t="shared" ref="L3:L32" si="9">G3-E3</f>
        <v>22.989142477287842</v>
      </c>
      <c r="M3" s="612">
        <f t="shared" ref="M3:M32" si="10">G3-D3</f>
        <v>34.96565477509418</v>
      </c>
      <c r="N3" s="611">
        <v>90</v>
      </c>
      <c r="O3" s="427">
        <f t="shared" ref="O3:Z3" si="11">SUM(O4:O32)</f>
        <v>6272</v>
      </c>
      <c r="P3" s="427">
        <f t="shared" si="11"/>
        <v>9026</v>
      </c>
      <c r="Q3" s="427">
        <f t="shared" si="11"/>
        <v>5099</v>
      </c>
      <c r="R3" s="427">
        <f t="shared" si="11"/>
        <v>9026</v>
      </c>
      <c r="S3" s="427">
        <f t="shared" si="11"/>
        <v>6180</v>
      </c>
      <c r="T3" s="427">
        <f t="shared" si="11"/>
        <v>9026</v>
      </c>
      <c r="U3" s="427">
        <f t="shared" si="11"/>
        <v>7036</v>
      </c>
      <c r="V3" s="427">
        <f t="shared" si="11"/>
        <v>9026</v>
      </c>
      <c r="W3" s="427">
        <f t="shared" si="11"/>
        <v>8255</v>
      </c>
      <c r="X3" s="427">
        <f t="shared" si="11"/>
        <v>9026</v>
      </c>
      <c r="Y3" s="427">
        <f t="shared" si="11"/>
        <v>657</v>
      </c>
      <c r="Z3" s="427">
        <f t="shared" si="11"/>
        <v>9026</v>
      </c>
      <c r="AA3" s="44"/>
      <c r="AB3" s="368"/>
    </row>
    <row r="4" spans="1:28">
      <c r="A4" s="45" t="s">
        <v>61</v>
      </c>
      <c r="B4" s="45" t="s">
        <v>60</v>
      </c>
      <c r="C4" s="46">
        <f t="shared" si="0"/>
        <v>48.473282442748086</v>
      </c>
      <c r="D4" s="46">
        <f t="shared" si="1"/>
        <v>32.824427480916029</v>
      </c>
      <c r="E4" s="46">
        <f t="shared" si="2"/>
        <v>45.801526717557252</v>
      </c>
      <c r="F4" s="46">
        <f t="shared" si="3"/>
        <v>56.87022900763359</v>
      </c>
      <c r="G4" s="46">
        <f t="shared" si="4"/>
        <v>80.916030534351151</v>
      </c>
      <c r="H4" s="46">
        <f t="shared" si="5"/>
        <v>17.938931297709924</v>
      </c>
      <c r="I4" s="593">
        <f t="shared" si="6"/>
        <v>12.977099236641223</v>
      </c>
      <c r="J4" s="593">
        <f t="shared" si="7"/>
        <v>11.068702290076338</v>
      </c>
      <c r="K4" s="593">
        <f t="shared" si="8"/>
        <v>24.045801526717561</v>
      </c>
      <c r="L4" s="610">
        <f t="shared" si="9"/>
        <v>35.114503816793899</v>
      </c>
      <c r="M4" s="610">
        <f t="shared" si="10"/>
        <v>48.091603053435122</v>
      </c>
      <c r="N4" s="591">
        <v>90</v>
      </c>
      <c r="O4" s="427">
        <v>127</v>
      </c>
      <c r="P4" s="427">
        <v>262</v>
      </c>
      <c r="Q4" s="427">
        <v>86</v>
      </c>
      <c r="R4" s="427">
        <v>262</v>
      </c>
      <c r="S4" s="427">
        <v>120</v>
      </c>
      <c r="T4" s="427">
        <v>262</v>
      </c>
      <c r="U4" s="427">
        <v>149</v>
      </c>
      <c r="V4" s="427">
        <v>262</v>
      </c>
      <c r="W4" s="427">
        <v>212</v>
      </c>
      <c r="X4" s="427">
        <v>262</v>
      </c>
      <c r="Y4" s="427">
        <v>47</v>
      </c>
      <c r="Z4" s="427">
        <v>262</v>
      </c>
      <c r="AA4" s="44"/>
      <c r="AB4" s="368"/>
    </row>
    <row r="5" spans="1:28">
      <c r="A5" s="45" t="s">
        <v>63</v>
      </c>
      <c r="B5" s="45" t="s">
        <v>64</v>
      </c>
      <c r="C5" s="46">
        <f t="shared" si="0"/>
        <v>57.47422680412371</v>
      </c>
      <c r="D5" s="46">
        <f t="shared" si="1"/>
        <v>42.52577319587629</v>
      </c>
      <c r="E5" s="46">
        <f t="shared" si="2"/>
        <v>56.443298969072167</v>
      </c>
      <c r="F5" s="46">
        <f t="shared" si="3"/>
        <v>68.814432989690715</v>
      </c>
      <c r="G5" s="46">
        <f t="shared" si="4"/>
        <v>87.628865979381445</v>
      </c>
      <c r="H5" s="46">
        <f t="shared" si="5"/>
        <v>11.597938144329897</v>
      </c>
      <c r="I5" s="593">
        <f t="shared" si="6"/>
        <v>13.917525773195877</v>
      </c>
      <c r="J5" s="593">
        <f t="shared" si="7"/>
        <v>12.371134020618548</v>
      </c>
      <c r="K5" s="593">
        <f t="shared" si="8"/>
        <v>18.814432989690729</v>
      </c>
      <c r="L5" s="610">
        <f t="shared" si="9"/>
        <v>31.185567010309278</v>
      </c>
      <c r="M5" s="610">
        <f t="shared" si="10"/>
        <v>45.103092783505154</v>
      </c>
      <c r="N5" s="591">
        <v>90</v>
      </c>
      <c r="O5" s="427">
        <v>223</v>
      </c>
      <c r="P5" s="427">
        <v>388</v>
      </c>
      <c r="Q5" s="427">
        <v>165</v>
      </c>
      <c r="R5" s="427">
        <v>388</v>
      </c>
      <c r="S5" s="427">
        <v>219</v>
      </c>
      <c r="T5" s="427">
        <v>388</v>
      </c>
      <c r="U5" s="427">
        <v>267</v>
      </c>
      <c r="V5" s="427">
        <v>388</v>
      </c>
      <c r="W5" s="427">
        <v>340</v>
      </c>
      <c r="X5" s="427">
        <v>388</v>
      </c>
      <c r="Y5" s="427">
        <v>45</v>
      </c>
      <c r="Z5" s="427">
        <v>388</v>
      </c>
      <c r="AA5" s="44"/>
      <c r="AB5" s="368"/>
    </row>
    <row r="6" spans="1:28">
      <c r="A6" s="45" t="s">
        <v>30</v>
      </c>
      <c r="B6" s="45" t="s">
        <v>66</v>
      </c>
      <c r="C6" s="46">
        <f t="shared" si="0"/>
        <v>82.191780821917803</v>
      </c>
      <c r="D6" s="46">
        <f t="shared" si="1"/>
        <v>68.036529680365305</v>
      </c>
      <c r="E6" s="46">
        <f t="shared" si="2"/>
        <v>80.821917808219183</v>
      </c>
      <c r="F6" s="46">
        <f t="shared" si="3"/>
        <v>90.410958904109577</v>
      </c>
      <c r="G6" s="46">
        <f t="shared" si="4"/>
        <v>99.086757990867582</v>
      </c>
      <c r="H6" s="46">
        <f t="shared" si="5"/>
        <v>0.91324200913242004</v>
      </c>
      <c r="I6" s="601">
        <f t="shared" si="6"/>
        <v>12.785388127853878</v>
      </c>
      <c r="J6" s="601">
        <f t="shared" si="7"/>
        <v>9.5890410958903942</v>
      </c>
      <c r="K6" s="601">
        <f t="shared" si="8"/>
        <v>8.6757990867580048</v>
      </c>
      <c r="L6" s="609">
        <f t="shared" si="9"/>
        <v>18.264840182648399</v>
      </c>
      <c r="M6" s="609">
        <f t="shared" si="10"/>
        <v>31.050228310502277</v>
      </c>
      <c r="N6" s="599">
        <v>90</v>
      </c>
      <c r="O6" s="427">
        <v>180</v>
      </c>
      <c r="P6" s="427">
        <v>219</v>
      </c>
      <c r="Q6" s="427">
        <v>149</v>
      </c>
      <c r="R6" s="427">
        <v>219</v>
      </c>
      <c r="S6" s="427">
        <v>177</v>
      </c>
      <c r="T6" s="427">
        <v>219</v>
      </c>
      <c r="U6" s="427">
        <v>198</v>
      </c>
      <c r="V6" s="427">
        <v>219</v>
      </c>
      <c r="W6" s="427">
        <v>217</v>
      </c>
      <c r="X6" s="427">
        <v>219</v>
      </c>
      <c r="Y6" s="427">
        <v>2</v>
      </c>
      <c r="Z6" s="427">
        <v>219</v>
      </c>
      <c r="AA6" s="44"/>
      <c r="AB6" s="368"/>
    </row>
    <row r="7" spans="1:28">
      <c r="A7" s="45" t="s">
        <v>68</v>
      </c>
      <c r="B7" s="45" t="s">
        <v>69</v>
      </c>
      <c r="C7" s="46">
        <f t="shared" si="0"/>
        <v>65.02057613168725</v>
      </c>
      <c r="D7" s="46">
        <f t="shared" si="1"/>
        <v>50.205761316872433</v>
      </c>
      <c r="E7" s="46">
        <f t="shared" si="2"/>
        <v>64.197530864197532</v>
      </c>
      <c r="F7" s="46">
        <f t="shared" si="3"/>
        <v>75.720164609053498</v>
      </c>
      <c r="G7" s="46">
        <f t="shared" si="4"/>
        <v>91.769547325102891</v>
      </c>
      <c r="H7" s="46">
        <f t="shared" si="5"/>
        <v>6.9958847736625511</v>
      </c>
      <c r="I7" s="601">
        <f t="shared" si="6"/>
        <v>13.991769547325099</v>
      </c>
      <c r="J7" s="601">
        <f t="shared" si="7"/>
        <v>11.522633744855966</v>
      </c>
      <c r="K7" s="601">
        <f t="shared" si="8"/>
        <v>16.049382716049394</v>
      </c>
      <c r="L7" s="609">
        <f t="shared" si="9"/>
        <v>27.57201646090536</v>
      </c>
      <c r="M7" s="609">
        <f t="shared" si="10"/>
        <v>41.563786008230458</v>
      </c>
      <c r="N7" s="599">
        <v>90</v>
      </c>
      <c r="O7" s="427">
        <v>158</v>
      </c>
      <c r="P7" s="427">
        <v>243</v>
      </c>
      <c r="Q7" s="427">
        <v>122</v>
      </c>
      <c r="R7" s="427">
        <v>243</v>
      </c>
      <c r="S7" s="427">
        <v>156</v>
      </c>
      <c r="T7" s="427">
        <v>243</v>
      </c>
      <c r="U7" s="427">
        <v>184</v>
      </c>
      <c r="V7" s="427">
        <v>243</v>
      </c>
      <c r="W7" s="427">
        <v>223</v>
      </c>
      <c r="X7" s="427">
        <v>243</v>
      </c>
      <c r="Y7" s="427">
        <v>17</v>
      </c>
      <c r="Z7" s="427">
        <v>243</v>
      </c>
      <c r="AA7" s="44"/>
      <c r="AB7" s="368"/>
    </row>
    <row r="8" spans="1:28">
      <c r="A8" s="45" t="s">
        <v>71</v>
      </c>
      <c r="B8" s="45" t="s">
        <v>72</v>
      </c>
      <c r="C8" s="46">
        <f t="shared" si="0"/>
        <v>85</v>
      </c>
      <c r="D8" s="46">
        <f t="shared" si="1"/>
        <v>80</v>
      </c>
      <c r="E8" s="46">
        <f t="shared" si="2"/>
        <v>82.5</v>
      </c>
      <c r="F8" s="46">
        <f t="shared" si="3"/>
        <v>85</v>
      </c>
      <c r="G8" s="46">
        <f t="shared" si="4"/>
        <v>90</v>
      </c>
      <c r="H8" s="46">
        <f t="shared" si="5"/>
        <v>10</v>
      </c>
      <c r="I8" s="601">
        <f t="shared" si="6"/>
        <v>2.5</v>
      </c>
      <c r="J8" s="601">
        <f t="shared" si="7"/>
        <v>2.5</v>
      </c>
      <c r="K8" s="601">
        <f t="shared" si="8"/>
        <v>5</v>
      </c>
      <c r="L8" s="609">
        <f t="shared" si="9"/>
        <v>7.5</v>
      </c>
      <c r="M8" s="609">
        <f t="shared" si="10"/>
        <v>10</v>
      </c>
      <c r="N8" s="599">
        <v>90</v>
      </c>
      <c r="O8" s="427">
        <v>34</v>
      </c>
      <c r="P8" s="427">
        <v>40</v>
      </c>
      <c r="Q8" s="427">
        <v>32</v>
      </c>
      <c r="R8" s="427">
        <v>40</v>
      </c>
      <c r="S8" s="427">
        <v>33</v>
      </c>
      <c r="T8" s="427">
        <v>40</v>
      </c>
      <c r="U8" s="427">
        <v>34</v>
      </c>
      <c r="V8" s="427">
        <v>40</v>
      </c>
      <c r="W8" s="427">
        <v>36</v>
      </c>
      <c r="X8" s="427">
        <v>40</v>
      </c>
      <c r="Y8" s="427">
        <v>4</v>
      </c>
      <c r="Z8" s="427">
        <v>40</v>
      </c>
      <c r="AA8" s="44"/>
      <c r="AB8" s="368"/>
    </row>
    <row r="9" spans="1:28">
      <c r="A9" s="45" t="s">
        <v>177</v>
      </c>
      <c r="B9" s="45" t="s">
        <v>74</v>
      </c>
      <c r="C9" s="46">
        <f t="shared" si="0"/>
        <v>76.813880126182966</v>
      </c>
      <c r="D9" s="46">
        <f t="shared" si="1"/>
        <v>64.98422712933754</v>
      </c>
      <c r="E9" s="46">
        <f t="shared" si="2"/>
        <v>77.129337539432171</v>
      </c>
      <c r="F9" s="46">
        <f t="shared" si="3"/>
        <v>85.488958990536275</v>
      </c>
      <c r="G9" s="46">
        <f t="shared" si="4"/>
        <v>95.583596214511047</v>
      </c>
      <c r="H9" s="46">
        <f t="shared" si="5"/>
        <v>3.9432176656151419</v>
      </c>
      <c r="I9" s="601">
        <f t="shared" si="6"/>
        <v>12.145110410094631</v>
      </c>
      <c r="J9" s="601">
        <f t="shared" si="7"/>
        <v>8.359621451104104</v>
      </c>
      <c r="K9" s="601">
        <f t="shared" si="8"/>
        <v>10.094637223974772</v>
      </c>
      <c r="L9" s="609">
        <f t="shared" si="9"/>
        <v>18.454258675078876</v>
      </c>
      <c r="M9" s="609">
        <f t="shared" si="10"/>
        <v>30.599369085173507</v>
      </c>
      <c r="N9" s="599">
        <v>90</v>
      </c>
      <c r="O9" s="427">
        <v>487</v>
      </c>
      <c r="P9" s="427">
        <v>634</v>
      </c>
      <c r="Q9" s="427">
        <v>412</v>
      </c>
      <c r="R9" s="427">
        <v>634</v>
      </c>
      <c r="S9" s="427">
        <v>489</v>
      </c>
      <c r="T9" s="427">
        <v>634</v>
      </c>
      <c r="U9" s="427">
        <v>542</v>
      </c>
      <c r="V9" s="427">
        <v>634</v>
      </c>
      <c r="W9" s="427">
        <v>606</v>
      </c>
      <c r="X9" s="427">
        <v>634</v>
      </c>
      <c r="Y9" s="427">
        <v>25</v>
      </c>
      <c r="Z9" s="427">
        <v>634</v>
      </c>
      <c r="AA9" s="44"/>
      <c r="AB9" s="368"/>
    </row>
    <row r="10" spans="1:28">
      <c r="A10" s="45" t="s">
        <v>186</v>
      </c>
      <c r="B10" s="45" t="s">
        <v>76</v>
      </c>
      <c r="C10" s="46">
        <f t="shared" si="0"/>
        <v>62.316176470588239</v>
      </c>
      <c r="D10" s="46">
        <f t="shared" si="1"/>
        <v>44.117647058823529</v>
      </c>
      <c r="E10" s="46">
        <f t="shared" si="2"/>
        <v>61.580882352941181</v>
      </c>
      <c r="F10" s="46">
        <f t="shared" si="3"/>
        <v>75.919117647058826</v>
      </c>
      <c r="G10" s="46">
        <f t="shared" si="4"/>
        <v>96.32352941176471</v>
      </c>
      <c r="H10" s="46">
        <f t="shared" si="5"/>
        <v>3.3088235294117649</v>
      </c>
      <c r="I10" s="601">
        <f t="shared" si="6"/>
        <v>17.463235294117652</v>
      </c>
      <c r="J10" s="601">
        <f t="shared" si="7"/>
        <v>14.338235294117645</v>
      </c>
      <c r="K10" s="601">
        <f t="shared" si="8"/>
        <v>20.404411764705884</v>
      </c>
      <c r="L10" s="609">
        <f t="shared" si="9"/>
        <v>34.742647058823529</v>
      </c>
      <c r="M10" s="609">
        <f t="shared" si="10"/>
        <v>52.205882352941181</v>
      </c>
      <c r="N10" s="599">
        <v>90</v>
      </c>
      <c r="O10" s="427">
        <v>339</v>
      </c>
      <c r="P10" s="427">
        <v>544</v>
      </c>
      <c r="Q10" s="427">
        <v>240</v>
      </c>
      <c r="R10" s="427">
        <v>544</v>
      </c>
      <c r="S10" s="427">
        <v>335</v>
      </c>
      <c r="T10" s="427">
        <v>544</v>
      </c>
      <c r="U10" s="427">
        <v>413</v>
      </c>
      <c r="V10" s="427">
        <v>544</v>
      </c>
      <c r="W10" s="427">
        <v>524</v>
      </c>
      <c r="X10" s="427">
        <v>544</v>
      </c>
      <c r="Y10" s="427">
        <v>18</v>
      </c>
      <c r="Z10" s="427">
        <v>544</v>
      </c>
      <c r="AA10" s="44"/>
      <c r="AB10" s="368"/>
    </row>
    <row r="11" spans="1:28">
      <c r="A11" s="45" t="s">
        <v>178</v>
      </c>
      <c r="B11" s="45" t="s">
        <v>78</v>
      </c>
      <c r="C11" s="46">
        <f t="shared" si="0"/>
        <v>78.932178932178928</v>
      </c>
      <c r="D11" s="46">
        <f t="shared" si="1"/>
        <v>69.40836940836941</v>
      </c>
      <c r="E11" s="46">
        <f t="shared" si="2"/>
        <v>78.210678210678211</v>
      </c>
      <c r="F11" s="46">
        <f t="shared" si="3"/>
        <v>84.271284271284273</v>
      </c>
      <c r="G11" s="46">
        <f t="shared" si="4"/>
        <v>93.21789321789322</v>
      </c>
      <c r="H11" s="46">
        <f t="shared" si="5"/>
        <v>4.7619047619047619</v>
      </c>
      <c r="I11" s="601">
        <f t="shared" si="6"/>
        <v>8.8023088023088008</v>
      </c>
      <c r="J11" s="601">
        <f t="shared" si="7"/>
        <v>6.0606060606060623</v>
      </c>
      <c r="K11" s="601">
        <f t="shared" si="8"/>
        <v>8.9466089466089471</v>
      </c>
      <c r="L11" s="609">
        <f t="shared" si="9"/>
        <v>15.007215007215009</v>
      </c>
      <c r="M11" s="609">
        <f t="shared" si="10"/>
        <v>23.80952380952381</v>
      </c>
      <c r="N11" s="599">
        <v>90</v>
      </c>
      <c r="O11" s="427">
        <v>547</v>
      </c>
      <c r="P11" s="427">
        <v>693</v>
      </c>
      <c r="Q11" s="427">
        <v>481</v>
      </c>
      <c r="R11" s="427">
        <v>693</v>
      </c>
      <c r="S11" s="427">
        <v>542</v>
      </c>
      <c r="T11" s="427">
        <v>693</v>
      </c>
      <c r="U11" s="427">
        <v>584</v>
      </c>
      <c r="V11" s="427">
        <v>693</v>
      </c>
      <c r="W11" s="427">
        <v>646</v>
      </c>
      <c r="X11" s="427">
        <v>693</v>
      </c>
      <c r="Y11" s="427">
        <v>33</v>
      </c>
      <c r="Z11" s="427">
        <v>693</v>
      </c>
      <c r="AA11" s="44"/>
      <c r="AB11" s="368"/>
    </row>
    <row r="12" spans="1:28">
      <c r="A12" s="45" t="s">
        <v>80</v>
      </c>
      <c r="B12" s="45" t="s">
        <v>81</v>
      </c>
      <c r="C12" s="46">
        <f t="shared" si="0"/>
        <v>71.538461538461533</v>
      </c>
      <c r="D12" s="46">
        <f t="shared" si="1"/>
        <v>62.307692307692307</v>
      </c>
      <c r="E12" s="46">
        <f t="shared" si="2"/>
        <v>76.153846153846146</v>
      </c>
      <c r="F12" s="46">
        <f t="shared" si="3"/>
        <v>84.615384615384613</v>
      </c>
      <c r="G12" s="46">
        <f t="shared" si="4"/>
        <v>92.307692307692307</v>
      </c>
      <c r="H12" s="46">
        <f t="shared" si="5"/>
        <v>3.8461538461538463</v>
      </c>
      <c r="I12" s="601">
        <f t="shared" si="6"/>
        <v>13.84615384615384</v>
      </c>
      <c r="J12" s="601">
        <f t="shared" si="7"/>
        <v>8.461538461538467</v>
      </c>
      <c r="K12" s="601">
        <f t="shared" si="8"/>
        <v>7.6923076923076934</v>
      </c>
      <c r="L12" s="609">
        <f t="shared" si="9"/>
        <v>16.15384615384616</v>
      </c>
      <c r="M12" s="609">
        <f t="shared" si="10"/>
        <v>30</v>
      </c>
      <c r="N12" s="599">
        <v>90</v>
      </c>
      <c r="O12" s="427">
        <v>93</v>
      </c>
      <c r="P12" s="427">
        <v>130</v>
      </c>
      <c r="Q12" s="427">
        <v>81</v>
      </c>
      <c r="R12" s="427">
        <v>130</v>
      </c>
      <c r="S12" s="427">
        <v>99</v>
      </c>
      <c r="T12" s="427">
        <v>130</v>
      </c>
      <c r="U12" s="427">
        <v>110</v>
      </c>
      <c r="V12" s="427">
        <v>130</v>
      </c>
      <c r="W12" s="427">
        <v>120</v>
      </c>
      <c r="X12" s="427">
        <v>130</v>
      </c>
      <c r="Y12" s="427">
        <v>5</v>
      </c>
      <c r="Z12" s="427">
        <v>130</v>
      </c>
      <c r="AA12" s="44"/>
      <c r="AB12" s="368"/>
    </row>
    <row r="13" spans="1:28">
      <c r="A13" s="45" t="s">
        <v>187</v>
      </c>
      <c r="B13" s="45" t="s">
        <v>83</v>
      </c>
      <c r="C13" s="46">
        <f t="shared" si="0"/>
        <v>66.415094339622641</v>
      </c>
      <c r="D13" s="46">
        <f t="shared" si="1"/>
        <v>51.698113207547166</v>
      </c>
      <c r="E13" s="46">
        <f t="shared" si="2"/>
        <v>66.415094339622641</v>
      </c>
      <c r="F13" s="46">
        <f t="shared" si="3"/>
        <v>74.339622641509422</v>
      </c>
      <c r="G13" s="46">
        <f t="shared" si="4"/>
        <v>87.735849056603783</v>
      </c>
      <c r="H13" s="46">
        <f t="shared" si="5"/>
        <v>11.132075471698114</v>
      </c>
      <c r="I13" s="601">
        <f t="shared" si="6"/>
        <v>14.716981132075475</v>
      </c>
      <c r="J13" s="601">
        <f t="shared" si="7"/>
        <v>7.9245283018867809</v>
      </c>
      <c r="K13" s="601">
        <f t="shared" si="8"/>
        <v>13.396226415094361</v>
      </c>
      <c r="L13" s="609">
        <f t="shared" si="9"/>
        <v>21.320754716981142</v>
      </c>
      <c r="M13" s="609">
        <f t="shared" si="10"/>
        <v>36.037735849056617</v>
      </c>
      <c r="N13" s="599">
        <v>90</v>
      </c>
      <c r="O13" s="427">
        <v>352</v>
      </c>
      <c r="P13" s="427">
        <v>530</v>
      </c>
      <c r="Q13" s="427">
        <v>274</v>
      </c>
      <c r="R13" s="427">
        <v>530</v>
      </c>
      <c r="S13" s="427">
        <v>352</v>
      </c>
      <c r="T13" s="427">
        <v>530</v>
      </c>
      <c r="U13" s="427">
        <v>394</v>
      </c>
      <c r="V13" s="427">
        <v>530</v>
      </c>
      <c r="W13" s="427">
        <v>465</v>
      </c>
      <c r="X13" s="427">
        <v>530</v>
      </c>
      <c r="Y13" s="427">
        <v>59</v>
      </c>
      <c r="Z13" s="427">
        <v>530</v>
      </c>
      <c r="AA13" s="44"/>
      <c r="AB13" s="368"/>
    </row>
    <row r="14" spans="1:28">
      <c r="A14" s="45" t="s">
        <v>85</v>
      </c>
      <c r="B14" s="45" t="s">
        <v>86</v>
      </c>
      <c r="C14" s="46">
        <f t="shared" si="0"/>
        <v>55.924170616113742</v>
      </c>
      <c r="D14" s="46">
        <f t="shared" si="1"/>
        <v>44.549763033175353</v>
      </c>
      <c r="E14" s="46">
        <f t="shared" si="2"/>
        <v>55.45023696682464</v>
      </c>
      <c r="F14" s="46">
        <f t="shared" si="3"/>
        <v>73.459715639810426</v>
      </c>
      <c r="G14" s="46">
        <f t="shared" si="4"/>
        <v>90.995260663507111</v>
      </c>
      <c r="H14" s="46">
        <f t="shared" si="5"/>
        <v>7.5829383886255926</v>
      </c>
      <c r="I14" s="601">
        <f t="shared" si="6"/>
        <v>10.900473933649288</v>
      </c>
      <c r="J14" s="601">
        <f t="shared" si="7"/>
        <v>18.009478672985786</v>
      </c>
      <c r="K14" s="601">
        <f t="shared" si="8"/>
        <v>17.535545023696685</v>
      </c>
      <c r="L14" s="609">
        <f t="shared" si="9"/>
        <v>35.54502369668247</v>
      </c>
      <c r="M14" s="609">
        <f t="shared" si="10"/>
        <v>46.445497630331758</v>
      </c>
      <c r="N14" s="599">
        <v>90</v>
      </c>
      <c r="O14" s="427">
        <v>118</v>
      </c>
      <c r="P14" s="427">
        <v>211</v>
      </c>
      <c r="Q14" s="427">
        <v>94</v>
      </c>
      <c r="R14" s="427">
        <v>211</v>
      </c>
      <c r="S14" s="427">
        <v>117</v>
      </c>
      <c r="T14" s="427">
        <v>211</v>
      </c>
      <c r="U14" s="427">
        <v>155</v>
      </c>
      <c r="V14" s="427">
        <v>211</v>
      </c>
      <c r="W14" s="427">
        <v>192</v>
      </c>
      <c r="X14" s="427">
        <v>211</v>
      </c>
      <c r="Y14" s="427">
        <v>16</v>
      </c>
      <c r="Z14" s="427">
        <v>211</v>
      </c>
      <c r="AA14" s="44"/>
      <c r="AB14" s="368"/>
    </row>
    <row r="15" spans="1:28">
      <c r="A15" s="45" t="s">
        <v>532</v>
      </c>
      <c r="B15" s="45" t="s">
        <v>533</v>
      </c>
      <c r="C15" s="46">
        <f t="shared" si="0"/>
        <v>81.889763779527556</v>
      </c>
      <c r="D15" s="46">
        <f t="shared" si="1"/>
        <v>69.641294838145228</v>
      </c>
      <c r="E15" s="46">
        <f t="shared" si="2"/>
        <v>81.539807524059498</v>
      </c>
      <c r="F15" s="46">
        <f t="shared" si="3"/>
        <v>87.489063867016625</v>
      </c>
      <c r="G15" s="46">
        <f t="shared" si="4"/>
        <v>94.488188976377955</v>
      </c>
      <c r="H15" s="46">
        <f t="shared" si="5"/>
        <v>5.0743657042869641</v>
      </c>
      <c r="I15" s="601">
        <f t="shared" si="6"/>
        <v>11.89851268591427</v>
      </c>
      <c r="J15" s="601">
        <f t="shared" si="7"/>
        <v>5.9492563429571277</v>
      </c>
      <c r="K15" s="601">
        <f t="shared" si="8"/>
        <v>6.99912510936133</v>
      </c>
      <c r="L15" s="609">
        <f t="shared" si="9"/>
        <v>12.948381452318458</v>
      </c>
      <c r="M15" s="609">
        <f t="shared" si="10"/>
        <v>24.846894138232727</v>
      </c>
      <c r="N15" s="599">
        <v>90</v>
      </c>
      <c r="O15" s="427">
        <v>936</v>
      </c>
      <c r="P15" s="427">
        <v>1143</v>
      </c>
      <c r="Q15" s="427">
        <v>796</v>
      </c>
      <c r="R15" s="427">
        <v>1143</v>
      </c>
      <c r="S15" s="427">
        <v>932</v>
      </c>
      <c r="T15" s="427">
        <v>1143</v>
      </c>
      <c r="U15" s="427">
        <v>1000</v>
      </c>
      <c r="V15" s="427">
        <v>1143</v>
      </c>
      <c r="W15" s="427">
        <v>1080</v>
      </c>
      <c r="X15" s="427">
        <v>1143</v>
      </c>
      <c r="Y15" s="427">
        <v>58</v>
      </c>
      <c r="Z15" s="427">
        <v>1143</v>
      </c>
      <c r="AA15" s="44"/>
      <c r="AB15" s="368"/>
    </row>
    <row r="16" spans="1:28">
      <c r="A16" s="45" t="s">
        <v>188</v>
      </c>
      <c r="B16" s="45" t="s">
        <v>88</v>
      </c>
      <c r="C16" s="46">
        <f t="shared" si="0"/>
        <v>59.714285714285722</v>
      </c>
      <c r="D16" s="46">
        <f t="shared" si="1"/>
        <v>42.857142857142854</v>
      </c>
      <c r="E16" s="46">
        <f t="shared" si="2"/>
        <v>56.000000000000007</v>
      </c>
      <c r="F16" s="46">
        <f t="shared" si="3"/>
        <v>69.142857142857139</v>
      </c>
      <c r="G16" s="46">
        <f t="shared" si="4"/>
        <v>89.142857142857139</v>
      </c>
      <c r="H16" s="46">
        <f t="shared" si="5"/>
        <v>10.857142857142858</v>
      </c>
      <c r="I16" s="601">
        <f t="shared" si="6"/>
        <v>13.142857142857153</v>
      </c>
      <c r="J16" s="601">
        <f t="shared" si="7"/>
        <v>13.142857142857132</v>
      </c>
      <c r="K16" s="601">
        <f t="shared" si="8"/>
        <v>20</v>
      </c>
      <c r="L16" s="609">
        <f t="shared" si="9"/>
        <v>33.142857142857132</v>
      </c>
      <c r="M16" s="609">
        <f t="shared" si="10"/>
        <v>46.285714285714285</v>
      </c>
      <c r="N16" s="599">
        <v>90</v>
      </c>
      <c r="O16" s="427">
        <v>209</v>
      </c>
      <c r="P16" s="427">
        <v>350</v>
      </c>
      <c r="Q16" s="427">
        <v>150</v>
      </c>
      <c r="R16" s="427">
        <v>350</v>
      </c>
      <c r="S16" s="427">
        <v>196</v>
      </c>
      <c r="T16" s="427">
        <v>350</v>
      </c>
      <c r="U16" s="427">
        <v>242</v>
      </c>
      <c r="V16" s="427">
        <v>350</v>
      </c>
      <c r="W16" s="427">
        <v>312</v>
      </c>
      <c r="X16" s="427">
        <v>350</v>
      </c>
      <c r="Y16" s="427">
        <v>38</v>
      </c>
      <c r="Z16" s="427">
        <v>350</v>
      </c>
      <c r="AA16" s="44"/>
      <c r="AB16" s="368"/>
    </row>
    <row r="17" spans="1:28">
      <c r="A17" s="45" t="s">
        <v>92</v>
      </c>
      <c r="B17" s="45" t="s">
        <v>93</v>
      </c>
      <c r="C17" s="46">
        <f t="shared" si="0"/>
        <v>60.714285714285708</v>
      </c>
      <c r="D17" s="46">
        <f t="shared" si="1"/>
        <v>60.714285714285708</v>
      </c>
      <c r="E17" s="46">
        <f t="shared" si="2"/>
        <v>64.285714285714292</v>
      </c>
      <c r="F17" s="46">
        <f t="shared" si="3"/>
        <v>71.428571428571431</v>
      </c>
      <c r="G17" s="46">
        <f t="shared" si="4"/>
        <v>82.142857142857139</v>
      </c>
      <c r="H17" s="46">
        <f t="shared" si="5"/>
        <v>14.285714285714285</v>
      </c>
      <c r="I17" s="601">
        <f t="shared" si="6"/>
        <v>3.5714285714285836</v>
      </c>
      <c r="J17" s="601">
        <f t="shared" si="7"/>
        <v>7.1428571428571388</v>
      </c>
      <c r="K17" s="601">
        <f t="shared" si="8"/>
        <v>10.714285714285708</v>
      </c>
      <c r="L17" s="609">
        <f t="shared" si="9"/>
        <v>17.857142857142847</v>
      </c>
      <c r="M17" s="609">
        <f t="shared" si="10"/>
        <v>21.428571428571431</v>
      </c>
      <c r="N17" s="599">
        <v>90</v>
      </c>
      <c r="O17" s="427">
        <v>17</v>
      </c>
      <c r="P17" s="427">
        <v>28</v>
      </c>
      <c r="Q17" s="427">
        <v>17</v>
      </c>
      <c r="R17" s="427">
        <v>28</v>
      </c>
      <c r="S17" s="427">
        <v>18</v>
      </c>
      <c r="T17" s="427">
        <v>28</v>
      </c>
      <c r="U17" s="427">
        <v>20</v>
      </c>
      <c r="V17" s="427">
        <v>28</v>
      </c>
      <c r="W17" s="427">
        <v>23</v>
      </c>
      <c r="X17" s="427">
        <v>28</v>
      </c>
      <c r="Y17" s="427">
        <v>4</v>
      </c>
      <c r="Z17" s="427">
        <v>28</v>
      </c>
      <c r="AA17" s="44"/>
      <c r="AB17" s="368"/>
    </row>
    <row r="18" spans="1:28">
      <c r="A18" s="45" t="s">
        <v>95</v>
      </c>
      <c r="B18" s="45" t="s">
        <v>96</v>
      </c>
      <c r="C18" s="46">
        <f t="shared" si="0"/>
        <v>80.555555555555557</v>
      </c>
      <c r="D18" s="46">
        <f t="shared" si="1"/>
        <v>62.5</v>
      </c>
      <c r="E18" s="46">
        <f t="shared" si="2"/>
        <v>77.777777777777786</v>
      </c>
      <c r="F18" s="46">
        <f t="shared" si="3"/>
        <v>91.666666666666657</v>
      </c>
      <c r="G18" s="46">
        <f t="shared" si="4"/>
        <v>97.222222222222214</v>
      </c>
      <c r="H18" s="46">
        <f t="shared" si="5"/>
        <v>1.3888888888888888</v>
      </c>
      <c r="I18" s="601">
        <f t="shared" si="6"/>
        <v>15.277777777777786</v>
      </c>
      <c r="J18" s="601">
        <f t="shared" si="7"/>
        <v>13.888888888888872</v>
      </c>
      <c r="K18" s="601">
        <f t="shared" si="8"/>
        <v>5.5555555555555571</v>
      </c>
      <c r="L18" s="609">
        <f t="shared" si="9"/>
        <v>19.444444444444429</v>
      </c>
      <c r="M18" s="609">
        <f t="shared" si="10"/>
        <v>34.722222222222214</v>
      </c>
      <c r="N18" s="599">
        <v>90</v>
      </c>
      <c r="O18" s="427">
        <v>58</v>
      </c>
      <c r="P18" s="427">
        <v>72</v>
      </c>
      <c r="Q18" s="427">
        <v>45</v>
      </c>
      <c r="R18" s="427">
        <v>72</v>
      </c>
      <c r="S18" s="427">
        <v>56</v>
      </c>
      <c r="T18" s="427">
        <v>72</v>
      </c>
      <c r="U18" s="427">
        <v>66</v>
      </c>
      <c r="V18" s="427">
        <v>72</v>
      </c>
      <c r="W18" s="427">
        <v>70</v>
      </c>
      <c r="X18" s="427">
        <v>72</v>
      </c>
      <c r="Y18" s="427">
        <v>1</v>
      </c>
      <c r="Z18" s="427">
        <v>72</v>
      </c>
      <c r="AA18" s="44"/>
      <c r="AB18" s="368"/>
    </row>
    <row r="19" spans="1:28">
      <c r="A19" s="45" t="s">
        <v>98</v>
      </c>
      <c r="B19" s="45" t="s">
        <v>99</v>
      </c>
      <c r="C19" s="46">
        <f t="shared" si="0"/>
        <v>66.666666666666657</v>
      </c>
      <c r="D19" s="46">
        <f t="shared" si="1"/>
        <v>60</v>
      </c>
      <c r="E19" s="46">
        <f t="shared" si="2"/>
        <v>66.666666666666657</v>
      </c>
      <c r="F19" s="46">
        <f t="shared" si="3"/>
        <v>77.777777777777786</v>
      </c>
      <c r="G19" s="46">
        <f t="shared" si="4"/>
        <v>86.666666666666671</v>
      </c>
      <c r="H19" s="46">
        <f t="shared" si="5"/>
        <v>8.8888888888888893</v>
      </c>
      <c r="I19" s="601">
        <f t="shared" si="6"/>
        <v>6.6666666666666572</v>
      </c>
      <c r="J19" s="601">
        <f t="shared" si="7"/>
        <v>11.111111111111128</v>
      </c>
      <c r="K19" s="601">
        <f t="shared" si="8"/>
        <v>8.8888888888888857</v>
      </c>
      <c r="L19" s="609">
        <f t="shared" si="9"/>
        <v>20.000000000000014</v>
      </c>
      <c r="M19" s="609">
        <f t="shared" si="10"/>
        <v>26.666666666666671</v>
      </c>
      <c r="N19" s="599">
        <v>90</v>
      </c>
      <c r="O19" s="427">
        <v>30</v>
      </c>
      <c r="P19" s="427">
        <v>45</v>
      </c>
      <c r="Q19" s="427">
        <v>27</v>
      </c>
      <c r="R19" s="427">
        <v>45</v>
      </c>
      <c r="S19" s="427">
        <v>30</v>
      </c>
      <c r="T19" s="427">
        <v>45</v>
      </c>
      <c r="U19" s="427">
        <v>35</v>
      </c>
      <c r="V19" s="427">
        <v>45</v>
      </c>
      <c r="W19" s="427">
        <v>39</v>
      </c>
      <c r="X19" s="427">
        <v>45</v>
      </c>
      <c r="Y19" s="427">
        <v>4</v>
      </c>
      <c r="Z19" s="427">
        <v>45</v>
      </c>
      <c r="AA19" s="44"/>
      <c r="AB19" s="368"/>
    </row>
    <row r="20" spans="1:28">
      <c r="A20" s="45" t="s">
        <v>101</v>
      </c>
      <c r="B20" s="45" t="s">
        <v>102</v>
      </c>
      <c r="C20" s="46">
        <f t="shared" si="0"/>
        <v>57.909604519774014</v>
      </c>
      <c r="D20" s="46">
        <f t="shared" si="1"/>
        <v>44.632768361581924</v>
      </c>
      <c r="E20" s="46">
        <f t="shared" si="2"/>
        <v>58.757062146892657</v>
      </c>
      <c r="F20" s="46">
        <f t="shared" si="3"/>
        <v>70.621468926553675</v>
      </c>
      <c r="G20" s="46">
        <f t="shared" si="4"/>
        <v>87.005649717514117</v>
      </c>
      <c r="H20" s="46">
        <f t="shared" si="5"/>
        <v>7.9096045197740121</v>
      </c>
      <c r="I20" s="601">
        <f t="shared" si="6"/>
        <v>14.124293785310734</v>
      </c>
      <c r="J20" s="601">
        <f t="shared" si="7"/>
        <v>11.864406779661017</v>
      </c>
      <c r="K20" s="601">
        <f t="shared" si="8"/>
        <v>16.384180790960443</v>
      </c>
      <c r="L20" s="609">
        <f t="shared" si="9"/>
        <v>28.24858757062146</v>
      </c>
      <c r="M20" s="609">
        <f t="shared" si="10"/>
        <v>42.372881355932194</v>
      </c>
      <c r="N20" s="599">
        <v>90</v>
      </c>
      <c r="O20" s="427">
        <v>205</v>
      </c>
      <c r="P20" s="427">
        <v>354</v>
      </c>
      <c r="Q20" s="427">
        <v>158</v>
      </c>
      <c r="R20" s="427">
        <v>354</v>
      </c>
      <c r="S20" s="427">
        <v>208</v>
      </c>
      <c r="T20" s="427">
        <v>354</v>
      </c>
      <c r="U20" s="427">
        <v>250</v>
      </c>
      <c r="V20" s="427">
        <v>354</v>
      </c>
      <c r="W20" s="427">
        <v>308</v>
      </c>
      <c r="X20" s="427">
        <v>354</v>
      </c>
      <c r="Y20" s="427">
        <v>28</v>
      </c>
      <c r="Z20" s="427">
        <v>354</v>
      </c>
      <c r="AA20" s="44"/>
      <c r="AB20" s="368"/>
    </row>
    <row r="21" spans="1:28">
      <c r="A21" s="45" t="s">
        <v>104</v>
      </c>
      <c r="B21" s="45" t="s">
        <v>105</v>
      </c>
      <c r="C21" s="46">
        <f t="shared" si="0"/>
        <v>75.083056478405325</v>
      </c>
      <c r="D21" s="46">
        <f t="shared" si="1"/>
        <v>60.465116279069761</v>
      </c>
      <c r="E21" s="46">
        <f t="shared" si="2"/>
        <v>68.770764119601324</v>
      </c>
      <c r="F21" s="46">
        <f t="shared" si="3"/>
        <v>80.066445182724252</v>
      </c>
      <c r="G21" s="46">
        <f t="shared" si="4"/>
        <v>95.016611295681059</v>
      </c>
      <c r="H21" s="46">
        <f t="shared" si="5"/>
        <v>3.6544850498338874</v>
      </c>
      <c r="I21" s="601">
        <f t="shared" si="6"/>
        <v>8.305647840531563</v>
      </c>
      <c r="J21" s="601">
        <f t="shared" si="7"/>
        <v>11.295681063122927</v>
      </c>
      <c r="K21" s="601">
        <f t="shared" si="8"/>
        <v>14.950166112956808</v>
      </c>
      <c r="L21" s="609">
        <f t="shared" si="9"/>
        <v>26.245847176079735</v>
      </c>
      <c r="M21" s="609">
        <f t="shared" si="10"/>
        <v>34.551495016611298</v>
      </c>
      <c r="N21" s="599">
        <v>90</v>
      </c>
      <c r="O21" s="427">
        <v>226</v>
      </c>
      <c r="P21" s="427">
        <v>301</v>
      </c>
      <c r="Q21" s="427">
        <v>182</v>
      </c>
      <c r="R21" s="427">
        <v>301</v>
      </c>
      <c r="S21" s="427">
        <v>207</v>
      </c>
      <c r="T21" s="427">
        <v>301</v>
      </c>
      <c r="U21" s="427">
        <v>241</v>
      </c>
      <c r="V21" s="427">
        <v>301</v>
      </c>
      <c r="W21" s="427">
        <v>286</v>
      </c>
      <c r="X21" s="427">
        <v>301</v>
      </c>
      <c r="Y21" s="427">
        <v>11</v>
      </c>
      <c r="Z21" s="427">
        <v>301</v>
      </c>
      <c r="AA21" s="44"/>
      <c r="AB21" s="368"/>
    </row>
    <row r="22" spans="1:28">
      <c r="A22" s="45" t="s">
        <v>107</v>
      </c>
      <c r="B22" s="45" t="s">
        <v>108</v>
      </c>
      <c r="C22" s="46">
        <f t="shared" si="0"/>
        <v>50.308641975308646</v>
      </c>
      <c r="D22" s="46">
        <f t="shared" si="1"/>
        <v>37.962962962962962</v>
      </c>
      <c r="E22" s="46">
        <f t="shared" si="2"/>
        <v>49.074074074074076</v>
      </c>
      <c r="F22" s="46">
        <f t="shared" si="3"/>
        <v>63.888888888888886</v>
      </c>
      <c r="G22" s="46">
        <f t="shared" si="4"/>
        <v>86.111111111111114</v>
      </c>
      <c r="H22" s="46">
        <f t="shared" si="5"/>
        <v>11.728395061728394</v>
      </c>
      <c r="I22" s="601">
        <f t="shared" si="6"/>
        <v>11.111111111111114</v>
      </c>
      <c r="J22" s="601">
        <f t="shared" si="7"/>
        <v>14.81481481481481</v>
      </c>
      <c r="K22" s="601">
        <f t="shared" si="8"/>
        <v>22.222222222222229</v>
      </c>
      <c r="L22" s="609">
        <f t="shared" si="9"/>
        <v>37.037037037037038</v>
      </c>
      <c r="M22" s="609">
        <f t="shared" si="10"/>
        <v>48.148148148148152</v>
      </c>
      <c r="N22" s="599">
        <v>90</v>
      </c>
      <c r="O22" s="427">
        <v>163</v>
      </c>
      <c r="P22" s="427">
        <v>324</v>
      </c>
      <c r="Q22" s="427">
        <v>123</v>
      </c>
      <c r="R22" s="427">
        <v>324</v>
      </c>
      <c r="S22" s="427">
        <v>159</v>
      </c>
      <c r="T22" s="427">
        <v>324</v>
      </c>
      <c r="U22" s="427">
        <v>207</v>
      </c>
      <c r="V22" s="427">
        <v>324</v>
      </c>
      <c r="W22" s="427">
        <v>279</v>
      </c>
      <c r="X22" s="427">
        <v>324</v>
      </c>
      <c r="Y22" s="427">
        <v>38</v>
      </c>
      <c r="Z22" s="427">
        <v>324</v>
      </c>
      <c r="AA22" s="44"/>
      <c r="AB22" s="368"/>
    </row>
    <row r="23" spans="1:28">
      <c r="A23" s="45" t="s">
        <v>110</v>
      </c>
      <c r="B23" s="45" t="s">
        <v>109</v>
      </c>
      <c r="C23" s="46">
        <f t="shared" si="0"/>
        <v>68.484848484848484</v>
      </c>
      <c r="D23" s="46">
        <f t="shared" si="1"/>
        <v>56.36363636363636</v>
      </c>
      <c r="E23" s="46">
        <f t="shared" si="2"/>
        <v>69.696969696969703</v>
      </c>
      <c r="F23" s="46">
        <f t="shared" si="3"/>
        <v>85.454545454545453</v>
      </c>
      <c r="G23" s="46">
        <f t="shared" si="4"/>
        <v>96.36363636363636</v>
      </c>
      <c r="H23" s="46">
        <f t="shared" si="5"/>
        <v>3.3333333333333335</v>
      </c>
      <c r="I23" s="601">
        <f t="shared" si="6"/>
        <v>13.333333333333343</v>
      </c>
      <c r="J23" s="601">
        <f t="shared" si="7"/>
        <v>15.757575757575751</v>
      </c>
      <c r="K23" s="601">
        <f t="shared" si="8"/>
        <v>10.909090909090907</v>
      </c>
      <c r="L23" s="609">
        <f t="shared" si="9"/>
        <v>26.666666666666657</v>
      </c>
      <c r="M23" s="609">
        <f t="shared" si="10"/>
        <v>40</v>
      </c>
      <c r="N23" s="599">
        <v>90</v>
      </c>
      <c r="O23" s="427">
        <v>226</v>
      </c>
      <c r="P23" s="427">
        <v>330</v>
      </c>
      <c r="Q23" s="427">
        <v>186</v>
      </c>
      <c r="R23" s="427">
        <v>330</v>
      </c>
      <c r="S23" s="427">
        <v>230</v>
      </c>
      <c r="T23" s="427">
        <v>330</v>
      </c>
      <c r="U23" s="427">
        <v>282</v>
      </c>
      <c r="V23" s="427">
        <v>330</v>
      </c>
      <c r="W23" s="427">
        <v>318</v>
      </c>
      <c r="X23" s="427">
        <v>330</v>
      </c>
      <c r="Y23" s="427">
        <v>11</v>
      </c>
      <c r="Z23" s="427">
        <v>330</v>
      </c>
      <c r="AA23" s="44"/>
      <c r="AB23" s="368"/>
    </row>
    <row r="24" spans="1:28">
      <c r="A24" s="45" t="s">
        <v>112</v>
      </c>
      <c r="B24" s="45" t="s">
        <v>113</v>
      </c>
      <c r="C24" s="46">
        <f t="shared" si="0"/>
        <v>80.191693290734818</v>
      </c>
      <c r="D24" s="46">
        <f t="shared" si="1"/>
        <v>68.90308839190628</v>
      </c>
      <c r="E24" s="46">
        <f t="shared" si="2"/>
        <v>77.316293929712458</v>
      </c>
      <c r="F24" s="46">
        <f t="shared" si="3"/>
        <v>82.321618743343976</v>
      </c>
      <c r="G24" s="46">
        <f t="shared" si="4"/>
        <v>91.054313099041522</v>
      </c>
      <c r="H24" s="46">
        <f t="shared" si="5"/>
        <v>7.5612353567625137</v>
      </c>
      <c r="I24" s="601">
        <f t="shared" si="6"/>
        <v>8.4132055378061779</v>
      </c>
      <c r="J24" s="601">
        <f t="shared" si="7"/>
        <v>5.0053248136315176</v>
      </c>
      <c r="K24" s="601">
        <f t="shared" si="8"/>
        <v>8.7326943556975465</v>
      </c>
      <c r="L24" s="609">
        <f t="shared" si="9"/>
        <v>13.738019169329064</v>
      </c>
      <c r="M24" s="609">
        <f t="shared" si="10"/>
        <v>22.151224707135242</v>
      </c>
      <c r="N24" s="599">
        <v>90</v>
      </c>
      <c r="O24" s="427">
        <v>753</v>
      </c>
      <c r="P24" s="427">
        <v>939</v>
      </c>
      <c r="Q24" s="427">
        <v>647</v>
      </c>
      <c r="R24" s="427">
        <v>939</v>
      </c>
      <c r="S24" s="427">
        <v>726</v>
      </c>
      <c r="T24" s="427">
        <v>939</v>
      </c>
      <c r="U24" s="427">
        <v>773</v>
      </c>
      <c r="V24" s="427">
        <v>939</v>
      </c>
      <c r="W24" s="427">
        <v>855</v>
      </c>
      <c r="X24" s="427">
        <v>939</v>
      </c>
      <c r="Y24" s="427">
        <v>71</v>
      </c>
      <c r="Z24" s="427">
        <v>939</v>
      </c>
      <c r="AA24" s="44"/>
      <c r="AB24" s="368"/>
    </row>
    <row r="25" spans="1:28">
      <c r="A25" s="45" t="s">
        <v>115</v>
      </c>
      <c r="B25" s="45" t="s">
        <v>116</v>
      </c>
      <c r="C25" s="46">
        <f t="shared" si="0"/>
        <v>84.738955823293168</v>
      </c>
      <c r="D25" s="46">
        <f t="shared" si="1"/>
        <v>76.706827309236942</v>
      </c>
      <c r="E25" s="46">
        <f t="shared" si="2"/>
        <v>83.935742971887549</v>
      </c>
      <c r="F25" s="46">
        <f t="shared" si="3"/>
        <v>87.550200803212846</v>
      </c>
      <c r="G25" s="46">
        <f t="shared" si="4"/>
        <v>96.787148594377513</v>
      </c>
      <c r="H25" s="46">
        <f t="shared" si="5"/>
        <v>1.6064257028112447</v>
      </c>
      <c r="I25" s="601">
        <f t="shared" si="6"/>
        <v>7.228915662650607</v>
      </c>
      <c r="J25" s="601">
        <f t="shared" si="7"/>
        <v>3.6144578313252964</v>
      </c>
      <c r="K25" s="601">
        <f t="shared" si="8"/>
        <v>9.2369477911646669</v>
      </c>
      <c r="L25" s="609">
        <f t="shared" si="9"/>
        <v>12.851405622489963</v>
      </c>
      <c r="M25" s="609">
        <f t="shared" si="10"/>
        <v>20.08032128514057</v>
      </c>
      <c r="N25" s="599">
        <v>90</v>
      </c>
      <c r="O25" s="427">
        <v>211</v>
      </c>
      <c r="P25" s="427">
        <v>249</v>
      </c>
      <c r="Q25" s="427">
        <v>191</v>
      </c>
      <c r="R25" s="427">
        <v>249</v>
      </c>
      <c r="S25" s="427">
        <v>209</v>
      </c>
      <c r="T25" s="427">
        <v>249</v>
      </c>
      <c r="U25" s="427">
        <v>218</v>
      </c>
      <c r="V25" s="427">
        <v>249</v>
      </c>
      <c r="W25" s="427">
        <v>241</v>
      </c>
      <c r="X25" s="427">
        <v>249</v>
      </c>
      <c r="Y25" s="427">
        <v>4</v>
      </c>
      <c r="Z25" s="427">
        <v>249</v>
      </c>
      <c r="AA25" s="44"/>
      <c r="AB25" s="368"/>
    </row>
    <row r="26" spans="1:28">
      <c r="A26" s="45" t="s">
        <v>118</v>
      </c>
      <c r="B26" s="45" t="s">
        <v>119</v>
      </c>
      <c r="C26" s="46">
        <f t="shared" si="0"/>
        <v>65.338645418326692</v>
      </c>
      <c r="D26" s="46">
        <f t="shared" si="1"/>
        <v>51.394422310756973</v>
      </c>
      <c r="E26" s="46">
        <f t="shared" si="2"/>
        <v>62.549800796812747</v>
      </c>
      <c r="F26" s="46">
        <f t="shared" si="3"/>
        <v>72.111553784860561</v>
      </c>
      <c r="G26" s="46">
        <f t="shared" si="4"/>
        <v>89.243027888446207</v>
      </c>
      <c r="H26" s="46">
        <f t="shared" si="5"/>
        <v>9.9601593625498008</v>
      </c>
      <c r="I26" s="601">
        <f t="shared" si="6"/>
        <v>11.155378486055774</v>
      </c>
      <c r="J26" s="601">
        <f t="shared" si="7"/>
        <v>9.5617529880478145</v>
      </c>
      <c r="K26" s="601">
        <f t="shared" si="8"/>
        <v>17.131474103585646</v>
      </c>
      <c r="L26" s="609">
        <f t="shared" si="9"/>
        <v>26.69322709163346</v>
      </c>
      <c r="M26" s="609">
        <f t="shared" si="10"/>
        <v>37.848605577689234</v>
      </c>
      <c r="N26" s="599">
        <v>90</v>
      </c>
      <c r="O26" s="427">
        <v>164</v>
      </c>
      <c r="P26" s="427">
        <v>251</v>
      </c>
      <c r="Q26" s="427">
        <v>129</v>
      </c>
      <c r="R26" s="427">
        <v>251</v>
      </c>
      <c r="S26" s="427">
        <v>157</v>
      </c>
      <c r="T26" s="427">
        <v>251</v>
      </c>
      <c r="U26" s="427">
        <v>181</v>
      </c>
      <c r="V26" s="427">
        <v>251</v>
      </c>
      <c r="W26" s="427">
        <v>224</v>
      </c>
      <c r="X26" s="427">
        <v>251</v>
      </c>
      <c r="Y26" s="427">
        <v>25</v>
      </c>
      <c r="Z26" s="427">
        <v>251</v>
      </c>
      <c r="AA26" s="44"/>
      <c r="AB26" s="368"/>
    </row>
    <row r="27" spans="1:28">
      <c r="A27" s="45" t="s">
        <v>121</v>
      </c>
      <c r="B27" s="45" t="s">
        <v>122</v>
      </c>
      <c r="C27" s="46">
        <f t="shared" si="0"/>
        <v>60</v>
      </c>
      <c r="D27" s="46">
        <f t="shared" si="1"/>
        <v>55.000000000000007</v>
      </c>
      <c r="E27" s="46">
        <f t="shared" si="2"/>
        <v>62.5</v>
      </c>
      <c r="F27" s="46">
        <f t="shared" si="3"/>
        <v>65</v>
      </c>
      <c r="G27" s="46">
        <f t="shared" si="4"/>
        <v>75</v>
      </c>
      <c r="H27" s="46">
        <f t="shared" si="5"/>
        <v>10</v>
      </c>
      <c r="I27" s="601">
        <f t="shared" si="6"/>
        <v>7.4999999999999929</v>
      </c>
      <c r="J27" s="601">
        <f t="shared" si="7"/>
        <v>2.5</v>
      </c>
      <c r="K27" s="601">
        <f t="shared" si="8"/>
        <v>10</v>
      </c>
      <c r="L27" s="609">
        <f t="shared" si="9"/>
        <v>12.5</v>
      </c>
      <c r="M27" s="609">
        <f t="shared" si="10"/>
        <v>19.999999999999993</v>
      </c>
      <c r="N27" s="599">
        <v>90</v>
      </c>
      <c r="O27" s="427">
        <v>24</v>
      </c>
      <c r="P27" s="427">
        <v>40</v>
      </c>
      <c r="Q27" s="427">
        <v>22</v>
      </c>
      <c r="R27" s="427">
        <v>40</v>
      </c>
      <c r="S27" s="427">
        <v>25</v>
      </c>
      <c r="T27" s="427">
        <v>40</v>
      </c>
      <c r="U27" s="427">
        <v>26</v>
      </c>
      <c r="V27" s="427">
        <v>40</v>
      </c>
      <c r="W27" s="427">
        <v>30</v>
      </c>
      <c r="X27" s="427">
        <v>40</v>
      </c>
      <c r="Y27" s="427">
        <v>4</v>
      </c>
      <c r="Z27" s="427">
        <v>40</v>
      </c>
      <c r="AA27" s="44"/>
      <c r="AB27" s="368"/>
    </row>
    <row r="28" spans="1:28">
      <c r="A28" s="45" t="s">
        <v>124</v>
      </c>
      <c r="B28" s="45" t="s">
        <v>125</v>
      </c>
      <c r="C28" s="46">
        <f t="shared" si="0"/>
        <v>71.428571428571431</v>
      </c>
      <c r="D28" s="46">
        <f t="shared" si="1"/>
        <v>60</v>
      </c>
      <c r="E28" s="46">
        <f t="shared" si="2"/>
        <v>65.714285714285708</v>
      </c>
      <c r="F28" s="46">
        <f t="shared" si="3"/>
        <v>77.142857142857153</v>
      </c>
      <c r="G28" s="46">
        <f t="shared" si="4"/>
        <v>85.714285714285708</v>
      </c>
      <c r="H28" s="46">
        <f t="shared" si="5"/>
        <v>5.7142857142857144</v>
      </c>
      <c r="I28" s="601">
        <f t="shared" si="6"/>
        <v>5.7142857142857082</v>
      </c>
      <c r="J28" s="601">
        <f t="shared" si="7"/>
        <v>11.428571428571445</v>
      </c>
      <c r="K28" s="601">
        <f t="shared" si="8"/>
        <v>8.5714285714285552</v>
      </c>
      <c r="L28" s="609">
        <f t="shared" si="9"/>
        <v>20</v>
      </c>
      <c r="M28" s="609">
        <f t="shared" si="10"/>
        <v>25.714285714285708</v>
      </c>
      <c r="N28" s="599">
        <v>90</v>
      </c>
      <c r="O28" s="427">
        <v>25</v>
      </c>
      <c r="P28" s="427">
        <v>35</v>
      </c>
      <c r="Q28" s="427">
        <v>21</v>
      </c>
      <c r="R28" s="427">
        <v>35</v>
      </c>
      <c r="S28" s="427">
        <v>23</v>
      </c>
      <c r="T28" s="427">
        <v>35</v>
      </c>
      <c r="U28" s="427">
        <v>27</v>
      </c>
      <c r="V28" s="427">
        <v>35</v>
      </c>
      <c r="W28" s="427">
        <v>30</v>
      </c>
      <c r="X28" s="427">
        <v>35</v>
      </c>
      <c r="Y28" s="427">
        <v>2</v>
      </c>
      <c r="Z28" s="427">
        <v>35</v>
      </c>
      <c r="AA28" s="44"/>
      <c r="AB28" s="368"/>
    </row>
    <row r="29" spans="1:28">
      <c r="A29" s="45" t="s">
        <v>127</v>
      </c>
      <c r="B29" s="45" t="s">
        <v>128</v>
      </c>
      <c r="C29" s="46">
        <f t="shared" si="0"/>
        <v>43.902439024390247</v>
      </c>
      <c r="D29" s="46">
        <f t="shared" si="1"/>
        <v>30.155210643015522</v>
      </c>
      <c r="E29" s="46">
        <f t="shared" si="2"/>
        <v>44.124168514412418</v>
      </c>
      <c r="F29" s="46">
        <f t="shared" si="3"/>
        <v>55.654101995565405</v>
      </c>
      <c r="G29" s="46">
        <f t="shared" si="4"/>
        <v>82.261640798226168</v>
      </c>
      <c r="H29" s="46">
        <f t="shared" si="5"/>
        <v>17.073170731707318</v>
      </c>
      <c r="I29" s="601">
        <f t="shared" si="6"/>
        <v>13.968957871396896</v>
      </c>
      <c r="J29" s="601">
        <f t="shared" si="7"/>
        <v>11.529933481152987</v>
      </c>
      <c r="K29" s="601">
        <f t="shared" si="8"/>
        <v>26.607538802660763</v>
      </c>
      <c r="L29" s="609">
        <f t="shared" si="9"/>
        <v>38.13747228381375</v>
      </c>
      <c r="M29" s="609">
        <f t="shared" si="10"/>
        <v>52.106430155210646</v>
      </c>
      <c r="N29" s="599">
        <v>90</v>
      </c>
      <c r="O29" s="427">
        <v>198</v>
      </c>
      <c r="P29" s="427">
        <v>451</v>
      </c>
      <c r="Q29" s="427">
        <v>136</v>
      </c>
      <c r="R29" s="427">
        <v>451</v>
      </c>
      <c r="S29" s="427">
        <v>199</v>
      </c>
      <c r="T29" s="427">
        <v>451</v>
      </c>
      <c r="U29" s="427">
        <v>251</v>
      </c>
      <c r="V29" s="427">
        <v>451</v>
      </c>
      <c r="W29" s="427">
        <v>371</v>
      </c>
      <c r="X29" s="427">
        <v>451</v>
      </c>
      <c r="Y29" s="427">
        <v>77</v>
      </c>
      <c r="Z29" s="427">
        <v>451</v>
      </c>
      <c r="AA29" s="44"/>
      <c r="AB29" s="368"/>
    </row>
    <row r="30" spans="1:28">
      <c r="A30" s="45" t="s">
        <v>130</v>
      </c>
      <c r="B30" s="45" t="s">
        <v>131</v>
      </c>
      <c r="C30" s="46">
        <f t="shared" si="0"/>
        <v>74.054054054054049</v>
      </c>
      <c r="D30" s="46">
        <f t="shared" si="1"/>
        <v>55.135135135135137</v>
      </c>
      <c r="E30" s="46">
        <f t="shared" si="2"/>
        <v>72.432432432432435</v>
      </c>
      <c r="F30" s="46">
        <f t="shared" si="3"/>
        <v>83.243243243243242</v>
      </c>
      <c r="G30" s="46">
        <f t="shared" si="4"/>
        <v>94.594594594594597</v>
      </c>
      <c r="H30" s="46">
        <f t="shared" si="5"/>
        <v>4.8648648648648649</v>
      </c>
      <c r="I30" s="601">
        <f t="shared" si="6"/>
        <v>17.297297297297298</v>
      </c>
      <c r="J30" s="601">
        <f t="shared" si="7"/>
        <v>10.810810810810807</v>
      </c>
      <c r="K30" s="601">
        <f t="shared" si="8"/>
        <v>11.351351351351354</v>
      </c>
      <c r="L30" s="609">
        <f t="shared" si="9"/>
        <v>22.162162162162161</v>
      </c>
      <c r="M30" s="609">
        <f t="shared" si="10"/>
        <v>39.45945945945946</v>
      </c>
      <c r="N30" s="599">
        <v>90</v>
      </c>
      <c r="O30" s="427">
        <v>137</v>
      </c>
      <c r="P30" s="427">
        <v>185</v>
      </c>
      <c r="Q30" s="427">
        <v>102</v>
      </c>
      <c r="R30" s="427">
        <v>185</v>
      </c>
      <c r="S30" s="427">
        <v>134</v>
      </c>
      <c r="T30" s="427">
        <v>185</v>
      </c>
      <c r="U30" s="427">
        <v>154</v>
      </c>
      <c r="V30" s="427">
        <v>185</v>
      </c>
      <c r="W30" s="427">
        <v>175</v>
      </c>
      <c r="X30" s="427">
        <v>185</v>
      </c>
      <c r="Y30" s="427">
        <v>9</v>
      </c>
      <c r="Z30" s="427">
        <v>185</v>
      </c>
      <c r="AA30" s="44"/>
      <c r="AB30" s="368"/>
    </row>
    <row r="31" spans="1:28">
      <c r="A31" s="45" t="s">
        <v>133</v>
      </c>
      <c r="B31" s="45" t="s">
        <v>134</v>
      </c>
      <c r="C31" s="46">
        <f t="shared" si="0"/>
        <v>0</v>
      </c>
      <c r="D31" s="46">
        <f t="shared" si="1"/>
        <v>0</v>
      </c>
      <c r="E31" s="46">
        <f t="shared" si="2"/>
        <v>0</v>
      </c>
      <c r="F31" s="46">
        <f t="shared" si="3"/>
        <v>0</v>
      </c>
      <c r="G31" s="46">
        <f t="shared" si="4"/>
        <v>0</v>
      </c>
      <c r="H31" s="46">
        <f t="shared" si="5"/>
        <v>0</v>
      </c>
      <c r="I31" s="601">
        <f t="shared" si="6"/>
        <v>0</v>
      </c>
      <c r="J31" s="601">
        <f t="shared" si="7"/>
        <v>0</v>
      </c>
      <c r="K31" s="601">
        <f t="shared" si="8"/>
        <v>0</v>
      </c>
      <c r="L31" s="609">
        <f t="shared" si="9"/>
        <v>0</v>
      </c>
      <c r="M31" s="609">
        <f t="shared" si="10"/>
        <v>0</v>
      </c>
      <c r="N31" s="599">
        <v>90</v>
      </c>
      <c r="O31" s="427">
        <v>0</v>
      </c>
      <c r="P31" s="427">
        <v>1</v>
      </c>
      <c r="Q31" s="427">
        <v>0</v>
      </c>
      <c r="R31" s="427">
        <v>1</v>
      </c>
      <c r="S31" s="427">
        <v>0</v>
      </c>
      <c r="T31" s="427">
        <v>1</v>
      </c>
      <c r="U31" s="427">
        <v>0</v>
      </c>
      <c r="V31" s="427">
        <v>1</v>
      </c>
      <c r="W31" s="427">
        <v>0</v>
      </c>
      <c r="X31" s="427">
        <v>1</v>
      </c>
      <c r="Y31" s="427">
        <v>0</v>
      </c>
      <c r="Z31" s="427">
        <v>1</v>
      </c>
      <c r="AA31" s="44"/>
      <c r="AB31" s="368"/>
    </row>
    <row r="32" spans="1:28">
      <c r="A32" s="45" t="s">
        <v>39</v>
      </c>
      <c r="B32" s="45" t="s">
        <v>136</v>
      </c>
      <c r="C32" s="46">
        <f t="shared" si="0"/>
        <v>94.117647058823522</v>
      </c>
      <c r="D32" s="46">
        <f t="shared" si="1"/>
        <v>91.17647058823529</v>
      </c>
      <c r="E32" s="46">
        <f t="shared" si="2"/>
        <v>94.117647058823522</v>
      </c>
      <c r="F32" s="46">
        <f t="shared" si="3"/>
        <v>97.058823529411768</v>
      </c>
      <c r="G32" s="46">
        <f t="shared" si="4"/>
        <v>97.058823529411768</v>
      </c>
      <c r="H32" s="46">
        <f t="shared" si="5"/>
        <v>2.9411764705882351</v>
      </c>
      <c r="I32" s="598">
        <f t="shared" si="6"/>
        <v>2.941176470588232</v>
      </c>
      <c r="J32" s="597">
        <f t="shared" si="7"/>
        <v>2.9411764705882462</v>
      </c>
      <c r="K32" s="597">
        <f t="shared" si="8"/>
        <v>0</v>
      </c>
      <c r="L32" s="608">
        <f t="shared" si="9"/>
        <v>2.9411764705882462</v>
      </c>
      <c r="M32" s="608">
        <f t="shared" si="10"/>
        <v>5.8823529411764781</v>
      </c>
      <c r="N32" s="595">
        <v>90</v>
      </c>
      <c r="O32" s="427">
        <v>32</v>
      </c>
      <c r="P32" s="427">
        <v>34</v>
      </c>
      <c r="Q32" s="427">
        <v>31</v>
      </c>
      <c r="R32" s="427">
        <v>34</v>
      </c>
      <c r="S32" s="427">
        <v>32</v>
      </c>
      <c r="T32" s="427">
        <v>34</v>
      </c>
      <c r="U32" s="427">
        <v>33</v>
      </c>
      <c r="V32" s="427">
        <v>34</v>
      </c>
      <c r="W32" s="427">
        <v>33</v>
      </c>
      <c r="X32" s="427">
        <v>34</v>
      </c>
      <c r="Y32" s="427">
        <v>1</v>
      </c>
      <c r="Z32" s="427">
        <v>34</v>
      </c>
      <c r="AA32" s="44"/>
      <c r="AB32" s="368"/>
    </row>
    <row r="33" spans="1:26">
      <c r="A33" s="50"/>
      <c r="C33" s="34"/>
      <c r="D33" s="34"/>
      <c r="E33" s="34"/>
      <c r="F33" s="34"/>
      <c r="G33" s="34"/>
      <c r="H33" s="34"/>
      <c r="I33" s="34"/>
      <c r="J33" s="34"/>
      <c r="K33" s="34"/>
      <c r="L33" s="34"/>
      <c r="M33" s="34"/>
    </row>
    <row r="34" spans="1:26">
      <c r="A34" s="51"/>
      <c r="C34" s="34"/>
      <c r="D34" s="34"/>
      <c r="E34" s="34"/>
      <c r="F34" s="34"/>
      <c r="G34" s="34"/>
      <c r="H34" s="34"/>
      <c r="I34" s="34"/>
      <c r="J34" s="34"/>
      <c r="K34" s="34"/>
      <c r="L34" s="34"/>
      <c r="M34" s="34"/>
    </row>
    <row r="35" spans="1:26" ht="30" customHeight="1">
      <c r="A35" s="839" t="s">
        <v>138</v>
      </c>
      <c r="B35" s="840"/>
      <c r="C35" s="881" t="s">
        <v>44</v>
      </c>
      <c r="D35" s="882"/>
      <c r="E35" s="882"/>
      <c r="F35" s="882"/>
      <c r="G35" s="882"/>
      <c r="H35" s="883"/>
      <c r="I35" s="844"/>
      <c r="J35" s="884"/>
      <c r="K35" s="884"/>
      <c r="L35" s="884"/>
      <c r="M35" s="884"/>
      <c r="N35" s="885"/>
      <c r="O35" s="857" t="s">
        <v>51</v>
      </c>
      <c r="P35" s="857"/>
      <c r="Q35" s="857" t="s">
        <v>145</v>
      </c>
      <c r="R35" s="857"/>
      <c r="S35" s="857" t="s">
        <v>146</v>
      </c>
      <c r="T35" s="857"/>
      <c r="U35" s="857" t="s">
        <v>147</v>
      </c>
      <c r="V35" s="857"/>
      <c r="W35" s="857" t="s">
        <v>148</v>
      </c>
      <c r="X35" s="857"/>
      <c r="Y35" s="857" t="s">
        <v>149</v>
      </c>
      <c r="Z35" s="871"/>
    </row>
    <row r="36" spans="1:26" ht="35.1" customHeight="1">
      <c r="A36" s="52"/>
      <c r="B36" s="53" t="s">
        <v>140</v>
      </c>
      <c r="C36" s="40" t="s">
        <v>54</v>
      </c>
      <c r="D36" s="40" t="s">
        <v>150</v>
      </c>
      <c r="E36" s="40" t="s">
        <v>151</v>
      </c>
      <c r="F36" s="40" t="s">
        <v>152</v>
      </c>
      <c r="G36" s="40" t="s">
        <v>153</v>
      </c>
      <c r="H36" s="40" t="s">
        <v>154</v>
      </c>
      <c r="I36" s="886"/>
      <c r="J36" s="887"/>
      <c r="K36" s="887"/>
      <c r="L36" s="887"/>
      <c r="M36" s="887"/>
      <c r="N36" s="888"/>
      <c r="O36" s="43" t="s">
        <v>28</v>
      </c>
      <c r="P36" s="43" t="s">
        <v>29</v>
      </c>
      <c r="Q36" s="43" t="s">
        <v>28</v>
      </c>
      <c r="R36" s="43" t="s">
        <v>29</v>
      </c>
      <c r="S36" s="43" t="s">
        <v>28</v>
      </c>
      <c r="T36" s="43" t="s">
        <v>29</v>
      </c>
      <c r="U36" s="43" t="s">
        <v>28</v>
      </c>
      <c r="V36" s="43" t="s">
        <v>29</v>
      </c>
      <c r="W36" s="43" t="s">
        <v>28</v>
      </c>
      <c r="X36" s="43" t="s">
        <v>29</v>
      </c>
      <c r="Y36" s="43" t="s">
        <v>28</v>
      </c>
      <c r="Z36" s="65" t="s">
        <v>29</v>
      </c>
    </row>
    <row r="37" spans="1:26">
      <c r="A37" s="872"/>
      <c r="B37" s="45" t="s">
        <v>35</v>
      </c>
      <c r="C37" s="46">
        <f t="shared" ref="C37:C50" si="12">IF(ISERR(O37/P37*100),"",O37/P37*100)</f>
        <v>53.846153846153847</v>
      </c>
      <c r="D37" s="46">
        <f t="shared" ref="D37:D50" si="13">IF(ISERR(Q37/R37*100),"",Q37/R37*100)</f>
        <v>38.61538461538462</v>
      </c>
      <c r="E37" s="46">
        <f t="shared" ref="E37:E50" si="14">IF(ISERR(S37/T37*100),"",S37/T37*100)</f>
        <v>52.153846153846153</v>
      </c>
      <c r="F37" s="46">
        <f t="shared" ref="F37:F50" si="15">IF(ISERR(U37/V37*100),"",U37/V37*100)</f>
        <v>64</v>
      </c>
      <c r="G37" s="46">
        <f t="shared" ref="G37:G50" si="16">IF(ISERR(W37/X37*100),"",W37/X37*100)</f>
        <v>84.92307692307692</v>
      </c>
      <c r="H37" s="46">
        <f t="shared" ref="H37:H50" si="17">IF(ISERR(Y37/Z37*100),"",Y37/Z37*100)</f>
        <v>14.153846153846153</v>
      </c>
      <c r="I37" s="861"/>
      <c r="J37" s="875"/>
      <c r="K37" s="875"/>
      <c r="L37" s="875"/>
      <c r="M37" s="875"/>
      <c r="N37" s="876"/>
      <c r="O37" s="428">
        <v>350</v>
      </c>
      <c r="P37" s="428">
        <v>650</v>
      </c>
      <c r="Q37" s="590">
        <v>251</v>
      </c>
      <c r="R37" s="590">
        <v>650</v>
      </c>
      <c r="S37" s="429">
        <v>339</v>
      </c>
      <c r="T37" s="429">
        <v>650</v>
      </c>
      <c r="U37" s="429">
        <v>416</v>
      </c>
      <c r="V37" s="429">
        <v>650</v>
      </c>
      <c r="W37" s="429">
        <v>552</v>
      </c>
      <c r="X37" s="429">
        <v>650</v>
      </c>
      <c r="Y37" s="429">
        <v>92</v>
      </c>
      <c r="Z37" s="429">
        <v>650</v>
      </c>
    </row>
    <row r="38" spans="1:26">
      <c r="A38" s="873"/>
      <c r="B38" s="45" t="s">
        <v>30</v>
      </c>
      <c r="C38" s="46">
        <f t="shared" si="12"/>
        <v>82.191780821917803</v>
      </c>
      <c r="D38" s="46">
        <f t="shared" si="13"/>
        <v>68.036529680365305</v>
      </c>
      <c r="E38" s="46">
        <f t="shared" si="14"/>
        <v>80.821917808219183</v>
      </c>
      <c r="F38" s="46">
        <f t="shared" si="15"/>
        <v>90.410958904109577</v>
      </c>
      <c r="G38" s="46">
        <f t="shared" si="16"/>
        <v>99.086757990867582</v>
      </c>
      <c r="H38" s="46">
        <f t="shared" si="17"/>
        <v>0.91324200913242004</v>
      </c>
      <c r="I38" s="877"/>
      <c r="J38" s="875"/>
      <c r="K38" s="875"/>
      <c r="L38" s="875"/>
      <c r="M38" s="875"/>
      <c r="N38" s="876"/>
      <c r="O38" s="428">
        <v>180</v>
      </c>
      <c r="P38" s="428">
        <v>219</v>
      </c>
      <c r="Q38" s="428">
        <v>149</v>
      </c>
      <c r="R38" s="428">
        <v>219</v>
      </c>
      <c r="S38" s="429">
        <v>177</v>
      </c>
      <c r="T38" s="429">
        <v>219</v>
      </c>
      <c r="U38" s="429">
        <v>198</v>
      </c>
      <c r="V38" s="429">
        <v>219</v>
      </c>
      <c r="W38" s="429">
        <v>217</v>
      </c>
      <c r="X38" s="429">
        <v>219</v>
      </c>
      <c r="Y38" s="429">
        <v>2</v>
      </c>
      <c r="Z38" s="429">
        <v>219</v>
      </c>
    </row>
    <row r="39" spans="1:26">
      <c r="A39" s="873"/>
      <c r="B39" s="45" t="s">
        <v>33</v>
      </c>
      <c r="C39" s="46">
        <f t="shared" si="12"/>
        <v>67.844522968197879</v>
      </c>
      <c r="D39" s="46">
        <f t="shared" si="13"/>
        <v>54.416961130742045</v>
      </c>
      <c r="E39" s="46">
        <f t="shared" si="14"/>
        <v>66.784452296819779</v>
      </c>
      <c r="F39" s="46">
        <f t="shared" si="15"/>
        <v>77.03180212014135</v>
      </c>
      <c r="G39" s="46">
        <f t="shared" si="16"/>
        <v>91.519434628975262</v>
      </c>
      <c r="H39" s="46">
        <f t="shared" si="17"/>
        <v>7.4204946996466434</v>
      </c>
      <c r="I39" s="877"/>
      <c r="J39" s="875"/>
      <c r="K39" s="875"/>
      <c r="L39" s="875"/>
      <c r="M39" s="875"/>
      <c r="N39" s="876"/>
      <c r="O39" s="428">
        <v>192</v>
      </c>
      <c r="P39" s="428">
        <v>283</v>
      </c>
      <c r="Q39" s="428">
        <v>154</v>
      </c>
      <c r="R39" s="428">
        <v>283</v>
      </c>
      <c r="S39" s="429">
        <v>189</v>
      </c>
      <c r="T39" s="429">
        <v>283</v>
      </c>
      <c r="U39" s="429">
        <v>218</v>
      </c>
      <c r="V39" s="429">
        <v>283</v>
      </c>
      <c r="W39" s="429">
        <v>259</v>
      </c>
      <c r="X39" s="429">
        <v>283</v>
      </c>
      <c r="Y39" s="429">
        <v>21</v>
      </c>
      <c r="Z39" s="429">
        <v>283</v>
      </c>
    </row>
    <row r="40" spans="1:26" ht="14.25">
      <c r="A40" s="873"/>
      <c r="B40" s="45" t="s">
        <v>159</v>
      </c>
      <c r="C40" s="46">
        <f t="shared" si="12"/>
        <v>76.813880126182966</v>
      </c>
      <c r="D40" s="46">
        <f t="shared" si="13"/>
        <v>64.98422712933754</v>
      </c>
      <c r="E40" s="46">
        <f t="shared" si="14"/>
        <v>77.129337539432171</v>
      </c>
      <c r="F40" s="46">
        <f t="shared" si="15"/>
        <v>85.488958990536275</v>
      </c>
      <c r="G40" s="46">
        <f t="shared" si="16"/>
        <v>95.583596214511047</v>
      </c>
      <c r="H40" s="46">
        <f t="shared" si="17"/>
        <v>3.9432176656151419</v>
      </c>
      <c r="I40" s="877"/>
      <c r="J40" s="875"/>
      <c r="K40" s="875"/>
      <c r="L40" s="875"/>
      <c r="M40" s="875"/>
      <c r="N40" s="876"/>
      <c r="O40" s="428">
        <v>487</v>
      </c>
      <c r="P40" s="428">
        <v>634</v>
      </c>
      <c r="Q40" s="428">
        <v>412</v>
      </c>
      <c r="R40" s="428">
        <v>634</v>
      </c>
      <c r="S40" s="429">
        <v>489</v>
      </c>
      <c r="T40" s="429">
        <v>634</v>
      </c>
      <c r="U40" s="429">
        <v>542</v>
      </c>
      <c r="V40" s="429">
        <v>634</v>
      </c>
      <c r="W40" s="429">
        <v>606</v>
      </c>
      <c r="X40" s="429">
        <v>634</v>
      </c>
      <c r="Y40" s="429">
        <v>25</v>
      </c>
      <c r="Z40" s="429">
        <v>634</v>
      </c>
    </row>
    <row r="41" spans="1:26" ht="14.25">
      <c r="A41" s="873"/>
      <c r="B41" s="45" t="s">
        <v>160</v>
      </c>
      <c r="C41" s="46">
        <f t="shared" si="12"/>
        <v>62.316176470588239</v>
      </c>
      <c r="D41" s="46">
        <f t="shared" si="13"/>
        <v>44.117647058823529</v>
      </c>
      <c r="E41" s="46">
        <f t="shared" si="14"/>
        <v>61.580882352941181</v>
      </c>
      <c r="F41" s="46">
        <f t="shared" si="15"/>
        <v>75.919117647058826</v>
      </c>
      <c r="G41" s="46">
        <f t="shared" si="16"/>
        <v>96.32352941176471</v>
      </c>
      <c r="H41" s="46">
        <f t="shared" si="17"/>
        <v>3.3088235294117649</v>
      </c>
      <c r="I41" s="877"/>
      <c r="J41" s="875"/>
      <c r="K41" s="875"/>
      <c r="L41" s="875"/>
      <c r="M41" s="875"/>
      <c r="N41" s="876"/>
      <c r="O41" s="428">
        <v>339</v>
      </c>
      <c r="P41" s="428">
        <v>544</v>
      </c>
      <c r="Q41" s="428">
        <v>240</v>
      </c>
      <c r="R41" s="428">
        <v>544</v>
      </c>
      <c r="S41" s="429">
        <v>335</v>
      </c>
      <c r="T41" s="429">
        <v>544</v>
      </c>
      <c r="U41" s="429">
        <v>413</v>
      </c>
      <c r="V41" s="429">
        <v>544</v>
      </c>
      <c r="W41" s="429">
        <v>524</v>
      </c>
      <c r="X41" s="429">
        <v>544</v>
      </c>
      <c r="Y41" s="429">
        <v>18</v>
      </c>
      <c r="Z41" s="429">
        <v>544</v>
      </c>
    </row>
    <row r="42" spans="1:26" ht="14.25">
      <c r="A42" s="873"/>
      <c r="B42" s="45" t="s">
        <v>161</v>
      </c>
      <c r="C42" s="46">
        <f t="shared" si="12"/>
        <v>77.764277035236944</v>
      </c>
      <c r="D42" s="46">
        <f t="shared" si="13"/>
        <v>68.286755771567428</v>
      </c>
      <c r="E42" s="46">
        <f t="shared" si="14"/>
        <v>77.885783718104491</v>
      </c>
      <c r="F42" s="46">
        <f t="shared" si="15"/>
        <v>84.325637910085049</v>
      </c>
      <c r="G42" s="46">
        <f t="shared" si="16"/>
        <v>93.074119076549209</v>
      </c>
      <c r="H42" s="46">
        <f t="shared" si="17"/>
        <v>4.6172539489671935</v>
      </c>
      <c r="I42" s="877"/>
      <c r="J42" s="875"/>
      <c r="K42" s="875"/>
      <c r="L42" s="875"/>
      <c r="M42" s="875"/>
      <c r="N42" s="876"/>
      <c r="O42" s="428">
        <v>640</v>
      </c>
      <c r="P42" s="428">
        <v>823</v>
      </c>
      <c r="Q42" s="428">
        <v>562</v>
      </c>
      <c r="R42" s="428">
        <v>823</v>
      </c>
      <c r="S42" s="429">
        <v>641</v>
      </c>
      <c r="T42" s="429">
        <v>823</v>
      </c>
      <c r="U42" s="429">
        <v>694</v>
      </c>
      <c r="V42" s="429">
        <v>823</v>
      </c>
      <c r="W42" s="429">
        <v>766</v>
      </c>
      <c r="X42" s="429">
        <v>823</v>
      </c>
      <c r="Y42" s="429">
        <v>38</v>
      </c>
      <c r="Z42" s="429">
        <v>823</v>
      </c>
    </row>
    <row r="43" spans="1:26" ht="14.25">
      <c r="A43" s="873"/>
      <c r="B43" s="45" t="s">
        <v>162</v>
      </c>
      <c r="C43" s="46">
        <f t="shared" si="12"/>
        <v>72.291853178155776</v>
      </c>
      <c r="D43" s="46">
        <f t="shared" si="13"/>
        <v>58.81826320501343</v>
      </c>
      <c r="E43" s="46">
        <f t="shared" si="14"/>
        <v>71.48612354521039</v>
      </c>
      <c r="F43" s="46">
        <f t="shared" si="15"/>
        <v>80.170098478066251</v>
      </c>
      <c r="G43" s="46">
        <f t="shared" si="16"/>
        <v>91.718889883616825</v>
      </c>
      <c r="H43" s="46">
        <f t="shared" si="17"/>
        <v>7.6544315129811995</v>
      </c>
      <c r="I43" s="877"/>
      <c r="J43" s="875"/>
      <c r="K43" s="875"/>
      <c r="L43" s="875"/>
      <c r="M43" s="875"/>
      <c r="N43" s="876"/>
      <c r="O43" s="428">
        <v>1615</v>
      </c>
      <c r="P43" s="428">
        <v>2234</v>
      </c>
      <c r="Q43" s="428">
        <v>1314</v>
      </c>
      <c r="R43" s="428">
        <v>2234</v>
      </c>
      <c r="S43" s="429">
        <v>1597</v>
      </c>
      <c r="T43" s="429">
        <v>2234</v>
      </c>
      <c r="U43" s="429">
        <v>1791</v>
      </c>
      <c r="V43" s="429">
        <v>2234</v>
      </c>
      <c r="W43" s="429">
        <v>2049</v>
      </c>
      <c r="X43" s="429">
        <v>2234</v>
      </c>
      <c r="Y43" s="429">
        <v>171</v>
      </c>
      <c r="Z43" s="429">
        <v>2234</v>
      </c>
    </row>
    <row r="44" spans="1:26">
      <c r="A44" s="873"/>
      <c r="B44" s="45" t="s">
        <v>38</v>
      </c>
      <c r="C44" s="46">
        <f t="shared" si="12"/>
        <v>62.124248496993985</v>
      </c>
      <c r="D44" s="46">
        <f t="shared" si="13"/>
        <v>49.498997995991985</v>
      </c>
      <c r="E44" s="46">
        <f t="shared" si="14"/>
        <v>62.525050100200396</v>
      </c>
      <c r="F44" s="46">
        <f t="shared" si="15"/>
        <v>74.348697394789582</v>
      </c>
      <c r="G44" s="46">
        <f t="shared" si="16"/>
        <v>88.176352705410821</v>
      </c>
      <c r="H44" s="46">
        <f t="shared" si="17"/>
        <v>7.414829659318638</v>
      </c>
      <c r="I44" s="877"/>
      <c r="J44" s="875"/>
      <c r="K44" s="875"/>
      <c r="L44" s="875"/>
      <c r="M44" s="875"/>
      <c r="N44" s="876"/>
      <c r="O44" s="428">
        <v>310</v>
      </c>
      <c r="P44" s="428">
        <v>499</v>
      </c>
      <c r="Q44" s="428">
        <v>247</v>
      </c>
      <c r="R44" s="428">
        <v>499</v>
      </c>
      <c r="S44" s="429">
        <v>312</v>
      </c>
      <c r="T44" s="429">
        <v>499</v>
      </c>
      <c r="U44" s="429">
        <v>371</v>
      </c>
      <c r="V44" s="429">
        <v>499</v>
      </c>
      <c r="W44" s="429">
        <v>440</v>
      </c>
      <c r="X44" s="429">
        <v>499</v>
      </c>
      <c r="Y44" s="429">
        <v>37</v>
      </c>
      <c r="Z44" s="429">
        <v>499</v>
      </c>
    </row>
    <row r="45" spans="1:26">
      <c r="A45" s="873"/>
      <c r="B45" s="45" t="s">
        <v>31</v>
      </c>
      <c r="C45" s="46">
        <f t="shared" si="12"/>
        <v>64.397905759162299</v>
      </c>
      <c r="D45" s="46">
        <f t="shared" si="13"/>
        <v>51.413612565445021</v>
      </c>
      <c r="E45" s="46">
        <f t="shared" si="14"/>
        <v>62.40837696335079</v>
      </c>
      <c r="F45" s="46">
        <f t="shared" si="15"/>
        <v>76.439790575916234</v>
      </c>
      <c r="G45" s="46">
        <f t="shared" si="16"/>
        <v>92.460732984293188</v>
      </c>
      <c r="H45" s="46">
        <f t="shared" si="17"/>
        <v>6.2827225130890048</v>
      </c>
      <c r="I45" s="877"/>
      <c r="J45" s="875"/>
      <c r="K45" s="875"/>
      <c r="L45" s="875"/>
      <c r="M45" s="875"/>
      <c r="N45" s="876"/>
      <c r="O45" s="428">
        <v>615</v>
      </c>
      <c r="P45" s="428">
        <v>955</v>
      </c>
      <c r="Q45" s="428">
        <v>491</v>
      </c>
      <c r="R45" s="428">
        <v>955</v>
      </c>
      <c r="S45" s="429">
        <v>596</v>
      </c>
      <c r="T45" s="429">
        <v>955</v>
      </c>
      <c r="U45" s="429">
        <v>730</v>
      </c>
      <c r="V45" s="429">
        <v>955</v>
      </c>
      <c r="W45" s="429">
        <v>883</v>
      </c>
      <c r="X45" s="429">
        <v>955</v>
      </c>
      <c r="Y45" s="429">
        <v>60</v>
      </c>
      <c r="Z45" s="429">
        <v>955</v>
      </c>
    </row>
    <row r="46" spans="1:26">
      <c r="A46" s="873"/>
      <c r="B46" s="45" t="s">
        <v>40</v>
      </c>
      <c r="C46" s="46">
        <f t="shared" si="12"/>
        <v>78.387769284225158</v>
      </c>
      <c r="D46" s="46">
        <f t="shared" si="13"/>
        <v>67.199444058373871</v>
      </c>
      <c r="E46" s="46">
        <f t="shared" si="14"/>
        <v>75.886031966643515</v>
      </c>
      <c r="F46" s="46">
        <f t="shared" si="15"/>
        <v>81.445448227936069</v>
      </c>
      <c r="G46" s="46">
        <f t="shared" si="16"/>
        <v>91.730368311327311</v>
      </c>
      <c r="H46" s="46">
        <f t="shared" si="17"/>
        <v>6.9492703266157054</v>
      </c>
      <c r="I46" s="877"/>
      <c r="J46" s="875"/>
      <c r="K46" s="875"/>
      <c r="L46" s="875"/>
      <c r="M46" s="875"/>
      <c r="N46" s="876"/>
      <c r="O46" s="428">
        <v>1128</v>
      </c>
      <c r="P46" s="428">
        <v>1439</v>
      </c>
      <c r="Q46" s="428">
        <v>967</v>
      </c>
      <c r="R46" s="428">
        <v>1439</v>
      </c>
      <c r="S46" s="429">
        <v>1092</v>
      </c>
      <c r="T46" s="429">
        <v>1439</v>
      </c>
      <c r="U46" s="429">
        <v>1172</v>
      </c>
      <c r="V46" s="429">
        <v>1439</v>
      </c>
      <c r="W46" s="429">
        <v>1320</v>
      </c>
      <c r="X46" s="429">
        <v>1439</v>
      </c>
      <c r="Y46" s="429">
        <v>100</v>
      </c>
      <c r="Z46" s="429">
        <v>1439</v>
      </c>
    </row>
    <row r="47" spans="1:26" ht="14.25">
      <c r="A47" s="873"/>
      <c r="B47" s="45" t="s">
        <v>163</v>
      </c>
      <c r="C47" s="46">
        <f t="shared" si="12"/>
        <v>60</v>
      </c>
      <c r="D47" s="46">
        <f t="shared" si="13"/>
        <v>55.000000000000007</v>
      </c>
      <c r="E47" s="46">
        <f t="shared" si="14"/>
        <v>62.5</v>
      </c>
      <c r="F47" s="46">
        <f t="shared" si="15"/>
        <v>65</v>
      </c>
      <c r="G47" s="46">
        <f t="shared" si="16"/>
        <v>75</v>
      </c>
      <c r="H47" s="46">
        <f t="shared" si="17"/>
        <v>10</v>
      </c>
      <c r="I47" s="877"/>
      <c r="J47" s="875"/>
      <c r="K47" s="875"/>
      <c r="L47" s="875"/>
      <c r="M47" s="875"/>
      <c r="N47" s="876"/>
      <c r="O47" s="428">
        <v>24</v>
      </c>
      <c r="P47" s="428">
        <v>40</v>
      </c>
      <c r="Q47" s="428">
        <v>22</v>
      </c>
      <c r="R47" s="428">
        <v>40</v>
      </c>
      <c r="S47" s="429">
        <v>25</v>
      </c>
      <c r="T47" s="429">
        <v>40</v>
      </c>
      <c r="U47" s="429">
        <v>26</v>
      </c>
      <c r="V47" s="429">
        <v>40</v>
      </c>
      <c r="W47" s="429">
        <v>30</v>
      </c>
      <c r="X47" s="429">
        <v>40</v>
      </c>
      <c r="Y47" s="429">
        <v>4</v>
      </c>
      <c r="Z47" s="429">
        <v>40</v>
      </c>
    </row>
    <row r="48" spans="1:26">
      <c r="A48" s="873"/>
      <c r="B48" s="45" t="s">
        <v>41</v>
      </c>
      <c r="C48" s="46">
        <f t="shared" si="12"/>
        <v>71.428571428571431</v>
      </c>
      <c r="D48" s="46">
        <f t="shared" si="13"/>
        <v>60</v>
      </c>
      <c r="E48" s="46">
        <f t="shared" si="14"/>
        <v>65.714285714285708</v>
      </c>
      <c r="F48" s="46">
        <f t="shared" si="15"/>
        <v>77.142857142857153</v>
      </c>
      <c r="G48" s="46">
        <f t="shared" si="16"/>
        <v>85.714285714285708</v>
      </c>
      <c r="H48" s="46">
        <f t="shared" si="17"/>
        <v>5.7142857142857144</v>
      </c>
      <c r="I48" s="877"/>
      <c r="J48" s="875"/>
      <c r="K48" s="875"/>
      <c r="L48" s="875"/>
      <c r="M48" s="875"/>
      <c r="N48" s="876"/>
      <c r="O48" s="428">
        <v>25</v>
      </c>
      <c r="P48" s="428">
        <v>35</v>
      </c>
      <c r="Q48" s="428">
        <v>21</v>
      </c>
      <c r="R48" s="428">
        <v>35</v>
      </c>
      <c r="S48" s="429">
        <v>23</v>
      </c>
      <c r="T48" s="429">
        <v>35</v>
      </c>
      <c r="U48" s="429">
        <v>27</v>
      </c>
      <c r="V48" s="429">
        <v>35</v>
      </c>
      <c r="W48" s="429">
        <v>30</v>
      </c>
      <c r="X48" s="429">
        <v>35</v>
      </c>
      <c r="Y48" s="429">
        <v>2</v>
      </c>
      <c r="Z48" s="429">
        <v>35</v>
      </c>
    </row>
    <row r="49" spans="1:28">
      <c r="A49" s="873"/>
      <c r="B49" s="45" t="s">
        <v>34</v>
      </c>
      <c r="C49" s="46">
        <f t="shared" si="12"/>
        <v>52.672955974842772</v>
      </c>
      <c r="D49" s="46">
        <f t="shared" si="13"/>
        <v>37.421383647798741</v>
      </c>
      <c r="E49" s="46">
        <f t="shared" si="14"/>
        <v>52.358490566037744</v>
      </c>
      <c r="F49" s="46">
        <f t="shared" si="15"/>
        <v>63.679245283018872</v>
      </c>
      <c r="G49" s="46">
        <f t="shared" si="16"/>
        <v>85.84905660377359</v>
      </c>
      <c r="H49" s="46">
        <f t="shared" si="17"/>
        <v>13.522012578616351</v>
      </c>
      <c r="I49" s="877"/>
      <c r="J49" s="875"/>
      <c r="K49" s="875"/>
      <c r="L49" s="875"/>
      <c r="M49" s="875"/>
      <c r="N49" s="876"/>
      <c r="O49" s="428">
        <v>335</v>
      </c>
      <c r="P49" s="428">
        <v>636</v>
      </c>
      <c r="Q49" s="428">
        <v>238</v>
      </c>
      <c r="R49" s="428">
        <v>636</v>
      </c>
      <c r="S49" s="429">
        <v>333</v>
      </c>
      <c r="T49" s="429">
        <v>636</v>
      </c>
      <c r="U49" s="429">
        <v>405</v>
      </c>
      <c r="V49" s="429">
        <v>636</v>
      </c>
      <c r="W49" s="429">
        <v>546</v>
      </c>
      <c r="X49" s="429">
        <v>636</v>
      </c>
      <c r="Y49" s="429">
        <v>86</v>
      </c>
      <c r="Z49" s="429">
        <v>636</v>
      </c>
    </row>
    <row r="50" spans="1:28" ht="14.25">
      <c r="A50" s="874"/>
      <c r="B50" s="45" t="s">
        <v>164</v>
      </c>
      <c r="C50" s="46">
        <f t="shared" si="12"/>
        <v>91.428571428571431</v>
      </c>
      <c r="D50" s="46">
        <f t="shared" si="13"/>
        <v>88.571428571428569</v>
      </c>
      <c r="E50" s="46">
        <f t="shared" si="14"/>
        <v>91.428571428571431</v>
      </c>
      <c r="F50" s="46">
        <f t="shared" si="15"/>
        <v>94.285714285714278</v>
      </c>
      <c r="G50" s="46">
        <f t="shared" si="16"/>
        <v>94.285714285714278</v>
      </c>
      <c r="H50" s="46">
        <f t="shared" si="17"/>
        <v>2.8571428571428572</v>
      </c>
      <c r="I50" s="878"/>
      <c r="J50" s="879"/>
      <c r="K50" s="879"/>
      <c r="L50" s="879"/>
      <c r="M50" s="879"/>
      <c r="N50" s="880"/>
      <c r="O50" s="428">
        <v>32</v>
      </c>
      <c r="P50" s="428">
        <v>35</v>
      </c>
      <c r="Q50" s="428">
        <v>31</v>
      </c>
      <c r="R50" s="428">
        <v>35</v>
      </c>
      <c r="S50" s="429">
        <v>32</v>
      </c>
      <c r="T50" s="429">
        <v>35</v>
      </c>
      <c r="U50" s="429">
        <v>33</v>
      </c>
      <c r="V50" s="429">
        <v>35</v>
      </c>
      <c r="W50" s="429">
        <v>33</v>
      </c>
      <c r="X50" s="429">
        <v>35</v>
      </c>
      <c r="Y50" s="429">
        <v>1</v>
      </c>
      <c r="Z50" s="429">
        <v>35</v>
      </c>
    </row>
    <row r="51" spans="1:28">
      <c r="A51" s="61"/>
      <c r="C51" s="34"/>
      <c r="D51" s="34"/>
      <c r="E51" s="34"/>
      <c r="F51" s="34"/>
      <c r="G51" s="34"/>
      <c r="H51" s="34"/>
      <c r="I51" s="34"/>
      <c r="J51" s="34"/>
      <c r="M51" s="579"/>
      <c r="N51" s="579"/>
    </row>
    <row r="52" spans="1:28">
      <c r="A52" s="62" t="s">
        <v>142</v>
      </c>
      <c r="C52" s="34"/>
      <c r="D52" s="34"/>
      <c r="E52" s="34"/>
      <c r="F52" s="34"/>
      <c r="G52" s="34"/>
      <c r="H52" s="34"/>
      <c r="I52" s="34"/>
      <c r="J52" s="34"/>
      <c r="M52" s="579"/>
      <c r="N52" s="579"/>
    </row>
    <row r="53" spans="1:28" s="569" customFormat="1">
      <c r="A53" s="51"/>
      <c r="B53" s="579"/>
      <c r="C53" s="34"/>
      <c r="D53" s="34"/>
      <c r="E53" s="34"/>
      <c r="F53" s="34"/>
      <c r="G53" s="34"/>
      <c r="H53" s="34"/>
      <c r="I53" s="34"/>
      <c r="J53" s="34"/>
      <c r="K53" s="34"/>
      <c r="L53" s="34"/>
      <c r="M53" s="34"/>
      <c r="O53" s="579"/>
      <c r="P53" s="579"/>
      <c r="Q53" s="579"/>
      <c r="R53" s="579"/>
      <c r="S53" s="579"/>
      <c r="T53" s="579"/>
      <c r="U53" s="579"/>
      <c r="V53" s="579"/>
      <c r="W53" s="579"/>
      <c r="X53" s="579"/>
      <c r="Y53" s="579"/>
      <c r="Z53" s="579"/>
      <c r="AA53" s="579"/>
      <c r="AB53" s="579"/>
    </row>
    <row r="54" spans="1:28" s="569" customFormat="1">
      <c r="A54" s="51"/>
      <c r="B54" s="579"/>
      <c r="C54" s="34"/>
      <c r="D54" s="34"/>
      <c r="E54" s="34"/>
      <c r="F54" s="34"/>
      <c r="G54" s="34"/>
      <c r="H54" s="34"/>
      <c r="I54" s="34"/>
      <c r="J54" s="34"/>
      <c r="K54" s="34"/>
      <c r="L54" s="34"/>
      <c r="M54" s="34"/>
      <c r="O54" s="579"/>
      <c r="P54" s="579"/>
      <c r="Q54" s="579"/>
      <c r="R54" s="579"/>
      <c r="S54" s="579"/>
      <c r="T54" s="579"/>
      <c r="U54" s="579"/>
      <c r="V54" s="579"/>
      <c r="W54" s="579"/>
      <c r="X54" s="579"/>
      <c r="Y54" s="579"/>
      <c r="Z54" s="579"/>
      <c r="AA54" s="579"/>
      <c r="AB54" s="579"/>
    </row>
    <row r="55" spans="1:28" s="569" customFormat="1">
      <c r="A55" s="51"/>
      <c r="B55" s="579"/>
      <c r="C55" s="34"/>
      <c r="D55" s="34"/>
      <c r="E55" s="34"/>
      <c r="F55" s="34"/>
      <c r="G55" s="34"/>
      <c r="H55" s="34"/>
      <c r="I55" s="34"/>
      <c r="J55" s="34"/>
      <c r="K55" s="34"/>
      <c r="L55" s="34"/>
      <c r="M55" s="34"/>
      <c r="O55" s="579"/>
      <c r="P55" s="579"/>
      <c r="Q55" s="579"/>
      <c r="R55" s="579"/>
      <c r="S55" s="579"/>
      <c r="T55" s="579"/>
      <c r="U55" s="579"/>
      <c r="V55" s="579"/>
      <c r="W55" s="579"/>
      <c r="X55" s="579"/>
      <c r="Y55" s="579"/>
      <c r="Z55" s="579"/>
      <c r="AA55" s="579"/>
      <c r="AB55" s="579"/>
    </row>
  </sheetData>
  <sheetProtection password="B8D9" sheet="1" objects="1" scenarios="1"/>
  <mergeCells count="19">
    <mergeCell ref="S35:T35"/>
    <mergeCell ref="U35:V35"/>
    <mergeCell ref="W35:X35"/>
    <mergeCell ref="Y35:Z35"/>
    <mergeCell ref="A37:A50"/>
    <mergeCell ref="I37:N50"/>
    <mergeCell ref="U1:V1"/>
    <mergeCell ref="W1:X1"/>
    <mergeCell ref="Y1:Z1"/>
    <mergeCell ref="A35:B35"/>
    <mergeCell ref="C35:H35"/>
    <mergeCell ref="I35:N36"/>
    <mergeCell ref="O35:P35"/>
    <mergeCell ref="A1:B1"/>
    <mergeCell ref="C1:H1"/>
    <mergeCell ref="O1:P1"/>
    <mergeCell ref="Q1:R1"/>
    <mergeCell ref="S1:T1"/>
    <mergeCell ref="Q35:R35"/>
  </mergeCells>
  <printOptions horizontalCentered="1"/>
  <pageMargins left="0" right="0" top="0.27559055118110237" bottom="0.51181102362204722" header="0.15748031496062992" footer="0.19685039370078741"/>
  <pageSetup paperSize="9" scale="55"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37.xml><?xml version="1.0" encoding="utf-8"?>
<worksheet xmlns="http://schemas.openxmlformats.org/spreadsheetml/2006/main" xmlns:r="http://schemas.openxmlformats.org/officeDocument/2006/relationships">
  <sheetPr codeName="Sheet36">
    <pageSetUpPr fitToPage="1"/>
  </sheetPr>
  <dimension ref="B1:AA44"/>
  <sheetViews>
    <sheetView workbookViewId="0"/>
  </sheetViews>
  <sheetFormatPr defaultRowHeight="12.75"/>
  <cols>
    <col min="1" max="1" width="2.7109375" style="336" customWidth="1"/>
    <col min="2" max="16384" width="9.140625" style="336"/>
  </cols>
  <sheetData>
    <row r="1" spans="2:27" s="648" customFormat="1">
      <c r="B1" s="26" t="s">
        <v>669</v>
      </c>
      <c r="C1" s="26"/>
      <c r="D1" s="26"/>
      <c r="E1" s="26"/>
      <c r="F1" s="26"/>
      <c r="G1" s="26"/>
      <c r="H1" s="26"/>
      <c r="I1" s="26"/>
      <c r="J1" s="26"/>
      <c r="K1" s="26"/>
      <c r="L1" s="26"/>
      <c r="M1" s="26"/>
      <c r="N1" s="26"/>
      <c r="O1" s="26"/>
      <c r="P1" s="802" t="s">
        <v>48</v>
      </c>
      <c r="Q1" s="26"/>
      <c r="R1" s="26"/>
      <c r="S1" s="26"/>
      <c r="T1" s="26"/>
    </row>
    <row r="2" spans="2:27" s="648" customFormat="1" ht="12.75" customHeight="1">
      <c r="B2" s="868" t="s">
        <v>13</v>
      </c>
      <c r="C2" s="868"/>
      <c r="D2" s="868"/>
      <c r="E2" s="868"/>
      <c r="F2" s="868"/>
      <c r="G2" s="868"/>
      <c r="H2" s="868"/>
      <c r="I2" s="868"/>
      <c r="J2" s="868"/>
      <c r="K2" s="868"/>
      <c r="L2" s="868"/>
      <c r="M2" s="868"/>
      <c r="O2" s="27"/>
      <c r="P2" s="802"/>
      <c r="Q2" s="28"/>
      <c r="R2" s="803"/>
      <c r="S2" s="803"/>
      <c r="T2" s="803"/>
    </row>
    <row r="3" spans="2:27" s="648" customFormat="1" ht="12.75" customHeight="1">
      <c r="B3" s="868"/>
      <c r="C3" s="868"/>
      <c r="D3" s="868"/>
      <c r="E3" s="868"/>
      <c r="F3" s="868"/>
      <c r="G3" s="868"/>
      <c r="H3" s="868"/>
      <c r="I3" s="868"/>
      <c r="J3" s="868"/>
      <c r="K3" s="868"/>
      <c r="L3" s="868"/>
      <c r="M3" s="868"/>
      <c r="O3" s="589"/>
      <c r="P3" s="802"/>
      <c r="Q3" s="29"/>
      <c r="R3" s="645"/>
      <c r="S3" s="645"/>
      <c r="T3" s="645"/>
    </row>
    <row r="4" spans="2:27" s="648" customFormat="1" ht="12.75" customHeight="1">
      <c r="B4" s="869" t="s">
        <v>311</v>
      </c>
      <c r="C4" s="869"/>
      <c r="D4" s="869"/>
      <c r="E4" s="869"/>
      <c r="F4" s="869"/>
      <c r="G4" s="869"/>
      <c r="H4" s="869"/>
      <c r="I4" s="869"/>
      <c r="J4" s="869"/>
      <c r="K4" s="869"/>
      <c r="L4" s="869"/>
      <c r="M4" s="284"/>
      <c r="N4" s="284"/>
      <c r="O4" s="27"/>
      <c r="P4" s="802"/>
      <c r="Q4" s="646"/>
      <c r="R4" s="27"/>
      <c r="S4" s="28"/>
      <c r="T4" s="28"/>
      <c r="U4" s="28"/>
      <c r="V4" s="28"/>
      <c r="W4" s="28"/>
      <c r="X4" s="28"/>
      <c r="Y4" s="28"/>
      <c r="Z4" s="645"/>
      <c r="AA4" s="645"/>
    </row>
    <row r="5" spans="2:27" s="648" customFormat="1" ht="12.75" customHeight="1">
      <c r="B5" s="869"/>
      <c r="C5" s="869"/>
      <c r="D5" s="869"/>
      <c r="E5" s="869"/>
      <c r="F5" s="869"/>
      <c r="G5" s="869"/>
      <c r="H5" s="869"/>
      <c r="I5" s="869"/>
      <c r="J5" s="869"/>
      <c r="K5" s="869"/>
      <c r="L5" s="869"/>
      <c r="M5" s="284"/>
      <c r="N5" s="284"/>
      <c r="O5" s="27"/>
      <c r="P5" s="92"/>
      <c r="Q5" s="30"/>
      <c r="R5" s="30"/>
      <c r="S5" s="29"/>
      <c r="T5" s="645"/>
      <c r="U5" s="645"/>
      <c r="V5" s="645"/>
      <c r="W5" s="645"/>
      <c r="X5" s="645"/>
      <c r="Y5" s="645"/>
      <c r="Z5" s="645"/>
      <c r="AA5" s="645"/>
    </row>
    <row r="6" spans="2:27" s="648" customFormat="1" ht="15" customHeight="1">
      <c r="B6" s="869"/>
      <c r="C6" s="869"/>
      <c r="D6" s="869"/>
      <c r="E6" s="869"/>
      <c r="F6" s="869"/>
      <c r="G6" s="869"/>
      <c r="H6" s="869"/>
      <c r="I6" s="869"/>
      <c r="J6" s="869"/>
      <c r="K6" s="869"/>
      <c r="L6" s="869"/>
      <c r="M6" s="644"/>
      <c r="N6" s="644"/>
      <c r="O6" s="30"/>
      <c r="P6" s="30"/>
      <c r="Q6" s="29"/>
      <c r="R6" s="645"/>
      <c r="S6" s="645"/>
      <c r="T6" s="645"/>
    </row>
    <row r="12" spans="2:27">
      <c r="Q12" s="607"/>
    </row>
    <row r="41" spans="2:17" s="648" customFormat="1">
      <c r="B41" s="32" t="s">
        <v>633</v>
      </c>
      <c r="C41" s="33"/>
      <c r="D41" s="34"/>
      <c r="E41" s="34"/>
      <c r="F41" s="34"/>
      <c r="G41" s="34"/>
      <c r="H41" s="34"/>
      <c r="I41" s="34"/>
      <c r="J41" s="34"/>
      <c r="K41" s="34"/>
      <c r="L41" s="642"/>
      <c r="M41" s="642"/>
      <c r="N41" s="35"/>
      <c r="O41" s="35"/>
      <c r="P41" s="35"/>
      <c r="Q41" s="35"/>
    </row>
    <row r="42" spans="2:17" s="648" customFormat="1" ht="21.75" customHeight="1">
      <c r="B42" s="870" t="s">
        <v>641</v>
      </c>
      <c r="C42" s="870"/>
      <c r="D42" s="870"/>
      <c r="E42" s="870"/>
      <c r="F42" s="870"/>
      <c r="G42" s="870"/>
      <c r="H42" s="870"/>
      <c r="I42" s="870"/>
      <c r="J42" s="870"/>
      <c r="K42" s="870"/>
      <c r="L42" s="870"/>
      <c r="M42" s="870"/>
      <c r="N42" s="870"/>
      <c r="O42" s="870"/>
      <c r="P42" s="870"/>
    </row>
    <row r="43" spans="2:17" s="648" customFormat="1" ht="21.75" customHeight="1">
      <c r="B43" s="870"/>
      <c r="C43" s="870"/>
      <c r="D43" s="870"/>
      <c r="E43" s="870"/>
      <c r="F43" s="870"/>
      <c r="G43" s="870"/>
      <c r="H43" s="870"/>
      <c r="I43" s="870"/>
      <c r="J43" s="870"/>
      <c r="K43" s="870"/>
      <c r="L43" s="870"/>
      <c r="M43" s="870"/>
      <c r="N43" s="870"/>
      <c r="O43" s="870"/>
      <c r="P43" s="870"/>
    </row>
    <row r="44" spans="2:17" s="648" customFormat="1" ht="23.25" customHeight="1">
      <c r="B44" s="867" t="s">
        <v>297</v>
      </c>
      <c r="C44" s="784"/>
      <c r="D44" s="784"/>
      <c r="E44" s="784"/>
      <c r="F44" s="784"/>
      <c r="G44" s="784"/>
      <c r="H44" s="784"/>
      <c r="I44" s="784"/>
      <c r="J44" s="784"/>
      <c r="K44" s="784"/>
      <c r="L44" s="784"/>
      <c r="M44" s="784"/>
      <c r="N44" s="784"/>
      <c r="O44" s="784"/>
      <c r="P44" s="784"/>
    </row>
  </sheetData>
  <sheetProtection password="B8D9" sheet="1" objects="1" scenarios="1"/>
  <mergeCells count="6">
    <mergeCell ref="B2:M3"/>
    <mergeCell ref="R2:T2"/>
    <mergeCell ref="B4:L6"/>
    <mergeCell ref="B42:P43"/>
    <mergeCell ref="B44:P44"/>
    <mergeCell ref="P1:P4"/>
  </mergeCells>
  <hyperlinks>
    <hyperlink ref="P1" location="'List of Tables &amp; Charts'!A1" display="return to List of Tables &amp; Charts"/>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38.xml><?xml version="1.0" encoding="utf-8"?>
<worksheet xmlns="http://schemas.openxmlformats.org/spreadsheetml/2006/main" xmlns:r="http://schemas.openxmlformats.org/officeDocument/2006/relationships">
  <sheetPr codeName="Sheet40">
    <pageSetUpPr fitToPage="1"/>
  </sheetPr>
  <dimension ref="A1:AB54"/>
  <sheetViews>
    <sheetView showGridLines="0" workbookViewId="0">
      <selection sqref="A1:B1"/>
    </sheetView>
  </sheetViews>
  <sheetFormatPr defaultRowHeight="12.75"/>
  <cols>
    <col min="1" max="1" width="16.7109375" style="648" customWidth="1"/>
    <col min="2" max="2" width="45.7109375" style="648" bestFit="1" customWidth="1"/>
    <col min="3" max="8" width="6.7109375" style="642" customWidth="1"/>
    <col min="9" max="14" width="2.7109375" style="642" customWidth="1"/>
    <col min="15" max="15" width="9.28515625" style="648" customWidth="1"/>
    <col min="16" max="16" width="11.28515625" style="648" customWidth="1"/>
    <col min="17" max="17" width="9.28515625" style="648" customWidth="1"/>
    <col min="18" max="18" width="11.28515625" style="648" customWidth="1"/>
    <col min="19" max="19" width="9.28515625" style="648" customWidth="1"/>
    <col min="20" max="20" width="11.28515625" style="648" customWidth="1"/>
    <col min="21" max="21" width="9.28515625" style="648" customWidth="1"/>
    <col min="22" max="22" width="11.28515625" style="648" customWidth="1"/>
    <col min="23" max="23" width="9.28515625" style="648" customWidth="1"/>
    <col min="24" max="24" width="11.28515625" style="648" customWidth="1"/>
    <col min="25" max="25" width="9.28515625" style="648" customWidth="1"/>
    <col min="26" max="26" width="11.28515625" style="648" customWidth="1"/>
    <col min="27" max="16384" width="9.140625" style="648"/>
  </cols>
  <sheetData>
    <row r="1" spans="1:28" ht="25.5" customHeight="1">
      <c r="A1" s="853">
        <v>2014</v>
      </c>
      <c r="B1" s="850"/>
      <c r="C1" s="881" t="s">
        <v>44</v>
      </c>
      <c r="D1" s="882"/>
      <c r="E1" s="882"/>
      <c r="F1" s="882"/>
      <c r="G1" s="882"/>
      <c r="H1" s="883"/>
      <c r="I1" s="37"/>
      <c r="J1" s="37"/>
      <c r="K1" s="37"/>
      <c r="L1" s="63"/>
      <c r="M1" s="618"/>
      <c r="N1" s="617"/>
      <c r="O1" s="857" t="s">
        <v>51</v>
      </c>
      <c r="P1" s="857"/>
      <c r="Q1" s="857" t="s">
        <v>145</v>
      </c>
      <c r="R1" s="857"/>
      <c r="S1" s="857" t="s">
        <v>146</v>
      </c>
      <c r="T1" s="857"/>
      <c r="U1" s="857" t="s">
        <v>147</v>
      </c>
      <c r="V1" s="857"/>
      <c r="W1" s="857" t="s">
        <v>148</v>
      </c>
      <c r="X1" s="857"/>
      <c r="Y1" s="857" t="s">
        <v>149</v>
      </c>
      <c r="Z1" s="871"/>
    </row>
    <row r="2" spans="1:28" ht="45" customHeight="1">
      <c r="A2" s="38" t="s">
        <v>26</v>
      </c>
      <c r="B2" s="39" t="s">
        <v>27</v>
      </c>
      <c r="C2" s="40" t="s">
        <v>54</v>
      </c>
      <c r="D2" s="40" t="s">
        <v>150</v>
      </c>
      <c r="E2" s="40" t="s">
        <v>151</v>
      </c>
      <c r="F2" s="40" t="s">
        <v>152</v>
      </c>
      <c r="G2" s="40" t="s">
        <v>153</v>
      </c>
      <c r="H2" s="40" t="s">
        <v>154</v>
      </c>
      <c r="I2" s="42" t="s">
        <v>155</v>
      </c>
      <c r="J2" s="42" t="s">
        <v>156</v>
      </c>
      <c r="K2" s="42" t="s">
        <v>157</v>
      </c>
      <c r="L2" s="64" t="s">
        <v>158</v>
      </c>
      <c r="M2" s="616" t="s">
        <v>153</v>
      </c>
      <c r="N2" s="615" t="s">
        <v>280</v>
      </c>
      <c r="O2" s="43" t="s">
        <v>28</v>
      </c>
      <c r="P2" s="43" t="s">
        <v>29</v>
      </c>
      <c r="Q2" s="43" t="s">
        <v>28</v>
      </c>
      <c r="R2" s="43" t="s">
        <v>29</v>
      </c>
      <c r="S2" s="43" t="s">
        <v>28</v>
      </c>
      <c r="T2" s="43" t="s">
        <v>29</v>
      </c>
      <c r="U2" s="43" t="s">
        <v>28</v>
      </c>
      <c r="V2" s="43" t="s">
        <v>29</v>
      </c>
      <c r="W2" s="43" t="s">
        <v>28</v>
      </c>
      <c r="X2" s="43" t="s">
        <v>29</v>
      </c>
      <c r="Y2" s="43" t="s">
        <v>28</v>
      </c>
      <c r="Z2" s="65" t="s">
        <v>29</v>
      </c>
      <c r="AA2" s="44" t="s">
        <v>144</v>
      </c>
    </row>
    <row r="3" spans="1:28">
      <c r="A3" s="45" t="s">
        <v>137</v>
      </c>
      <c r="B3" s="45" t="s">
        <v>137</v>
      </c>
      <c r="C3" s="46">
        <f t="shared" ref="C3:C31" si="0">IF(ISERR(O3/P3*100),"",O3/P3*100)</f>
        <v>66.727709740185418</v>
      </c>
      <c r="D3" s="46">
        <f t="shared" ref="D3:D31" si="1">IF(ISERR(Q3/R3*100),"",Q3/R3*100)</f>
        <v>54.160466979512421</v>
      </c>
      <c r="E3" s="46">
        <f t="shared" ref="E3:E31" si="2">IF(ISERR(S3/T3*100),"",S3/T3*100)</f>
        <v>65.915073823967035</v>
      </c>
      <c r="F3" s="46">
        <f t="shared" ref="F3:F31" si="3">IF(ISERR(U3/V3*100),"",U3/V3*100)</f>
        <v>75.769715005150502</v>
      </c>
      <c r="G3" s="46">
        <f t="shared" ref="G3:G31" si="4">IF(ISERR(W3/X3*100),"",W3/X3*100)</f>
        <v>89.710426919995427</v>
      </c>
      <c r="H3" s="46">
        <f t="shared" ref="H3:H31" si="5">IF(ISERR(Y3/Z3*100),"",Y3/Z3*100)</f>
        <v>8.4926176032963259</v>
      </c>
      <c r="I3" s="614">
        <f t="shared" ref="I3:K31" si="6">E3-D3</f>
        <v>11.754606844454614</v>
      </c>
      <c r="J3" s="613">
        <f t="shared" si="6"/>
        <v>9.8546411811834673</v>
      </c>
      <c r="K3" s="613">
        <f t="shared" si="6"/>
        <v>13.940711914844925</v>
      </c>
      <c r="L3" s="612">
        <f t="shared" ref="L3:L31" si="7">G3-E3</f>
        <v>23.795353096028393</v>
      </c>
      <c r="M3" s="612">
        <f t="shared" ref="M3:M31" si="8">G3-D3</f>
        <v>35.549959940483006</v>
      </c>
      <c r="N3" s="611">
        <v>90</v>
      </c>
      <c r="O3" s="427">
        <f t="shared" ref="O3:Z3" si="9">SUM(O4:O31)</f>
        <v>5830</v>
      </c>
      <c r="P3" s="427">
        <f t="shared" si="9"/>
        <v>8737</v>
      </c>
      <c r="Q3" s="427">
        <f t="shared" si="9"/>
        <v>4732</v>
      </c>
      <c r="R3" s="427">
        <f t="shared" si="9"/>
        <v>8737</v>
      </c>
      <c r="S3" s="427">
        <f t="shared" si="9"/>
        <v>5759</v>
      </c>
      <c r="T3" s="427">
        <f t="shared" si="9"/>
        <v>8737</v>
      </c>
      <c r="U3" s="427">
        <f t="shared" si="9"/>
        <v>6620</v>
      </c>
      <c r="V3" s="427">
        <f t="shared" si="9"/>
        <v>8737</v>
      </c>
      <c r="W3" s="427">
        <f t="shared" si="9"/>
        <v>7838</v>
      </c>
      <c r="X3" s="427">
        <f t="shared" si="9"/>
        <v>8737</v>
      </c>
      <c r="Y3" s="427">
        <f t="shared" si="9"/>
        <v>742</v>
      </c>
      <c r="Z3" s="427">
        <f t="shared" si="9"/>
        <v>8737</v>
      </c>
      <c r="AA3" s="44"/>
      <c r="AB3" s="368"/>
    </row>
    <row r="4" spans="1:28">
      <c r="A4" s="45" t="s">
        <v>61</v>
      </c>
      <c r="B4" s="45" t="s">
        <v>60</v>
      </c>
      <c r="C4" s="46">
        <f t="shared" si="0"/>
        <v>45.333333333333329</v>
      </c>
      <c r="D4" s="46">
        <f t="shared" si="1"/>
        <v>33</v>
      </c>
      <c r="E4" s="46">
        <f t="shared" si="2"/>
        <v>44</v>
      </c>
      <c r="F4" s="46">
        <f t="shared" si="3"/>
        <v>56.000000000000007</v>
      </c>
      <c r="G4" s="46">
        <f t="shared" si="4"/>
        <v>76.666666666666671</v>
      </c>
      <c r="H4" s="46">
        <f t="shared" si="5"/>
        <v>22.666666666666664</v>
      </c>
      <c r="I4" s="593">
        <f t="shared" si="6"/>
        <v>11</v>
      </c>
      <c r="J4" s="593">
        <f t="shared" si="6"/>
        <v>12.000000000000007</v>
      </c>
      <c r="K4" s="593">
        <f t="shared" si="6"/>
        <v>20.666666666666664</v>
      </c>
      <c r="L4" s="610">
        <f t="shared" si="7"/>
        <v>32.666666666666671</v>
      </c>
      <c r="M4" s="610">
        <f t="shared" si="8"/>
        <v>43.666666666666671</v>
      </c>
      <c r="N4" s="591">
        <v>90</v>
      </c>
      <c r="O4" s="427">
        <v>136</v>
      </c>
      <c r="P4" s="427">
        <v>300</v>
      </c>
      <c r="Q4" s="427">
        <v>99</v>
      </c>
      <c r="R4" s="427">
        <v>300</v>
      </c>
      <c r="S4" s="427">
        <v>132</v>
      </c>
      <c r="T4" s="427">
        <v>300</v>
      </c>
      <c r="U4" s="427">
        <v>168</v>
      </c>
      <c r="V4" s="427">
        <v>300</v>
      </c>
      <c r="W4" s="427">
        <v>230</v>
      </c>
      <c r="X4" s="427">
        <v>300</v>
      </c>
      <c r="Y4" s="427">
        <v>68</v>
      </c>
      <c r="Z4" s="427">
        <v>300</v>
      </c>
      <c r="AA4" s="212"/>
      <c r="AB4" s="212"/>
    </row>
    <row r="5" spans="1:28">
      <c r="A5" s="45" t="s">
        <v>63</v>
      </c>
      <c r="B5" s="45" t="s">
        <v>64</v>
      </c>
      <c r="C5" s="46">
        <f t="shared" si="0"/>
        <v>53.731343283582092</v>
      </c>
      <c r="D5" s="46">
        <f t="shared" si="1"/>
        <v>40.597014925373131</v>
      </c>
      <c r="E5" s="46">
        <f t="shared" si="2"/>
        <v>52.537313432835816</v>
      </c>
      <c r="F5" s="46">
        <f t="shared" si="3"/>
        <v>67.46268656716417</v>
      </c>
      <c r="G5" s="46">
        <f t="shared" si="4"/>
        <v>89.253731343283576</v>
      </c>
      <c r="H5" s="46">
        <f t="shared" si="5"/>
        <v>9.5522388059701502</v>
      </c>
      <c r="I5" s="593">
        <f t="shared" si="6"/>
        <v>11.940298507462686</v>
      </c>
      <c r="J5" s="593">
        <f t="shared" si="6"/>
        <v>14.925373134328353</v>
      </c>
      <c r="K5" s="593">
        <f t="shared" si="6"/>
        <v>21.791044776119406</v>
      </c>
      <c r="L5" s="610">
        <f t="shared" si="7"/>
        <v>36.71641791044776</v>
      </c>
      <c r="M5" s="610">
        <f t="shared" si="8"/>
        <v>48.656716417910445</v>
      </c>
      <c r="N5" s="591">
        <v>90</v>
      </c>
      <c r="O5" s="427">
        <v>180</v>
      </c>
      <c r="P5" s="427">
        <v>335</v>
      </c>
      <c r="Q5" s="427">
        <v>136</v>
      </c>
      <c r="R5" s="427">
        <v>335</v>
      </c>
      <c r="S5" s="427">
        <v>176</v>
      </c>
      <c r="T5" s="427">
        <v>335</v>
      </c>
      <c r="U5" s="427">
        <v>226</v>
      </c>
      <c r="V5" s="427">
        <v>335</v>
      </c>
      <c r="W5" s="427">
        <v>299</v>
      </c>
      <c r="X5" s="427">
        <v>335</v>
      </c>
      <c r="Y5" s="427">
        <v>32</v>
      </c>
      <c r="Z5" s="427">
        <v>335</v>
      </c>
      <c r="AA5" s="212"/>
      <c r="AB5" s="212"/>
    </row>
    <row r="6" spans="1:28">
      <c r="A6" s="45" t="s">
        <v>30</v>
      </c>
      <c r="B6" s="45" t="s">
        <v>66</v>
      </c>
      <c r="C6" s="46">
        <f t="shared" si="0"/>
        <v>77.669902912621353</v>
      </c>
      <c r="D6" s="46">
        <f t="shared" si="1"/>
        <v>65.533980582524279</v>
      </c>
      <c r="E6" s="46">
        <f t="shared" si="2"/>
        <v>78.640776699029118</v>
      </c>
      <c r="F6" s="46">
        <f t="shared" si="3"/>
        <v>89.320388349514573</v>
      </c>
      <c r="G6" s="46">
        <f t="shared" si="4"/>
        <v>98.543689320388353</v>
      </c>
      <c r="H6" s="46">
        <f t="shared" si="5"/>
        <v>0.97087378640776689</v>
      </c>
      <c r="I6" s="601">
        <f t="shared" si="6"/>
        <v>13.106796116504839</v>
      </c>
      <c r="J6" s="601">
        <f t="shared" si="6"/>
        <v>10.679611650485455</v>
      </c>
      <c r="K6" s="601">
        <f t="shared" si="6"/>
        <v>9.2233009708737796</v>
      </c>
      <c r="L6" s="609">
        <f t="shared" si="7"/>
        <v>19.902912621359235</v>
      </c>
      <c r="M6" s="609">
        <f t="shared" si="8"/>
        <v>33.009708737864074</v>
      </c>
      <c r="N6" s="599">
        <v>90</v>
      </c>
      <c r="O6" s="427">
        <v>160</v>
      </c>
      <c r="P6" s="427">
        <v>206</v>
      </c>
      <c r="Q6" s="427">
        <v>135</v>
      </c>
      <c r="R6" s="427">
        <v>206</v>
      </c>
      <c r="S6" s="427">
        <v>162</v>
      </c>
      <c r="T6" s="427">
        <v>206</v>
      </c>
      <c r="U6" s="427">
        <v>184</v>
      </c>
      <c r="V6" s="427">
        <v>206</v>
      </c>
      <c r="W6" s="427">
        <v>203</v>
      </c>
      <c r="X6" s="427">
        <v>206</v>
      </c>
      <c r="Y6" s="427">
        <v>2</v>
      </c>
      <c r="Z6" s="427">
        <v>206</v>
      </c>
      <c r="AA6" s="212"/>
      <c r="AB6" s="212"/>
    </row>
    <row r="7" spans="1:28">
      <c r="A7" s="45" t="s">
        <v>68</v>
      </c>
      <c r="B7" s="45" t="s">
        <v>69</v>
      </c>
      <c r="C7" s="46">
        <f t="shared" si="0"/>
        <v>64.682539682539684</v>
      </c>
      <c r="D7" s="46">
        <f t="shared" si="1"/>
        <v>49.206349206349202</v>
      </c>
      <c r="E7" s="46">
        <f t="shared" si="2"/>
        <v>63.888888888888886</v>
      </c>
      <c r="F7" s="46">
        <f t="shared" si="3"/>
        <v>74.603174603174608</v>
      </c>
      <c r="G7" s="46">
        <f t="shared" si="4"/>
        <v>90.873015873015873</v>
      </c>
      <c r="H7" s="46">
        <f t="shared" si="5"/>
        <v>6.746031746031746</v>
      </c>
      <c r="I7" s="601">
        <f t="shared" si="6"/>
        <v>14.682539682539684</v>
      </c>
      <c r="J7" s="601">
        <f t="shared" si="6"/>
        <v>10.714285714285722</v>
      </c>
      <c r="K7" s="601">
        <f t="shared" si="6"/>
        <v>16.269841269841265</v>
      </c>
      <c r="L7" s="609">
        <f t="shared" si="7"/>
        <v>26.984126984126988</v>
      </c>
      <c r="M7" s="609">
        <f t="shared" si="8"/>
        <v>41.666666666666671</v>
      </c>
      <c r="N7" s="599">
        <v>90</v>
      </c>
      <c r="O7" s="427">
        <v>163</v>
      </c>
      <c r="P7" s="427">
        <v>252</v>
      </c>
      <c r="Q7" s="427">
        <v>124</v>
      </c>
      <c r="R7" s="427">
        <v>252</v>
      </c>
      <c r="S7" s="427">
        <v>161</v>
      </c>
      <c r="T7" s="427">
        <v>252</v>
      </c>
      <c r="U7" s="427">
        <v>188</v>
      </c>
      <c r="V7" s="427">
        <v>252</v>
      </c>
      <c r="W7" s="427">
        <v>229</v>
      </c>
      <c r="X7" s="427">
        <v>252</v>
      </c>
      <c r="Y7" s="427">
        <v>17</v>
      </c>
      <c r="Z7" s="427">
        <v>252</v>
      </c>
      <c r="AA7" s="212"/>
      <c r="AB7" s="212"/>
    </row>
    <row r="8" spans="1:28">
      <c r="A8" s="45" t="s">
        <v>71</v>
      </c>
      <c r="B8" s="45" t="s">
        <v>72</v>
      </c>
      <c r="C8" s="46">
        <f t="shared" si="0"/>
        <v>87.179487179487182</v>
      </c>
      <c r="D8" s="46">
        <f t="shared" si="1"/>
        <v>79.487179487179489</v>
      </c>
      <c r="E8" s="46">
        <f t="shared" si="2"/>
        <v>87.179487179487182</v>
      </c>
      <c r="F8" s="46">
        <f t="shared" si="3"/>
        <v>94.871794871794862</v>
      </c>
      <c r="G8" s="46">
        <f t="shared" si="4"/>
        <v>100</v>
      </c>
      <c r="H8" s="46">
        <f t="shared" si="5"/>
        <v>0</v>
      </c>
      <c r="I8" s="601">
        <f t="shared" si="6"/>
        <v>7.6923076923076934</v>
      </c>
      <c r="J8" s="601">
        <f t="shared" si="6"/>
        <v>7.6923076923076792</v>
      </c>
      <c r="K8" s="601">
        <f t="shared" si="6"/>
        <v>5.1282051282051384</v>
      </c>
      <c r="L8" s="609">
        <f t="shared" si="7"/>
        <v>12.820512820512818</v>
      </c>
      <c r="M8" s="609">
        <f t="shared" si="8"/>
        <v>20.512820512820511</v>
      </c>
      <c r="N8" s="599">
        <v>90</v>
      </c>
      <c r="O8" s="427">
        <v>34</v>
      </c>
      <c r="P8" s="427">
        <v>39</v>
      </c>
      <c r="Q8" s="427">
        <v>31</v>
      </c>
      <c r="R8" s="427">
        <v>39</v>
      </c>
      <c r="S8" s="427">
        <v>34</v>
      </c>
      <c r="T8" s="427">
        <v>39</v>
      </c>
      <c r="U8" s="427">
        <v>37</v>
      </c>
      <c r="V8" s="427">
        <v>39</v>
      </c>
      <c r="W8" s="427">
        <v>39</v>
      </c>
      <c r="X8" s="427">
        <v>39</v>
      </c>
      <c r="Y8" s="427">
        <v>0</v>
      </c>
      <c r="Z8" s="427">
        <v>39</v>
      </c>
      <c r="AA8" s="212"/>
      <c r="AB8" s="212"/>
    </row>
    <row r="9" spans="1:28">
      <c r="A9" s="45" t="s">
        <v>177</v>
      </c>
      <c r="B9" s="45" t="s">
        <v>74</v>
      </c>
      <c r="C9" s="46">
        <f t="shared" si="0"/>
        <v>72.65500794912559</v>
      </c>
      <c r="D9" s="46">
        <f t="shared" si="1"/>
        <v>61.526232114467405</v>
      </c>
      <c r="E9" s="46">
        <f t="shared" si="2"/>
        <v>73.608903020667725</v>
      </c>
      <c r="F9" s="46">
        <f t="shared" si="3"/>
        <v>82.988871224165337</v>
      </c>
      <c r="G9" s="46">
        <f t="shared" si="4"/>
        <v>93.322734499205083</v>
      </c>
      <c r="H9" s="46">
        <f t="shared" si="5"/>
        <v>5.4054054054054053</v>
      </c>
      <c r="I9" s="601">
        <f t="shared" si="6"/>
        <v>12.08267090620032</v>
      </c>
      <c r="J9" s="601">
        <f t="shared" si="6"/>
        <v>9.3799682034976115</v>
      </c>
      <c r="K9" s="601">
        <f t="shared" si="6"/>
        <v>10.333863275039747</v>
      </c>
      <c r="L9" s="609">
        <f t="shared" si="7"/>
        <v>19.713831478537358</v>
      </c>
      <c r="M9" s="609">
        <f t="shared" si="8"/>
        <v>31.796502384737678</v>
      </c>
      <c r="N9" s="599">
        <v>90</v>
      </c>
      <c r="O9" s="427">
        <v>457</v>
      </c>
      <c r="P9" s="427">
        <v>629</v>
      </c>
      <c r="Q9" s="427">
        <v>387</v>
      </c>
      <c r="R9" s="427">
        <v>629</v>
      </c>
      <c r="S9" s="427">
        <v>463</v>
      </c>
      <c r="T9" s="427">
        <v>629</v>
      </c>
      <c r="U9" s="427">
        <v>522</v>
      </c>
      <c r="V9" s="427">
        <v>629</v>
      </c>
      <c r="W9" s="427">
        <v>587</v>
      </c>
      <c r="X9" s="427">
        <v>629</v>
      </c>
      <c r="Y9" s="427">
        <v>34</v>
      </c>
      <c r="Z9" s="427">
        <v>629</v>
      </c>
      <c r="AA9" s="212"/>
      <c r="AB9" s="212"/>
    </row>
    <row r="10" spans="1:28">
      <c r="A10" s="45" t="s">
        <v>186</v>
      </c>
      <c r="B10" s="45" t="s">
        <v>76</v>
      </c>
      <c r="C10" s="46">
        <f t="shared" si="0"/>
        <v>60.869565217391312</v>
      </c>
      <c r="D10" s="46">
        <f t="shared" si="1"/>
        <v>43.280632411067195</v>
      </c>
      <c r="E10" s="46">
        <f t="shared" si="2"/>
        <v>60.671936758893288</v>
      </c>
      <c r="F10" s="46">
        <f t="shared" si="3"/>
        <v>74.505928853754938</v>
      </c>
      <c r="G10" s="46">
        <f t="shared" si="4"/>
        <v>94.664031620553359</v>
      </c>
      <c r="H10" s="46">
        <f t="shared" si="5"/>
        <v>4.9407114624505928</v>
      </c>
      <c r="I10" s="601">
        <f t="shared" si="6"/>
        <v>17.391304347826093</v>
      </c>
      <c r="J10" s="601">
        <f t="shared" si="6"/>
        <v>13.833992094861649</v>
      </c>
      <c r="K10" s="601">
        <f t="shared" si="6"/>
        <v>20.158102766798422</v>
      </c>
      <c r="L10" s="609">
        <f t="shared" si="7"/>
        <v>33.992094861660071</v>
      </c>
      <c r="M10" s="609">
        <f t="shared" si="8"/>
        <v>51.383399209486164</v>
      </c>
      <c r="N10" s="599">
        <v>90</v>
      </c>
      <c r="O10" s="427">
        <v>308</v>
      </c>
      <c r="P10" s="427">
        <v>506</v>
      </c>
      <c r="Q10" s="427">
        <v>219</v>
      </c>
      <c r="R10" s="427">
        <v>506</v>
      </c>
      <c r="S10" s="427">
        <v>307</v>
      </c>
      <c r="T10" s="427">
        <v>506</v>
      </c>
      <c r="U10" s="427">
        <v>377</v>
      </c>
      <c r="V10" s="427">
        <v>506</v>
      </c>
      <c r="W10" s="427">
        <v>479</v>
      </c>
      <c r="X10" s="427">
        <v>506</v>
      </c>
      <c r="Y10" s="427">
        <v>25</v>
      </c>
      <c r="Z10" s="427">
        <v>506</v>
      </c>
      <c r="AA10" s="212"/>
      <c r="AB10" s="212"/>
    </row>
    <row r="11" spans="1:28">
      <c r="A11" s="45" t="s">
        <v>178</v>
      </c>
      <c r="B11" s="45" t="s">
        <v>78</v>
      </c>
      <c r="C11" s="46">
        <f t="shared" si="0"/>
        <v>74.919093851132686</v>
      </c>
      <c r="D11" s="46">
        <f t="shared" si="1"/>
        <v>67.475728155339809</v>
      </c>
      <c r="E11" s="46">
        <f t="shared" si="2"/>
        <v>73.624595469255667</v>
      </c>
      <c r="F11" s="46">
        <f t="shared" si="3"/>
        <v>79.773462783171524</v>
      </c>
      <c r="G11" s="46">
        <f t="shared" si="4"/>
        <v>89.805825242718456</v>
      </c>
      <c r="H11" s="46">
        <f t="shared" si="5"/>
        <v>7.1197411003236244</v>
      </c>
      <c r="I11" s="601">
        <f t="shared" si="6"/>
        <v>6.1488673139158578</v>
      </c>
      <c r="J11" s="601">
        <f t="shared" si="6"/>
        <v>6.1488673139158578</v>
      </c>
      <c r="K11" s="601">
        <f t="shared" si="6"/>
        <v>10.032362459546931</v>
      </c>
      <c r="L11" s="609">
        <f t="shared" si="7"/>
        <v>16.181229773462789</v>
      </c>
      <c r="M11" s="609">
        <f t="shared" si="8"/>
        <v>22.330097087378647</v>
      </c>
      <c r="N11" s="599">
        <v>90</v>
      </c>
      <c r="O11" s="427">
        <v>463</v>
      </c>
      <c r="P11" s="427">
        <v>618</v>
      </c>
      <c r="Q11" s="427">
        <v>417</v>
      </c>
      <c r="R11" s="427">
        <v>618</v>
      </c>
      <c r="S11" s="427">
        <v>455</v>
      </c>
      <c r="T11" s="427">
        <v>618</v>
      </c>
      <c r="U11" s="427">
        <v>493</v>
      </c>
      <c r="V11" s="427">
        <v>618</v>
      </c>
      <c r="W11" s="427">
        <v>555</v>
      </c>
      <c r="X11" s="427">
        <v>618</v>
      </c>
      <c r="Y11" s="427">
        <v>44</v>
      </c>
      <c r="Z11" s="427">
        <v>618</v>
      </c>
      <c r="AA11" s="212"/>
      <c r="AB11" s="212"/>
    </row>
    <row r="12" spans="1:28">
      <c r="A12" s="45" t="s">
        <v>80</v>
      </c>
      <c r="B12" s="45" t="s">
        <v>81</v>
      </c>
      <c r="C12" s="46">
        <f t="shared" si="0"/>
        <v>77.777777777777786</v>
      </c>
      <c r="D12" s="46">
        <f t="shared" si="1"/>
        <v>60.185185185185183</v>
      </c>
      <c r="E12" s="46">
        <f t="shared" si="2"/>
        <v>75</v>
      </c>
      <c r="F12" s="46">
        <f t="shared" si="3"/>
        <v>77.777777777777786</v>
      </c>
      <c r="G12" s="46">
        <f t="shared" si="4"/>
        <v>90.740740740740748</v>
      </c>
      <c r="H12" s="46">
        <f t="shared" si="5"/>
        <v>8.3333333333333321</v>
      </c>
      <c r="I12" s="601">
        <f t="shared" si="6"/>
        <v>14.814814814814817</v>
      </c>
      <c r="J12" s="601">
        <f t="shared" si="6"/>
        <v>2.7777777777777857</v>
      </c>
      <c r="K12" s="601">
        <f t="shared" si="6"/>
        <v>12.962962962962962</v>
      </c>
      <c r="L12" s="609">
        <f t="shared" si="7"/>
        <v>15.740740740740748</v>
      </c>
      <c r="M12" s="609">
        <f t="shared" si="8"/>
        <v>30.555555555555564</v>
      </c>
      <c r="N12" s="599">
        <v>90</v>
      </c>
      <c r="O12" s="427">
        <v>84</v>
      </c>
      <c r="P12" s="427">
        <v>108</v>
      </c>
      <c r="Q12" s="427">
        <v>65</v>
      </c>
      <c r="R12" s="427">
        <v>108</v>
      </c>
      <c r="S12" s="427">
        <v>81</v>
      </c>
      <c r="T12" s="427">
        <v>108</v>
      </c>
      <c r="U12" s="427">
        <v>84</v>
      </c>
      <c r="V12" s="427">
        <v>108</v>
      </c>
      <c r="W12" s="427">
        <v>98</v>
      </c>
      <c r="X12" s="427">
        <v>108</v>
      </c>
      <c r="Y12" s="427">
        <v>9</v>
      </c>
      <c r="Z12" s="427">
        <v>108</v>
      </c>
      <c r="AA12" s="212"/>
      <c r="AB12" s="212"/>
    </row>
    <row r="13" spans="1:28">
      <c r="A13" s="45" t="s">
        <v>187</v>
      </c>
      <c r="B13" s="45" t="s">
        <v>83</v>
      </c>
      <c r="C13" s="46">
        <f t="shared" si="0"/>
        <v>67.682926829268297</v>
      </c>
      <c r="D13" s="46">
        <f t="shared" si="1"/>
        <v>53.658536585365859</v>
      </c>
      <c r="E13" s="46">
        <f t="shared" si="2"/>
        <v>66.056910569105682</v>
      </c>
      <c r="F13" s="46">
        <f t="shared" si="3"/>
        <v>72.560975609756099</v>
      </c>
      <c r="G13" s="46">
        <f t="shared" si="4"/>
        <v>85.975609756097555</v>
      </c>
      <c r="H13" s="46">
        <f t="shared" si="5"/>
        <v>12.804878048780488</v>
      </c>
      <c r="I13" s="601">
        <f t="shared" si="6"/>
        <v>12.398373983739823</v>
      </c>
      <c r="J13" s="601">
        <f t="shared" si="6"/>
        <v>6.504065040650417</v>
      </c>
      <c r="K13" s="601">
        <f t="shared" si="6"/>
        <v>13.414634146341456</v>
      </c>
      <c r="L13" s="609">
        <f t="shared" si="7"/>
        <v>19.918699186991873</v>
      </c>
      <c r="M13" s="609">
        <f t="shared" si="8"/>
        <v>32.317073170731696</v>
      </c>
      <c r="N13" s="599">
        <v>90</v>
      </c>
      <c r="O13" s="427">
        <v>333</v>
      </c>
      <c r="P13" s="427">
        <v>492</v>
      </c>
      <c r="Q13" s="427">
        <v>264</v>
      </c>
      <c r="R13" s="427">
        <v>492</v>
      </c>
      <c r="S13" s="427">
        <v>325</v>
      </c>
      <c r="T13" s="427">
        <v>492</v>
      </c>
      <c r="U13" s="427">
        <v>357</v>
      </c>
      <c r="V13" s="427">
        <v>492</v>
      </c>
      <c r="W13" s="427">
        <v>423</v>
      </c>
      <c r="X13" s="427">
        <v>492</v>
      </c>
      <c r="Y13" s="427">
        <v>63</v>
      </c>
      <c r="Z13" s="427">
        <v>492</v>
      </c>
      <c r="AA13" s="212"/>
      <c r="AB13" s="212"/>
    </row>
    <row r="14" spans="1:28">
      <c r="A14" s="45" t="s">
        <v>85</v>
      </c>
      <c r="B14" s="45" t="s">
        <v>86</v>
      </c>
      <c r="C14" s="46">
        <f t="shared" si="0"/>
        <v>42.995169082125607</v>
      </c>
      <c r="D14" s="46">
        <f t="shared" si="1"/>
        <v>31.40096618357488</v>
      </c>
      <c r="E14" s="46">
        <f t="shared" si="2"/>
        <v>40.579710144927539</v>
      </c>
      <c r="F14" s="46">
        <f t="shared" si="3"/>
        <v>65.217391304347828</v>
      </c>
      <c r="G14" s="46">
        <f t="shared" si="4"/>
        <v>86.956521739130437</v>
      </c>
      <c r="H14" s="46">
        <f t="shared" si="5"/>
        <v>10.144927536231885</v>
      </c>
      <c r="I14" s="601">
        <f t="shared" si="6"/>
        <v>9.1787439613526587</v>
      </c>
      <c r="J14" s="601">
        <f t="shared" si="6"/>
        <v>24.637681159420289</v>
      </c>
      <c r="K14" s="601">
        <f t="shared" si="6"/>
        <v>21.739130434782609</v>
      </c>
      <c r="L14" s="609">
        <f t="shared" si="7"/>
        <v>46.376811594202898</v>
      </c>
      <c r="M14" s="609">
        <f t="shared" si="8"/>
        <v>55.555555555555557</v>
      </c>
      <c r="N14" s="599">
        <v>90</v>
      </c>
      <c r="O14" s="427">
        <v>89</v>
      </c>
      <c r="P14" s="427">
        <v>207</v>
      </c>
      <c r="Q14" s="427">
        <v>65</v>
      </c>
      <c r="R14" s="427">
        <v>207</v>
      </c>
      <c r="S14" s="427">
        <v>84</v>
      </c>
      <c r="T14" s="427">
        <v>207</v>
      </c>
      <c r="U14" s="427">
        <v>135</v>
      </c>
      <c r="V14" s="427">
        <v>207</v>
      </c>
      <c r="W14" s="427">
        <v>180</v>
      </c>
      <c r="X14" s="427">
        <v>207</v>
      </c>
      <c r="Y14" s="427">
        <v>21</v>
      </c>
      <c r="Z14" s="427">
        <v>207</v>
      </c>
      <c r="AA14" s="212"/>
      <c r="AB14" s="212"/>
    </row>
    <row r="15" spans="1:28">
      <c r="A15" s="45" t="s">
        <v>532</v>
      </c>
      <c r="B15" s="45" t="s">
        <v>533</v>
      </c>
      <c r="C15" s="46">
        <f t="shared" si="0"/>
        <v>77.702702702702695</v>
      </c>
      <c r="D15" s="46">
        <f t="shared" si="1"/>
        <v>65.456081081081081</v>
      </c>
      <c r="E15" s="46">
        <f t="shared" si="2"/>
        <v>77.195945945945937</v>
      </c>
      <c r="F15" s="46">
        <f t="shared" si="3"/>
        <v>84.121621621621628</v>
      </c>
      <c r="G15" s="46">
        <f t="shared" si="4"/>
        <v>94.087837837837839</v>
      </c>
      <c r="H15" s="46">
        <f t="shared" si="5"/>
        <v>5.4054054054054053</v>
      </c>
      <c r="I15" s="601">
        <f t="shared" si="6"/>
        <v>11.739864864864856</v>
      </c>
      <c r="J15" s="601">
        <f t="shared" si="6"/>
        <v>6.9256756756756914</v>
      </c>
      <c r="K15" s="601">
        <f t="shared" si="6"/>
        <v>9.9662162162162105</v>
      </c>
      <c r="L15" s="609">
        <f t="shared" si="7"/>
        <v>16.891891891891902</v>
      </c>
      <c r="M15" s="609">
        <f t="shared" si="8"/>
        <v>28.631756756756758</v>
      </c>
      <c r="N15" s="599">
        <v>90</v>
      </c>
      <c r="O15" s="427">
        <v>920</v>
      </c>
      <c r="P15" s="427">
        <v>1184</v>
      </c>
      <c r="Q15" s="427">
        <v>775</v>
      </c>
      <c r="R15" s="427">
        <v>1184</v>
      </c>
      <c r="S15" s="427">
        <v>914</v>
      </c>
      <c r="T15" s="427">
        <v>1184</v>
      </c>
      <c r="U15" s="427">
        <v>996</v>
      </c>
      <c r="V15" s="427">
        <v>1184</v>
      </c>
      <c r="W15" s="427">
        <v>1114</v>
      </c>
      <c r="X15" s="427">
        <v>1184</v>
      </c>
      <c r="Y15" s="427">
        <v>64</v>
      </c>
      <c r="Z15" s="427">
        <v>1184</v>
      </c>
      <c r="AA15" s="212"/>
      <c r="AB15" s="212"/>
    </row>
    <row r="16" spans="1:28">
      <c r="A16" s="45" t="s">
        <v>188</v>
      </c>
      <c r="B16" s="45" t="s">
        <v>88</v>
      </c>
      <c r="C16" s="46">
        <f t="shared" si="0"/>
        <v>43.360433604336045</v>
      </c>
      <c r="D16" s="46">
        <f t="shared" si="1"/>
        <v>31.165311653116529</v>
      </c>
      <c r="E16" s="46">
        <f t="shared" si="2"/>
        <v>41.463414634146339</v>
      </c>
      <c r="F16" s="46">
        <f t="shared" si="3"/>
        <v>53.658536585365859</v>
      </c>
      <c r="G16" s="46">
        <f t="shared" si="4"/>
        <v>75.06775067750678</v>
      </c>
      <c r="H16" s="46">
        <f t="shared" si="5"/>
        <v>23.577235772357724</v>
      </c>
      <c r="I16" s="601">
        <f t="shared" si="6"/>
        <v>10.29810298102981</v>
      </c>
      <c r="J16" s="601">
        <f t="shared" si="6"/>
        <v>12.195121951219519</v>
      </c>
      <c r="K16" s="601">
        <f t="shared" si="6"/>
        <v>21.409214092140921</v>
      </c>
      <c r="L16" s="609">
        <f t="shared" si="7"/>
        <v>33.604336043360441</v>
      </c>
      <c r="M16" s="609">
        <f t="shared" si="8"/>
        <v>43.902439024390247</v>
      </c>
      <c r="N16" s="599">
        <v>90</v>
      </c>
      <c r="O16" s="427">
        <v>160</v>
      </c>
      <c r="P16" s="427">
        <v>369</v>
      </c>
      <c r="Q16" s="427">
        <v>115</v>
      </c>
      <c r="R16" s="427">
        <v>369</v>
      </c>
      <c r="S16" s="427">
        <v>153</v>
      </c>
      <c r="T16" s="427">
        <v>369</v>
      </c>
      <c r="U16" s="427">
        <v>198</v>
      </c>
      <c r="V16" s="427">
        <v>369</v>
      </c>
      <c r="W16" s="427">
        <v>277</v>
      </c>
      <c r="X16" s="427">
        <v>369</v>
      </c>
      <c r="Y16" s="427">
        <v>87</v>
      </c>
      <c r="Z16" s="427">
        <v>369</v>
      </c>
      <c r="AA16" s="212"/>
      <c r="AB16" s="212"/>
    </row>
    <row r="17" spans="1:28">
      <c r="A17" s="45" t="s">
        <v>92</v>
      </c>
      <c r="B17" s="45" t="s">
        <v>93</v>
      </c>
      <c r="C17" s="46">
        <f t="shared" si="0"/>
        <v>86.666666666666671</v>
      </c>
      <c r="D17" s="46">
        <f t="shared" si="1"/>
        <v>83.333333333333343</v>
      </c>
      <c r="E17" s="46">
        <f t="shared" si="2"/>
        <v>86.666666666666671</v>
      </c>
      <c r="F17" s="46">
        <f t="shared" si="3"/>
        <v>90</v>
      </c>
      <c r="G17" s="46">
        <f t="shared" si="4"/>
        <v>93.333333333333329</v>
      </c>
      <c r="H17" s="46">
        <f t="shared" si="5"/>
        <v>3.3333333333333335</v>
      </c>
      <c r="I17" s="601">
        <f t="shared" si="6"/>
        <v>3.3333333333333286</v>
      </c>
      <c r="J17" s="601">
        <f t="shared" si="6"/>
        <v>3.3333333333333286</v>
      </c>
      <c r="K17" s="601">
        <f t="shared" si="6"/>
        <v>3.3333333333333286</v>
      </c>
      <c r="L17" s="609">
        <f t="shared" si="7"/>
        <v>6.6666666666666572</v>
      </c>
      <c r="M17" s="609">
        <f t="shared" si="8"/>
        <v>9.9999999999999858</v>
      </c>
      <c r="N17" s="599">
        <v>90</v>
      </c>
      <c r="O17" s="427">
        <v>26</v>
      </c>
      <c r="P17" s="427">
        <v>30</v>
      </c>
      <c r="Q17" s="427">
        <v>25</v>
      </c>
      <c r="R17" s="427">
        <v>30</v>
      </c>
      <c r="S17" s="427">
        <v>26</v>
      </c>
      <c r="T17" s="427">
        <v>30</v>
      </c>
      <c r="U17" s="427">
        <v>27</v>
      </c>
      <c r="V17" s="427">
        <v>30</v>
      </c>
      <c r="W17" s="427">
        <v>28</v>
      </c>
      <c r="X17" s="427">
        <v>30</v>
      </c>
      <c r="Y17" s="427">
        <v>1</v>
      </c>
      <c r="Z17" s="427">
        <v>30</v>
      </c>
      <c r="AA17" s="212"/>
      <c r="AB17" s="212"/>
    </row>
    <row r="18" spans="1:28">
      <c r="A18" s="45" t="s">
        <v>95</v>
      </c>
      <c r="B18" s="45" t="s">
        <v>96</v>
      </c>
      <c r="C18" s="46">
        <f t="shared" si="0"/>
        <v>75.714285714285708</v>
      </c>
      <c r="D18" s="46">
        <f t="shared" si="1"/>
        <v>65.714285714285708</v>
      </c>
      <c r="E18" s="46">
        <f t="shared" si="2"/>
        <v>75.714285714285708</v>
      </c>
      <c r="F18" s="46">
        <f t="shared" si="3"/>
        <v>82.857142857142861</v>
      </c>
      <c r="G18" s="46">
        <f t="shared" si="4"/>
        <v>91.428571428571431</v>
      </c>
      <c r="H18" s="46">
        <f t="shared" si="5"/>
        <v>8.5714285714285712</v>
      </c>
      <c r="I18" s="601">
        <f t="shared" si="6"/>
        <v>10</v>
      </c>
      <c r="J18" s="601">
        <f t="shared" si="6"/>
        <v>7.142857142857153</v>
      </c>
      <c r="K18" s="601">
        <f t="shared" si="6"/>
        <v>8.5714285714285694</v>
      </c>
      <c r="L18" s="609">
        <f t="shared" si="7"/>
        <v>15.714285714285722</v>
      </c>
      <c r="M18" s="609">
        <f t="shared" si="8"/>
        <v>25.714285714285722</v>
      </c>
      <c r="N18" s="599">
        <v>90</v>
      </c>
      <c r="O18" s="427">
        <v>53</v>
      </c>
      <c r="P18" s="427">
        <v>70</v>
      </c>
      <c r="Q18" s="427">
        <v>46</v>
      </c>
      <c r="R18" s="427">
        <v>70</v>
      </c>
      <c r="S18" s="427">
        <v>53</v>
      </c>
      <c r="T18" s="427">
        <v>70</v>
      </c>
      <c r="U18" s="427">
        <v>58</v>
      </c>
      <c r="V18" s="427">
        <v>70</v>
      </c>
      <c r="W18" s="427">
        <v>64</v>
      </c>
      <c r="X18" s="427">
        <v>70</v>
      </c>
      <c r="Y18" s="427">
        <v>6</v>
      </c>
      <c r="Z18" s="427">
        <v>70</v>
      </c>
      <c r="AA18" s="212"/>
      <c r="AB18" s="212"/>
    </row>
    <row r="19" spans="1:28">
      <c r="A19" s="45" t="s">
        <v>98</v>
      </c>
      <c r="B19" s="45" t="s">
        <v>99</v>
      </c>
      <c r="C19" s="46">
        <f t="shared" si="0"/>
        <v>71.428571428571431</v>
      </c>
      <c r="D19" s="46">
        <f t="shared" si="1"/>
        <v>61.904761904761905</v>
      </c>
      <c r="E19" s="46">
        <f t="shared" si="2"/>
        <v>71.428571428571431</v>
      </c>
      <c r="F19" s="46">
        <f t="shared" si="3"/>
        <v>83.333333333333343</v>
      </c>
      <c r="G19" s="46">
        <f t="shared" si="4"/>
        <v>92.857142857142861</v>
      </c>
      <c r="H19" s="46">
        <f t="shared" si="5"/>
        <v>2.3809523809523809</v>
      </c>
      <c r="I19" s="601">
        <f t="shared" si="6"/>
        <v>9.5238095238095255</v>
      </c>
      <c r="J19" s="601">
        <f t="shared" si="6"/>
        <v>11.904761904761912</v>
      </c>
      <c r="K19" s="601">
        <f t="shared" si="6"/>
        <v>9.5238095238095184</v>
      </c>
      <c r="L19" s="609">
        <f t="shared" si="7"/>
        <v>21.428571428571431</v>
      </c>
      <c r="M19" s="609">
        <f t="shared" si="8"/>
        <v>30.952380952380956</v>
      </c>
      <c r="N19" s="599">
        <v>90</v>
      </c>
      <c r="O19" s="427">
        <v>30</v>
      </c>
      <c r="P19" s="427">
        <v>42</v>
      </c>
      <c r="Q19" s="427">
        <v>26</v>
      </c>
      <c r="R19" s="427">
        <v>42</v>
      </c>
      <c r="S19" s="427">
        <v>30</v>
      </c>
      <c r="T19" s="427">
        <v>42</v>
      </c>
      <c r="U19" s="427">
        <v>35</v>
      </c>
      <c r="V19" s="427">
        <v>42</v>
      </c>
      <c r="W19" s="427">
        <v>39</v>
      </c>
      <c r="X19" s="427">
        <v>42</v>
      </c>
      <c r="Y19" s="427">
        <v>1</v>
      </c>
      <c r="Z19" s="427">
        <v>42</v>
      </c>
      <c r="AA19" s="212"/>
      <c r="AB19" s="212"/>
    </row>
    <row r="20" spans="1:28">
      <c r="A20" s="45" t="s">
        <v>101</v>
      </c>
      <c r="B20" s="45" t="s">
        <v>102</v>
      </c>
      <c r="C20" s="46">
        <f t="shared" si="0"/>
        <v>54.46153846153846</v>
      </c>
      <c r="D20" s="46">
        <f t="shared" si="1"/>
        <v>42.46153846153846</v>
      </c>
      <c r="E20" s="46">
        <f t="shared" si="2"/>
        <v>56.000000000000007</v>
      </c>
      <c r="F20" s="46">
        <f t="shared" si="3"/>
        <v>73.538461538461547</v>
      </c>
      <c r="G20" s="46">
        <f t="shared" si="4"/>
        <v>90.153846153846146</v>
      </c>
      <c r="H20" s="46">
        <f t="shared" si="5"/>
        <v>5.2307692307692308</v>
      </c>
      <c r="I20" s="601">
        <f t="shared" si="6"/>
        <v>13.538461538461547</v>
      </c>
      <c r="J20" s="601">
        <f t="shared" si="6"/>
        <v>17.53846153846154</v>
      </c>
      <c r="K20" s="601">
        <f t="shared" si="6"/>
        <v>16.615384615384599</v>
      </c>
      <c r="L20" s="609">
        <f t="shared" si="7"/>
        <v>34.153846153846139</v>
      </c>
      <c r="M20" s="609">
        <f t="shared" si="8"/>
        <v>47.692307692307686</v>
      </c>
      <c r="N20" s="599">
        <v>90</v>
      </c>
      <c r="O20" s="427">
        <v>177</v>
      </c>
      <c r="P20" s="427">
        <v>325</v>
      </c>
      <c r="Q20" s="427">
        <v>138</v>
      </c>
      <c r="R20" s="427">
        <v>325</v>
      </c>
      <c r="S20" s="427">
        <v>182</v>
      </c>
      <c r="T20" s="427">
        <v>325</v>
      </c>
      <c r="U20" s="427">
        <v>239</v>
      </c>
      <c r="V20" s="427">
        <v>325</v>
      </c>
      <c r="W20" s="427">
        <v>293</v>
      </c>
      <c r="X20" s="427">
        <v>325</v>
      </c>
      <c r="Y20" s="427">
        <v>17</v>
      </c>
      <c r="Z20" s="427">
        <v>325</v>
      </c>
      <c r="AA20" s="212"/>
      <c r="AB20" s="212"/>
    </row>
    <row r="21" spans="1:28">
      <c r="A21" s="45" t="s">
        <v>104</v>
      </c>
      <c r="B21" s="45" t="s">
        <v>105</v>
      </c>
      <c r="C21" s="46">
        <f t="shared" si="0"/>
        <v>73.591549295774655</v>
      </c>
      <c r="D21" s="46">
        <f t="shared" si="1"/>
        <v>58.802816901408448</v>
      </c>
      <c r="E21" s="46">
        <f t="shared" si="2"/>
        <v>66.197183098591552</v>
      </c>
      <c r="F21" s="46">
        <f t="shared" si="3"/>
        <v>77.112676056338032</v>
      </c>
      <c r="G21" s="46">
        <f t="shared" si="4"/>
        <v>92.605633802816897</v>
      </c>
      <c r="H21" s="46">
        <f t="shared" si="5"/>
        <v>5.9859154929577461</v>
      </c>
      <c r="I21" s="601">
        <f t="shared" si="6"/>
        <v>7.3943661971831034</v>
      </c>
      <c r="J21" s="601">
        <f t="shared" si="6"/>
        <v>10.91549295774648</v>
      </c>
      <c r="K21" s="601">
        <f t="shared" si="6"/>
        <v>15.492957746478865</v>
      </c>
      <c r="L21" s="609">
        <f t="shared" si="7"/>
        <v>26.408450704225345</v>
      </c>
      <c r="M21" s="609">
        <f t="shared" si="8"/>
        <v>33.802816901408448</v>
      </c>
      <c r="N21" s="599">
        <v>90</v>
      </c>
      <c r="O21" s="427">
        <v>209</v>
      </c>
      <c r="P21" s="427">
        <v>284</v>
      </c>
      <c r="Q21" s="427">
        <v>167</v>
      </c>
      <c r="R21" s="427">
        <v>284</v>
      </c>
      <c r="S21" s="427">
        <v>188</v>
      </c>
      <c r="T21" s="427">
        <v>284</v>
      </c>
      <c r="U21" s="427">
        <v>219</v>
      </c>
      <c r="V21" s="427">
        <v>284</v>
      </c>
      <c r="W21" s="427">
        <v>263</v>
      </c>
      <c r="X21" s="427">
        <v>284</v>
      </c>
      <c r="Y21" s="427">
        <v>17</v>
      </c>
      <c r="Z21" s="427">
        <v>284</v>
      </c>
      <c r="AA21" s="212"/>
      <c r="AB21" s="212"/>
    </row>
    <row r="22" spans="1:28">
      <c r="A22" s="45" t="s">
        <v>107</v>
      </c>
      <c r="B22" s="45" t="s">
        <v>108</v>
      </c>
      <c r="C22" s="46">
        <f t="shared" si="0"/>
        <v>49.324324324324323</v>
      </c>
      <c r="D22" s="46">
        <f t="shared" si="1"/>
        <v>34.45945945945946</v>
      </c>
      <c r="E22" s="46">
        <f t="shared" si="2"/>
        <v>48.310810810810814</v>
      </c>
      <c r="F22" s="46">
        <f t="shared" si="3"/>
        <v>64.86486486486487</v>
      </c>
      <c r="G22" s="46">
        <f t="shared" si="4"/>
        <v>87.837837837837839</v>
      </c>
      <c r="H22" s="46">
        <f t="shared" si="5"/>
        <v>9.4594594594594597</v>
      </c>
      <c r="I22" s="601">
        <f t="shared" si="6"/>
        <v>13.851351351351354</v>
      </c>
      <c r="J22" s="601">
        <f t="shared" si="6"/>
        <v>16.554054054054056</v>
      </c>
      <c r="K22" s="601">
        <f t="shared" si="6"/>
        <v>22.972972972972968</v>
      </c>
      <c r="L22" s="609">
        <f t="shared" si="7"/>
        <v>39.527027027027025</v>
      </c>
      <c r="M22" s="609">
        <f t="shared" si="8"/>
        <v>53.378378378378379</v>
      </c>
      <c r="N22" s="599">
        <v>90</v>
      </c>
      <c r="O22" s="427">
        <v>146</v>
      </c>
      <c r="P22" s="427">
        <v>296</v>
      </c>
      <c r="Q22" s="427">
        <v>102</v>
      </c>
      <c r="R22" s="427">
        <v>296</v>
      </c>
      <c r="S22" s="427">
        <v>143</v>
      </c>
      <c r="T22" s="427">
        <v>296</v>
      </c>
      <c r="U22" s="427">
        <v>192</v>
      </c>
      <c r="V22" s="427">
        <v>296</v>
      </c>
      <c r="W22" s="427">
        <v>260</v>
      </c>
      <c r="X22" s="427">
        <v>296</v>
      </c>
      <c r="Y22" s="427">
        <v>28</v>
      </c>
      <c r="Z22" s="427">
        <v>296</v>
      </c>
      <c r="AA22" s="212"/>
      <c r="AB22" s="212"/>
    </row>
    <row r="23" spans="1:28">
      <c r="A23" s="45" t="s">
        <v>110</v>
      </c>
      <c r="B23" s="45" t="s">
        <v>109</v>
      </c>
      <c r="C23" s="46">
        <f t="shared" si="0"/>
        <v>69.186046511627907</v>
      </c>
      <c r="D23" s="46">
        <f t="shared" si="1"/>
        <v>48.255813953488378</v>
      </c>
      <c r="E23" s="46">
        <f t="shared" si="2"/>
        <v>68.313953488372093</v>
      </c>
      <c r="F23" s="46">
        <f t="shared" si="3"/>
        <v>81.395348837209298</v>
      </c>
      <c r="G23" s="46">
        <f t="shared" si="4"/>
        <v>95.930232558139537</v>
      </c>
      <c r="H23" s="46">
        <f t="shared" si="5"/>
        <v>3.4883720930232558</v>
      </c>
      <c r="I23" s="601">
        <f t="shared" si="6"/>
        <v>20.058139534883715</v>
      </c>
      <c r="J23" s="601">
        <f t="shared" si="6"/>
        <v>13.081395348837205</v>
      </c>
      <c r="K23" s="601">
        <f t="shared" si="6"/>
        <v>14.534883720930239</v>
      </c>
      <c r="L23" s="609">
        <f t="shared" si="7"/>
        <v>27.616279069767444</v>
      </c>
      <c r="M23" s="609">
        <f t="shared" si="8"/>
        <v>47.674418604651159</v>
      </c>
      <c r="N23" s="599">
        <v>90</v>
      </c>
      <c r="O23" s="427">
        <v>238</v>
      </c>
      <c r="P23" s="427">
        <v>344</v>
      </c>
      <c r="Q23" s="427">
        <v>166</v>
      </c>
      <c r="R23" s="427">
        <v>344</v>
      </c>
      <c r="S23" s="427">
        <v>235</v>
      </c>
      <c r="T23" s="427">
        <v>344</v>
      </c>
      <c r="U23" s="427">
        <v>280</v>
      </c>
      <c r="V23" s="427">
        <v>344</v>
      </c>
      <c r="W23" s="427">
        <v>330</v>
      </c>
      <c r="X23" s="427">
        <v>344</v>
      </c>
      <c r="Y23" s="427">
        <v>12</v>
      </c>
      <c r="Z23" s="427">
        <v>344</v>
      </c>
      <c r="AA23" s="212"/>
      <c r="AB23" s="212"/>
    </row>
    <row r="24" spans="1:28">
      <c r="A24" s="45" t="s">
        <v>112</v>
      </c>
      <c r="B24" s="45" t="s">
        <v>113</v>
      </c>
      <c r="C24" s="46">
        <f t="shared" si="0"/>
        <v>77.649769585253452</v>
      </c>
      <c r="D24" s="46">
        <f t="shared" si="1"/>
        <v>71.543778801843317</v>
      </c>
      <c r="E24" s="46">
        <f t="shared" si="2"/>
        <v>78.225806451612897</v>
      </c>
      <c r="F24" s="46">
        <f t="shared" si="3"/>
        <v>82.94930875576037</v>
      </c>
      <c r="G24" s="46">
        <f t="shared" si="4"/>
        <v>89.285714285714292</v>
      </c>
      <c r="H24" s="46">
        <f t="shared" si="5"/>
        <v>6.7972350230414742</v>
      </c>
      <c r="I24" s="601">
        <f t="shared" si="6"/>
        <v>6.6820276497695801</v>
      </c>
      <c r="J24" s="601">
        <f t="shared" si="6"/>
        <v>4.7235023041474733</v>
      </c>
      <c r="K24" s="601">
        <f t="shared" si="6"/>
        <v>6.3364055299539217</v>
      </c>
      <c r="L24" s="609">
        <f t="shared" si="7"/>
        <v>11.059907834101395</v>
      </c>
      <c r="M24" s="609">
        <f t="shared" si="8"/>
        <v>17.741935483870975</v>
      </c>
      <c r="N24" s="599">
        <v>90</v>
      </c>
      <c r="O24" s="427">
        <v>674</v>
      </c>
      <c r="P24" s="427">
        <v>868</v>
      </c>
      <c r="Q24" s="427">
        <v>621</v>
      </c>
      <c r="R24" s="427">
        <v>868</v>
      </c>
      <c r="S24" s="427">
        <v>679</v>
      </c>
      <c r="T24" s="427">
        <v>868</v>
      </c>
      <c r="U24" s="427">
        <v>720</v>
      </c>
      <c r="V24" s="427">
        <v>868</v>
      </c>
      <c r="W24" s="427">
        <v>775</v>
      </c>
      <c r="X24" s="427">
        <v>868</v>
      </c>
      <c r="Y24" s="427">
        <v>59</v>
      </c>
      <c r="Z24" s="427">
        <v>868</v>
      </c>
      <c r="AA24" s="212"/>
      <c r="AB24" s="212"/>
    </row>
    <row r="25" spans="1:28">
      <c r="A25" s="45" t="s">
        <v>115</v>
      </c>
      <c r="B25" s="45" t="s">
        <v>116</v>
      </c>
      <c r="C25" s="46">
        <f t="shared" si="0"/>
        <v>86.324786324786331</v>
      </c>
      <c r="D25" s="46">
        <f t="shared" si="1"/>
        <v>74.358974358974365</v>
      </c>
      <c r="E25" s="46">
        <f t="shared" si="2"/>
        <v>84.188034188034194</v>
      </c>
      <c r="F25" s="46">
        <f t="shared" si="3"/>
        <v>87.606837606837601</v>
      </c>
      <c r="G25" s="46">
        <f t="shared" si="4"/>
        <v>96.15384615384616</v>
      </c>
      <c r="H25" s="46">
        <f t="shared" si="5"/>
        <v>2.9914529914529915</v>
      </c>
      <c r="I25" s="601">
        <f t="shared" si="6"/>
        <v>9.8290598290598297</v>
      </c>
      <c r="J25" s="601">
        <f t="shared" si="6"/>
        <v>3.4188034188034067</v>
      </c>
      <c r="K25" s="601">
        <f t="shared" si="6"/>
        <v>8.5470085470085593</v>
      </c>
      <c r="L25" s="609">
        <f t="shared" si="7"/>
        <v>11.965811965811966</v>
      </c>
      <c r="M25" s="609">
        <f t="shared" si="8"/>
        <v>21.794871794871796</v>
      </c>
      <c r="N25" s="599">
        <v>90</v>
      </c>
      <c r="O25" s="427">
        <v>202</v>
      </c>
      <c r="P25" s="427">
        <v>234</v>
      </c>
      <c r="Q25" s="427">
        <v>174</v>
      </c>
      <c r="R25" s="427">
        <v>234</v>
      </c>
      <c r="S25" s="427">
        <v>197</v>
      </c>
      <c r="T25" s="427">
        <v>234</v>
      </c>
      <c r="U25" s="427">
        <v>205</v>
      </c>
      <c r="V25" s="427">
        <v>234</v>
      </c>
      <c r="W25" s="427">
        <v>225</v>
      </c>
      <c r="X25" s="427">
        <v>234</v>
      </c>
      <c r="Y25" s="427">
        <v>7</v>
      </c>
      <c r="Z25" s="427">
        <v>234</v>
      </c>
      <c r="AA25" s="212"/>
      <c r="AB25" s="212"/>
    </row>
    <row r="26" spans="1:28">
      <c r="A26" s="45" t="s">
        <v>118</v>
      </c>
      <c r="B26" s="45" t="s">
        <v>119</v>
      </c>
      <c r="C26" s="46">
        <f t="shared" si="0"/>
        <v>66.149068322981364</v>
      </c>
      <c r="D26" s="46">
        <f t="shared" si="1"/>
        <v>54.347826086956516</v>
      </c>
      <c r="E26" s="46">
        <f t="shared" si="2"/>
        <v>64.596273291925471</v>
      </c>
      <c r="F26" s="46">
        <f t="shared" si="3"/>
        <v>73.602484472049696</v>
      </c>
      <c r="G26" s="46">
        <f t="shared" si="4"/>
        <v>90.683229813664596</v>
      </c>
      <c r="H26" s="46">
        <f t="shared" si="5"/>
        <v>8.695652173913043</v>
      </c>
      <c r="I26" s="601">
        <f t="shared" si="6"/>
        <v>10.248447204968954</v>
      </c>
      <c r="J26" s="601">
        <f t="shared" si="6"/>
        <v>9.0062111801242253</v>
      </c>
      <c r="K26" s="601">
        <f t="shared" si="6"/>
        <v>17.0807453416149</v>
      </c>
      <c r="L26" s="609">
        <f t="shared" si="7"/>
        <v>26.086956521739125</v>
      </c>
      <c r="M26" s="609">
        <f t="shared" si="8"/>
        <v>36.33540372670808</v>
      </c>
      <c r="N26" s="599">
        <v>90</v>
      </c>
      <c r="O26" s="427">
        <v>213</v>
      </c>
      <c r="P26" s="427">
        <v>322</v>
      </c>
      <c r="Q26" s="427">
        <v>175</v>
      </c>
      <c r="R26" s="427">
        <v>322</v>
      </c>
      <c r="S26" s="427">
        <v>208</v>
      </c>
      <c r="T26" s="427">
        <v>322</v>
      </c>
      <c r="U26" s="427">
        <v>237</v>
      </c>
      <c r="V26" s="427">
        <v>322</v>
      </c>
      <c r="W26" s="427">
        <v>292</v>
      </c>
      <c r="X26" s="427">
        <v>322</v>
      </c>
      <c r="Y26" s="427">
        <v>28</v>
      </c>
      <c r="Z26" s="427">
        <v>322</v>
      </c>
      <c r="AA26" s="212"/>
      <c r="AB26" s="212"/>
    </row>
    <row r="27" spans="1:28">
      <c r="A27" s="45" t="s">
        <v>121</v>
      </c>
      <c r="B27" s="45" t="s">
        <v>122</v>
      </c>
      <c r="C27" s="46">
        <f t="shared" si="0"/>
        <v>15</v>
      </c>
      <c r="D27" s="46">
        <f t="shared" si="1"/>
        <v>2.5</v>
      </c>
      <c r="E27" s="46">
        <f t="shared" si="2"/>
        <v>15</v>
      </c>
      <c r="F27" s="46">
        <f t="shared" si="3"/>
        <v>17.5</v>
      </c>
      <c r="G27" s="46">
        <f t="shared" si="4"/>
        <v>27.500000000000004</v>
      </c>
      <c r="H27" s="46">
        <f t="shared" si="5"/>
        <v>37.5</v>
      </c>
      <c r="I27" s="601">
        <f t="shared" si="6"/>
        <v>12.5</v>
      </c>
      <c r="J27" s="601">
        <f t="shared" si="6"/>
        <v>2.5</v>
      </c>
      <c r="K27" s="601">
        <f t="shared" si="6"/>
        <v>10.000000000000004</v>
      </c>
      <c r="L27" s="609">
        <f t="shared" si="7"/>
        <v>12.500000000000004</v>
      </c>
      <c r="M27" s="609">
        <f t="shared" si="8"/>
        <v>25.000000000000004</v>
      </c>
      <c r="N27" s="599">
        <v>90</v>
      </c>
      <c r="O27" s="427">
        <v>6</v>
      </c>
      <c r="P27" s="427">
        <v>40</v>
      </c>
      <c r="Q27" s="427">
        <v>1</v>
      </c>
      <c r="R27" s="427">
        <v>40</v>
      </c>
      <c r="S27" s="427">
        <v>6</v>
      </c>
      <c r="T27" s="427">
        <v>40</v>
      </c>
      <c r="U27" s="427">
        <v>7</v>
      </c>
      <c r="V27" s="427">
        <v>40</v>
      </c>
      <c r="W27" s="427">
        <v>11</v>
      </c>
      <c r="X27" s="427">
        <v>40</v>
      </c>
      <c r="Y27" s="427">
        <v>15</v>
      </c>
      <c r="Z27" s="427">
        <v>40</v>
      </c>
      <c r="AA27" s="212"/>
      <c r="AB27" s="212"/>
    </row>
    <row r="28" spans="1:28">
      <c r="A28" s="45" t="s">
        <v>124</v>
      </c>
      <c r="B28" s="45" t="s">
        <v>125</v>
      </c>
      <c r="C28" s="46">
        <f t="shared" si="0"/>
        <v>57.142857142857139</v>
      </c>
      <c r="D28" s="46">
        <f t="shared" si="1"/>
        <v>37.142857142857146</v>
      </c>
      <c r="E28" s="46">
        <f t="shared" si="2"/>
        <v>54.285714285714285</v>
      </c>
      <c r="F28" s="46">
        <f t="shared" si="3"/>
        <v>60</v>
      </c>
      <c r="G28" s="46">
        <f t="shared" si="4"/>
        <v>80</v>
      </c>
      <c r="H28" s="46">
        <f t="shared" si="5"/>
        <v>14.285714285714285</v>
      </c>
      <c r="I28" s="601">
        <f t="shared" si="6"/>
        <v>17.142857142857139</v>
      </c>
      <c r="J28" s="601">
        <f t="shared" si="6"/>
        <v>5.7142857142857153</v>
      </c>
      <c r="K28" s="601">
        <f t="shared" si="6"/>
        <v>20</v>
      </c>
      <c r="L28" s="609">
        <f t="shared" si="7"/>
        <v>25.714285714285715</v>
      </c>
      <c r="M28" s="609">
        <f t="shared" si="8"/>
        <v>42.857142857142854</v>
      </c>
      <c r="N28" s="599">
        <v>90</v>
      </c>
      <c r="O28" s="427">
        <v>20</v>
      </c>
      <c r="P28" s="427">
        <v>35</v>
      </c>
      <c r="Q28" s="427">
        <v>13</v>
      </c>
      <c r="R28" s="427">
        <v>35</v>
      </c>
      <c r="S28" s="427">
        <v>19</v>
      </c>
      <c r="T28" s="427">
        <v>35</v>
      </c>
      <c r="U28" s="427">
        <v>21</v>
      </c>
      <c r="V28" s="427">
        <v>35</v>
      </c>
      <c r="W28" s="427">
        <v>28</v>
      </c>
      <c r="X28" s="427">
        <v>35</v>
      </c>
      <c r="Y28" s="427">
        <v>5</v>
      </c>
      <c r="Z28" s="427">
        <v>35</v>
      </c>
      <c r="AA28" s="212"/>
      <c r="AB28" s="212"/>
    </row>
    <row r="29" spans="1:28">
      <c r="A29" s="45" t="s">
        <v>127</v>
      </c>
      <c r="B29" s="45" t="s">
        <v>128</v>
      </c>
      <c r="C29" s="46">
        <f t="shared" si="0"/>
        <v>45.99483204134367</v>
      </c>
      <c r="D29" s="46">
        <f t="shared" si="1"/>
        <v>31.524547803617569</v>
      </c>
      <c r="E29" s="46">
        <f t="shared" si="2"/>
        <v>44.961240310077521</v>
      </c>
      <c r="F29" s="46">
        <f t="shared" si="3"/>
        <v>59.173126614987083</v>
      </c>
      <c r="G29" s="46">
        <f t="shared" si="4"/>
        <v>80.361757105943155</v>
      </c>
      <c r="H29" s="46">
        <f t="shared" si="5"/>
        <v>18.863049095607234</v>
      </c>
      <c r="I29" s="601">
        <f t="shared" si="6"/>
        <v>13.436692506459952</v>
      </c>
      <c r="J29" s="601">
        <f t="shared" si="6"/>
        <v>14.211886304909562</v>
      </c>
      <c r="K29" s="601">
        <f t="shared" si="6"/>
        <v>21.188630490956072</v>
      </c>
      <c r="L29" s="609">
        <f t="shared" si="7"/>
        <v>35.400516795865634</v>
      </c>
      <c r="M29" s="609">
        <f t="shared" si="8"/>
        <v>48.83720930232559</v>
      </c>
      <c r="N29" s="599">
        <v>90</v>
      </c>
      <c r="O29" s="427">
        <v>178</v>
      </c>
      <c r="P29" s="427">
        <v>387</v>
      </c>
      <c r="Q29" s="427">
        <v>122</v>
      </c>
      <c r="R29" s="427">
        <v>387</v>
      </c>
      <c r="S29" s="427">
        <v>174</v>
      </c>
      <c r="T29" s="427">
        <v>387</v>
      </c>
      <c r="U29" s="427">
        <v>229</v>
      </c>
      <c r="V29" s="427">
        <v>387</v>
      </c>
      <c r="W29" s="427">
        <v>311</v>
      </c>
      <c r="X29" s="427">
        <v>387</v>
      </c>
      <c r="Y29" s="427">
        <v>73</v>
      </c>
      <c r="Z29" s="427">
        <v>387</v>
      </c>
      <c r="AA29" s="212"/>
      <c r="AB29" s="212"/>
    </row>
    <row r="30" spans="1:28">
      <c r="A30" s="45" t="s">
        <v>130</v>
      </c>
      <c r="B30" s="45" t="s">
        <v>131</v>
      </c>
      <c r="C30" s="46">
        <f t="shared" si="0"/>
        <v>78.756476683937819</v>
      </c>
      <c r="D30" s="46">
        <f t="shared" si="1"/>
        <v>55.440414507772019</v>
      </c>
      <c r="E30" s="46">
        <f t="shared" si="2"/>
        <v>79.274611398963728</v>
      </c>
      <c r="F30" s="46">
        <f t="shared" si="3"/>
        <v>86.010362694300511</v>
      </c>
      <c r="G30" s="46">
        <f t="shared" si="4"/>
        <v>95.854922279792746</v>
      </c>
      <c r="H30" s="46">
        <f t="shared" si="5"/>
        <v>3.1088082901554404</v>
      </c>
      <c r="I30" s="601">
        <f t="shared" si="6"/>
        <v>23.834196891191709</v>
      </c>
      <c r="J30" s="601">
        <f t="shared" si="6"/>
        <v>6.7357512953367831</v>
      </c>
      <c r="K30" s="601">
        <f t="shared" si="6"/>
        <v>9.8445595854922345</v>
      </c>
      <c r="L30" s="609">
        <f t="shared" si="7"/>
        <v>16.580310880829018</v>
      </c>
      <c r="M30" s="609">
        <f t="shared" si="8"/>
        <v>40.414507772020727</v>
      </c>
      <c r="N30" s="599">
        <v>90</v>
      </c>
      <c r="O30" s="427">
        <v>152</v>
      </c>
      <c r="P30" s="427">
        <v>193</v>
      </c>
      <c r="Q30" s="427">
        <v>107</v>
      </c>
      <c r="R30" s="427">
        <v>193</v>
      </c>
      <c r="S30" s="427">
        <v>153</v>
      </c>
      <c r="T30" s="427">
        <v>193</v>
      </c>
      <c r="U30" s="427">
        <v>166</v>
      </c>
      <c r="V30" s="427">
        <v>193</v>
      </c>
      <c r="W30" s="427">
        <v>185</v>
      </c>
      <c r="X30" s="427">
        <v>193</v>
      </c>
      <c r="Y30" s="427">
        <v>6</v>
      </c>
      <c r="Z30" s="427">
        <v>193</v>
      </c>
      <c r="AA30" s="212"/>
      <c r="AB30" s="212"/>
    </row>
    <row r="31" spans="1:28">
      <c r="A31" s="45" t="s">
        <v>39</v>
      </c>
      <c r="B31" s="45" t="s">
        <v>136</v>
      </c>
      <c r="C31" s="46">
        <f t="shared" si="0"/>
        <v>86.36363636363636</v>
      </c>
      <c r="D31" s="46">
        <f t="shared" si="1"/>
        <v>77.272727272727266</v>
      </c>
      <c r="E31" s="46">
        <f t="shared" si="2"/>
        <v>86.36363636363636</v>
      </c>
      <c r="F31" s="46">
        <f t="shared" si="3"/>
        <v>90.909090909090907</v>
      </c>
      <c r="G31" s="46">
        <f t="shared" si="4"/>
        <v>95.454545454545453</v>
      </c>
      <c r="H31" s="46">
        <f t="shared" si="5"/>
        <v>4.5454545454545459</v>
      </c>
      <c r="I31" s="598">
        <f t="shared" si="6"/>
        <v>9.0909090909090935</v>
      </c>
      <c r="J31" s="597">
        <f t="shared" si="6"/>
        <v>4.5454545454545467</v>
      </c>
      <c r="K31" s="597">
        <f t="shared" si="6"/>
        <v>4.5454545454545467</v>
      </c>
      <c r="L31" s="608">
        <f t="shared" si="7"/>
        <v>9.0909090909090935</v>
      </c>
      <c r="M31" s="608">
        <f t="shared" si="8"/>
        <v>18.181818181818187</v>
      </c>
      <c r="N31" s="595">
        <v>90</v>
      </c>
      <c r="O31" s="427">
        <v>19</v>
      </c>
      <c r="P31" s="427">
        <v>22</v>
      </c>
      <c r="Q31" s="427">
        <v>17</v>
      </c>
      <c r="R31" s="427">
        <v>22</v>
      </c>
      <c r="S31" s="427">
        <v>19</v>
      </c>
      <c r="T31" s="427">
        <v>22</v>
      </c>
      <c r="U31" s="427">
        <v>20</v>
      </c>
      <c r="V31" s="427">
        <v>22</v>
      </c>
      <c r="W31" s="427">
        <v>21</v>
      </c>
      <c r="X31" s="427">
        <v>22</v>
      </c>
      <c r="Y31" s="427">
        <v>1</v>
      </c>
      <c r="Z31" s="427">
        <v>22</v>
      </c>
      <c r="AA31" s="212"/>
      <c r="AB31" s="212"/>
    </row>
    <row r="32" spans="1:28">
      <c r="A32" s="50"/>
      <c r="C32" s="34"/>
      <c r="D32" s="34"/>
      <c r="E32" s="34"/>
      <c r="F32" s="34"/>
      <c r="G32" s="34"/>
      <c r="H32" s="34"/>
      <c r="I32" s="34"/>
      <c r="J32" s="34"/>
      <c r="K32" s="34"/>
      <c r="L32" s="34"/>
      <c r="M32" s="34"/>
    </row>
    <row r="33" spans="1:26">
      <c r="A33" s="51"/>
      <c r="C33" s="34"/>
      <c r="D33" s="34"/>
      <c r="E33" s="34"/>
      <c r="F33" s="34"/>
      <c r="G33" s="34"/>
      <c r="H33" s="34"/>
      <c r="I33" s="34"/>
      <c r="J33" s="34"/>
      <c r="K33" s="34"/>
      <c r="L33" s="34"/>
      <c r="M33" s="34"/>
    </row>
    <row r="34" spans="1:26" ht="30" customHeight="1">
      <c r="A34" s="839" t="s">
        <v>138</v>
      </c>
      <c r="B34" s="840"/>
      <c r="C34" s="881" t="s">
        <v>44</v>
      </c>
      <c r="D34" s="882"/>
      <c r="E34" s="882"/>
      <c r="F34" s="882"/>
      <c r="G34" s="882"/>
      <c r="H34" s="883"/>
      <c r="I34" s="844"/>
      <c r="J34" s="884"/>
      <c r="K34" s="884"/>
      <c r="L34" s="884"/>
      <c r="M34" s="884"/>
      <c r="N34" s="885"/>
      <c r="O34" s="857" t="s">
        <v>51</v>
      </c>
      <c r="P34" s="857"/>
      <c r="Q34" s="857" t="s">
        <v>145</v>
      </c>
      <c r="R34" s="857"/>
      <c r="S34" s="857" t="s">
        <v>146</v>
      </c>
      <c r="T34" s="857"/>
      <c r="U34" s="857" t="s">
        <v>147</v>
      </c>
      <c r="V34" s="857"/>
      <c r="W34" s="857" t="s">
        <v>148</v>
      </c>
      <c r="X34" s="857"/>
      <c r="Y34" s="857" t="s">
        <v>149</v>
      </c>
      <c r="Z34" s="871"/>
    </row>
    <row r="35" spans="1:26" ht="35.1" customHeight="1">
      <c r="A35" s="52"/>
      <c r="B35" s="53" t="s">
        <v>140</v>
      </c>
      <c r="C35" s="40" t="s">
        <v>54</v>
      </c>
      <c r="D35" s="40" t="s">
        <v>150</v>
      </c>
      <c r="E35" s="40" t="s">
        <v>151</v>
      </c>
      <c r="F35" s="40" t="s">
        <v>152</v>
      </c>
      <c r="G35" s="40" t="s">
        <v>153</v>
      </c>
      <c r="H35" s="40" t="s">
        <v>154</v>
      </c>
      <c r="I35" s="886"/>
      <c r="J35" s="887"/>
      <c r="K35" s="887"/>
      <c r="L35" s="887"/>
      <c r="M35" s="887"/>
      <c r="N35" s="888"/>
      <c r="O35" s="43" t="s">
        <v>28</v>
      </c>
      <c r="P35" s="43" t="s">
        <v>29</v>
      </c>
      <c r="Q35" s="43" t="s">
        <v>28</v>
      </c>
      <c r="R35" s="43" t="s">
        <v>29</v>
      </c>
      <c r="S35" s="43" t="s">
        <v>28</v>
      </c>
      <c r="T35" s="43" t="s">
        <v>29</v>
      </c>
      <c r="U35" s="43" t="s">
        <v>28</v>
      </c>
      <c r="V35" s="43" t="s">
        <v>29</v>
      </c>
      <c r="W35" s="43" t="s">
        <v>28</v>
      </c>
      <c r="X35" s="43" t="s">
        <v>29</v>
      </c>
      <c r="Y35" s="43" t="s">
        <v>28</v>
      </c>
      <c r="Z35" s="65" t="s">
        <v>29</v>
      </c>
    </row>
    <row r="36" spans="1:26">
      <c r="A36" s="872"/>
      <c r="B36" s="45" t="s">
        <v>35</v>
      </c>
      <c r="C36" s="46">
        <f t="shared" ref="C36:C49" si="10">IF(ISERR(O36/P36*100),"",O36/P36*100)</f>
        <v>49.763779527559052</v>
      </c>
      <c r="D36" s="46">
        <f t="shared" ref="D36:D49" si="11">IF(ISERR(Q36/R36*100),"",Q36/R36*100)</f>
        <v>37.00787401574803</v>
      </c>
      <c r="E36" s="46">
        <f t="shared" ref="E36:E49" si="12">IF(ISERR(S36/T36*100),"",S36/T36*100)</f>
        <v>48.503937007874015</v>
      </c>
      <c r="F36" s="46">
        <f t="shared" ref="F36:F49" si="13">IF(ISERR(U36/V36*100),"",U36/V36*100)</f>
        <v>62.047244094488185</v>
      </c>
      <c r="G36" s="46">
        <f t="shared" ref="G36:G49" si="14">IF(ISERR(W36/X36*100),"",W36/X36*100)</f>
        <v>83.30708661417323</v>
      </c>
      <c r="H36" s="46">
        <f t="shared" ref="H36:H49" si="15">IF(ISERR(Y36/Z36*100),"",Y36/Z36*100)</f>
        <v>15.748031496062993</v>
      </c>
      <c r="I36" s="861"/>
      <c r="J36" s="875"/>
      <c r="K36" s="875"/>
      <c r="L36" s="875"/>
      <c r="M36" s="875"/>
      <c r="N36" s="876"/>
      <c r="O36" s="428">
        <v>316</v>
      </c>
      <c r="P36" s="428">
        <v>635</v>
      </c>
      <c r="Q36" s="590">
        <v>235</v>
      </c>
      <c r="R36" s="590">
        <v>635</v>
      </c>
      <c r="S36" s="429">
        <v>308</v>
      </c>
      <c r="T36" s="429">
        <v>635</v>
      </c>
      <c r="U36" s="429">
        <v>394</v>
      </c>
      <c r="V36" s="429">
        <v>635</v>
      </c>
      <c r="W36" s="429">
        <v>529</v>
      </c>
      <c r="X36" s="429">
        <v>635</v>
      </c>
      <c r="Y36" s="429">
        <v>100</v>
      </c>
      <c r="Z36" s="429">
        <v>635</v>
      </c>
    </row>
    <row r="37" spans="1:26">
      <c r="A37" s="873"/>
      <c r="B37" s="45" t="s">
        <v>30</v>
      </c>
      <c r="C37" s="46">
        <f t="shared" si="10"/>
        <v>77.669902912621353</v>
      </c>
      <c r="D37" s="46">
        <f t="shared" si="11"/>
        <v>65.533980582524279</v>
      </c>
      <c r="E37" s="46">
        <f t="shared" si="12"/>
        <v>78.640776699029118</v>
      </c>
      <c r="F37" s="46">
        <f t="shared" si="13"/>
        <v>89.320388349514573</v>
      </c>
      <c r="G37" s="46">
        <f t="shared" si="14"/>
        <v>98.543689320388353</v>
      </c>
      <c r="H37" s="46">
        <f t="shared" si="15"/>
        <v>0.97087378640776689</v>
      </c>
      <c r="I37" s="877"/>
      <c r="J37" s="875"/>
      <c r="K37" s="875"/>
      <c r="L37" s="875"/>
      <c r="M37" s="875"/>
      <c r="N37" s="876"/>
      <c r="O37" s="428">
        <v>160</v>
      </c>
      <c r="P37" s="428">
        <v>206</v>
      </c>
      <c r="Q37" s="428">
        <v>135</v>
      </c>
      <c r="R37" s="428">
        <v>206</v>
      </c>
      <c r="S37" s="429">
        <v>162</v>
      </c>
      <c r="T37" s="429">
        <v>206</v>
      </c>
      <c r="U37" s="429">
        <v>184</v>
      </c>
      <c r="V37" s="429">
        <v>206</v>
      </c>
      <c r="W37" s="429">
        <v>203</v>
      </c>
      <c r="X37" s="429">
        <v>206</v>
      </c>
      <c r="Y37" s="429">
        <v>2</v>
      </c>
      <c r="Z37" s="429">
        <v>206</v>
      </c>
    </row>
    <row r="38" spans="1:26">
      <c r="A38" s="873"/>
      <c r="B38" s="45" t="s">
        <v>33</v>
      </c>
      <c r="C38" s="46">
        <f t="shared" si="10"/>
        <v>67.697594501718214</v>
      </c>
      <c r="D38" s="46">
        <f t="shared" si="11"/>
        <v>53.264604810996566</v>
      </c>
      <c r="E38" s="46">
        <f t="shared" si="12"/>
        <v>67.010309278350505</v>
      </c>
      <c r="F38" s="46">
        <f t="shared" si="13"/>
        <v>77.319587628865989</v>
      </c>
      <c r="G38" s="46">
        <f t="shared" si="14"/>
        <v>92.096219931271477</v>
      </c>
      <c r="H38" s="46">
        <f t="shared" si="15"/>
        <v>5.8419243986254292</v>
      </c>
      <c r="I38" s="877"/>
      <c r="J38" s="875"/>
      <c r="K38" s="875"/>
      <c r="L38" s="875"/>
      <c r="M38" s="875"/>
      <c r="N38" s="876"/>
      <c r="O38" s="428">
        <v>197</v>
      </c>
      <c r="P38" s="428">
        <v>291</v>
      </c>
      <c r="Q38" s="428">
        <v>155</v>
      </c>
      <c r="R38" s="428">
        <v>291</v>
      </c>
      <c r="S38" s="429">
        <v>195</v>
      </c>
      <c r="T38" s="429">
        <v>291</v>
      </c>
      <c r="U38" s="429">
        <v>225</v>
      </c>
      <c r="V38" s="429">
        <v>291</v>
      </c>
      <c r="W38" s="429">
        <v>268</v>
      </c>
      <c r="X38" s="429">
        <v>291</v>
      </c>
      <c r="Y38" s="429">
        <v>17</v>
      </c>
      <c r="Z38" s="429">
        <v>291</v>
      </c>
    </row>
    <row r="39" spans="1:26" ht="14.25">
      <c r="A39" s="873"/>
      <c r="B39" s="45" t="s">
        <v>159</v>
      </c>
      <c r="C39" s="46">
        <f t="shared" si="10"/>
        <v>72.65500794912559</v>
      </c>
      <c r="D39" s="46">
        <f t="shared" si="11"/>
        <v>61.526232114467405</v>
      </c>
      <c r="E39" s="46">
        <f t="shared" si="12"/>
        <v>73.608903020667725</v>
      </c>
      <c r="F39" s="46">
        <f t="shared" si="13"/>
        <v>82.988871224165337</v>
      </c>
      <c r="G39" s="46">
        <f t="shared" si="14"/>
        <v>93.322734499205083</v>
      </c>
      <c r="H39" s="46">
        <f t="shared" si="15"/>
        <v>5.4054054054054053</v>
      </c>
      <c r="I39" s="877"/>
      <c r="J39" s="875"/>
      <c r="K39" s="875"/>
      <c r="L39" s="875"/>
      <c r="M39" s="875"/>
      <c r="N39" s="876"/>
      <c r="O39" s="428">
        <v>457</v>
      </c>
      <c r="P39" s="428">
        <v>629</v>
      </c>
      <c r="Q39" s="428">
        <v>387</v>
      </c>
      <c r="R39" s="428">
        <v>629</v>
      </c>
      <c r="S39" s="429">
        <v>463</v>
      </c>
      <c r="T39" s="429">
        <v>629</v>
      </c>
      <c r="U39" s="429">
        <v>522</v>
      </c>
      <c r="V39" s="429">
        <v>629</v>
      </c>
      <c r="W39" s="429">
        <v>587</v>
      </c>
      <c r="X39" s="429">
        <v>629</v>
      </c>
      <c r="Y39" s="429">
        <v>34</v>
      </c>
      <c r="Z39" s="429">
        <v>629</v>
      </c>
    </row>
    <row r="40" spans="1:26" ht="14.25">
      <c r="A40" s="873"/>
      <c r="B40" s="45" t="s">
        <v>160</v>
      </c>
      <c r="C40" s="46">
        <f t="shared" si="10"/>
        <v>60.869565217391312</v>
      </c>
      <c r="D40" s="46">
        <f t="shared" si="11"/>
        <v>43.280632411067195</v>
      </c>
      <c r="E40" s="46">
        <f t="shared" si="12"/>
        <v>60.671936758893288</v>
      </c>
      <c r="F40" s="46">
        <f t="shared" si="13"/>
        <v>74.505928853754938</v>
      </c>
      <c r="G40" s="46">
        <f t="shared" si="14"/>
        <v>94.664031620553359</v>
      </c>
      <c r="H40" s="46">
        <f t="shared" si="15"/>
        <v>4.9407114624505928</v>
      </c>
      <c r="I40" s="877"/>
      <c r="J40" s="875"/>
      <c r="K40" s="875"/>
      <c r="L40" s="875"/>
      <c r="M40" s="875"/>
      <c r="N40" s="876"/>
      <c r="O40" s="428">
        <v>308</v>
      </c>
      <c r="P40" s="428">
        <v>506</v>
      </c>
      <c r="Q40" s="428">
        <v>219</v>
      </c>
      <c r="R40" s="428">
        <v>506</v>
      </c>
      <c r="S40" s="429">
        <v>307</v>
      </c>
      <c r="T40" s="429">
        <v>506</v>
      </c>
      <c r="U40" s="429">
        <v>377</v>
      </c>
      <c r="V40" s="429">
        <v>506</v>
      </c>
      <c r="W40" s="429">
        <v>479</v>
      </c>
      <c r="X40" s="429">
        <v>506</v>
      </c>
      <c r="Y40" s="429">
        <v>25</v>
      </c>
      <c r="Z40" s="429">
        <v>506</v>
      </c>
    </row>
    <row r="41" spans="1:26" ht="14.25">
      <c r="A41" s="873"/>
      <c r="B41" s="45" t="s">
        <v>161</v>
      </c>
      <c r="C41" s="46">
        <f t="shared" si="10"/>
        <v>75.344352617079892</v>
      </c>
      <c r="D41" s="46">
        <f t="shared" si="11"/>
        <v>66.391184573002761</v>
      </c>
      <c r="E41" s="46">
        <f t="shared" si="12"/>
        <v>73.829201101928376</v>
      </c>
      <c r="F41" s="46">
        <f t="shared" si="13"/>
        <v>79.476584022038566</v>
      </c>
      <c r="G41" s="46">
        <f t="shared" si="14"/>
        <v>89.944903581267226</v>
      </c>
      <c r="H41" s="46">
        <f t="shared" si="15"/>
        <v>7.3002754820936637</v>
      </c>
      <c r="I41" s="877"/>
      <c r="J41" s="875"/>
      <c r="K41" s="875"/>
      <c r="L41" s="875"/>
      <c r="M41" s="875"/>
      <c r="N41" s="876"/>
      <c r="O41" s="428">
        <v>547</v>
      </c>
      <c r="P41" s="428">
        <v>726</v>
      </c>
      <c r="Q41" s="428">
        <v>482</v>
      </c>
      <c r="R41" s="428">
        <v>726</v>
      </c>
      <c r="S41" s="429">
        <v>536</v>
      </c>
      <c r="T41" s="429">
        <v>726</v>
      </c>
      <c r="U41" s="429">
        <v>577</v>
      </c>
      <c r="V41" s="429">
        <v>726</v>
      </c>
      <c r="W41" s="429">
        <v>653</v>
      </c>
      <c r="X41" s="429">
        <v>726</v>
      </c>
      <c r="Y41" s="429">
        <v>53</v>
      </c>
      <c r="Z41" s="429">
        <v>726</v>
      </c>
    </row>
    <row r="42" spans="1:26" ht="14.25">
      <c r="A42" s="873"/>
      <c r="B42" s="45" t="s">
        <v>162</v>
      </c>
      <c r="C42" s="46">
        <f t="shared" si="10"/>
        <v>66.696269982238007</v>
      </c>
      <c r="D42" s="46">
        <f t="shared" si="11"/>
        <v>54.12966252220248</v>
      </c>
      <c r="E42" s="46">
        <f t="shared" si="12"/>
        <v>65.541740674955591</v>
      </c>
      <c r="F42" s="46">
        <f t="shared" si="13"/>
        <v>74.86678507992896</v>
      </c>
      <c r="G42" s="46">
        <f t="shared" si="14"/>
        <v>88.543516873889871</v>
      </c>
      <c r="H42" s="46">
        <f t="shared" si="15"/>
        <v>10.435168738898756</v>
      </c>
      <c r="I42" s="877"/>
      <c r="J42" s="875"/>
      <c r="K42" s="875"/>
      <c r="L42" s="875"/>
      <c r="M42" s="875"/>
      <c r="N42" s="876"/>
      <c r="O42" s="428">
        <v>1502</v>
      </c>
      <c r="P42" s="428">
        <v>2252</v>
      </c>
      <c r="Q42" s="428">
        <v>1219</v>
      </c>
      <c r="R42" s="428">
        <v>2252</v>
      </c>
      <c r="S42" s="429">
        <v>1476</v>
      </c>
      <c r="T42" s="429">
        <v>2252</v>
      </c>
      <c r="U42" s="429">
        <v>1686</v>
      </c>
      <c r="V42" s="429">
        <v>2252</v>
      </c>
      <c r="W42" s="429">
        <v>1994</v>
      </c>
      <c r="X42" s="429">
        <v>2252</v>
      </c>
      <c r="Y42" s="429">
        <v>235</v>
      </c>
      <c r="Z42" s="429">
        <v>2252</v>
      </c>
    </row>
    <row r="43" spans="1:26">
      <c r="A43" s="873"/>
      <c r="B43" s="45" t="s">
        <v>38</v>
      </c>
      <c r="C43" s="46">
        <f t="shared" si="10"/>
        <v>61.241970021413273</v>
      </c>
      <c r="D43" s="46">
        <f t="shared" si="11"/>
        <v>50.321199143468952</v>
      </c>
      <c r="E43" s="46">
        <f t="shared" si="12"/>
        <v>62.312633832976452</v>
      </c>
      <c r="F43" s="46">
        <f t="shared" si="13"/>
        <v>76.873661670235549</v>
      </c>
      <c r="G43" s="46">
        <f t="shared" si="14"/>
        <v>90.792291220556748</v>
      </c>
      <c r="H43" s="46">
        <f t="shared" si="15"/>
        <v>5.3533190578158463</v>
      </c>
      <c r="I43" s="877"/>
      <c r="J43" s="875"/>
      <c r="K43" s="875"/>
      <c r="L43" s="875"/>
      <c r="M43" s="875"/>
      <c r="N43" s="876"/>
      <c r="O43" s="428">
        <v>286</v>
      </c>
      <c r="P43" s="428">
        <v>467</v>
      </c>
      <c r="Q43" s="428">
        <v>235</v>
      </c>
      <c r="R43" s="428">
        <v>467</v>
      </c>
      <c r="S43" s="429">
        <v>291</v>
      </c>
      <c r="T43" s="429">
        <v>467</v>
      </c>
      <c r="U43" s="429">
        <v>359</v>
      </c>
      <c r="V43" s="429">
        <v>467</v>
      </c>
      <c r="W43" s="429">
        <v>424</v>
      </c>
      <c r="X43" s="429">
        <v>467</v>
      </c>
      <c r="Y43" s="429">
        <v>25</v>
      </c>
      <c r="Z43" s="429">
        <v>467</v>
      </c>
    </row>
    <row r="44" spans="1:26">
      <c r="A44" s="873"/>
      <c r="B44" s="45" t="s">
        <v>31</v>
      </c>
      <c r="C44" s="46">
        <f t="shared" si="10"/>
        <v>64.177489177489178</v>
      </c>
      <c r="D44" s="46">
        <f t="shared" si="11"/>
        <v>47.077922077922082</v>
      </c>
      <c r="E44" s="46">
        <f t="shared" si="12"/>
        <v>61.255411255411254</v>
      </c>
      <c r="F44" s="46">
        <f t="shared" si="13"/>
        <v>74.783549783549788</v>
      </c>
      <c r="G44" s="46">
        <f t="shared" si="14"/>
        <v>92.316017316017323</v>
      </c>
      <c r="H44" s="46">
        <f t="shared" si="15"/>
        <v>6.1688311688311686</v>
      </c>
      <c r="I44" s="877"/>
      <c r="J44" s="875"/>
      <c r="K44" s="875"/>
      <c r="L44" s="875"/>
      <c r="M44" s="875"/>
      <c r="N44" s="876"/>
      <c r="O44" s="428">
        <v>593</v>
      </c>
      <c r="P44" s="428">
        <v>924</v>
      </c>
      <c r="Q44" s="428">
        <v>435</v>
      </c>
      <c r="R44" s="428">
        <v>924</v>
      </c>
      <c r="S44" s="429">
        <v>566</v>
      </c>
      <c r="T44" s="429">
        <v>924</v>
      </c>
      <c r="U44" s="429">
        <v>691</v>
      </c>
      <c r="V44" s="429">
        <v>924</v>
      </c>
      <c r="W44" s="429">
        <v>853</v>
      </c>
      <c r="X44" s="429">
        <v>924</v>
      </c>
      <c r="Y44" s="429">
        <v>57</v>
      </c>
      <c r="Z44" s="429">
        <v>924</v>
      </c>
    </row>
    <row r="45" spans="1:26">
      <c r="A45" s="873"/>
      <c r="B45" s="45" t="s">
        <v>40</v>
      </c>
      <c r="C45" s="46">
        <f t="shared" si="10"/>
        <v>76.474719101123597</v>
      </c>
      <c r="D45" s="46">
        <f t="shared" si="11"/>
        <v>68.117977528089895</v>
      </c>
      <c r="E45" s="46">
        <f t="shared" si="12"/>
        <v>76.123595505617985</v>
      </c>
      <c r="F45" s="46">
        <f t="shared" si="13"/>
        <v>81.601123595505626</v>
      </c>
      <c r="G45" s="46">
        <f t="shared" si="14"/>
        <v>90.730337078651687</v>
      </c>
      <c r="H45" s="46">
        <f t="shared" si="15"/>
        <v>6.6011235955056176</v>
      </c>
      <c r="I45" s="877"/>
      <c r="J45" s="875"/>
      <c r="K45" s="875"/>
      <c r="L45" s="875"/>
      <c r="M45" s="875"/>
      <c r="N45" s="876"/>
      <c r="O45" s="428">
        <v>1089</v>
      </c>
      <c r="P45" s="428">
        <v>1424</v>
      </c>
      <c r="Q45" s="428">
        <v>970</v>
      </c>
      <c r="R45" s="428">
        <v>1424</v>
      </c>
      <c r="S45" s="429">
        <v>1084</v>
      </c>
      <c r="T45" s="429">
        <v>1424</v>
      </c>
      <c r="U45" s="429">
        <v>1162</v>
      </c>
      <c r="V45" s="429">
        <v>1424</v>
      </c>
      <c r="W45" s="429">
        <v>1292</v>
      </c>
      <c r="X45" s="429">
        <v>1424</v>
      </c>
      <c r="Y45" s="429">
        <v>94</v>
      </c>
      <c r="Z45" s="429">
        <v>1424</v>
      </c>
    </row>
    <row r="46" spans="1:26" ht="14.25">
      <c r="A46" s="873"/>
      <c r="B46" s="45" t="s">
        <v>163</v>
      </c>
      <c r="C46" s="46">
        <f t="shared" si="10"/>
        <v>15</v>
      </c>
      <c r="D46" s="46">
        <f t="shared" si="11"/>
        <v>2.5</v>
      </c>
      <c r="E46" s="46">
        <f t="shared" si="12"/>
        <v>15</v>
      </c>
      <c r="F46" s="46">
        <f t="shared" si="13"/>
        <v>17.5</v>
      </c>
      <c r="G46" s="46">
        <f t="shared" si="14"/>
        <v>27.500000000000004</v>
      </c>
      <c r="H46" s="46">
        <f t="shared" si="15"/>
        <v>37.5</v>
      </c>
      <c r="I46" s="877"/>
      <c r="J46" s="875"/>
      <c r="K46" s="875"/>
      <c r="L46" s="875"/>
      <c r="M46" s="875"/>
      <c r="N46" s="876"/>
      <c r="O46" s="428">
        <v>6</v>
      </c>
      <c r="P46" s="428">
        <v>40</v>
      </c>
      <c r="Q46" s="428">
        <v>1</v>
      </c>
      <c r="R46" s="428">
        <v>40</v>
      </c>
      <c r="S46" s="429">
        <v>6</v>
      </c>
      <c r="T46" s="429">
        <v>40</v>
      </c>
      <c r="U46" s="429">
        <v>7</v>
      </c>
      <c r="V46" s="429">
        <v>40</v>
      </c>
      <c r="W46" s="429">
        <v>11</v>
      </c>
      <c r="X46" s="429">
        <v>40</v>
      </c>
      <c r="Y46" s="429">
        <v>15</v>
      </c>
      <c r="Z46" s="429">
        <v>40</v>
      </c>
    </row>
    <row r="47" spans="1:26">
      <c r="A47" s="873"/>
      <c r="B47" s="45" t="s">
        <v>41</v>
      </c>
      <c r="C47" s="46">
        <f t="shared" si="10"/>
        <v>57.142857142857139</v>
      </c>
      <c r="D47" s="46">
        <f t="shared" si="11"/>
        <v>37.142857142857146</v>
      </c>
      <c r="E47" s="46">
        <f t="shared" si="12"/>
        <v>54.285714285714285</v>
      </c>
      <c r="F47" s="46">
        <f t="shared" si="13"/>
        <v>60</v>
      </c>
      <c r="G47" s="46">
        <f t="shared" si="14"/>
        <v>80</v>
      </c>
      <c r="H47" s="46">
        <f t="shared" si="15"/>
        <v>14.285714285714285</v>
      </c>
      <c r="I47" s="877"/>
      <c r="J47" s="875"/>
      <c r="K47" s="875"/>
      <c r="L47" s="875"/>
      <c r="M47" s="875"/>
      <c r="N47" s="876"/>
      <c r="O47" s="428">
        <v>20</v>
      </c>
      <c r="P47" s="428">
        <v>35</v>
      </c>
      <c r="Q47" s="428">
        <v>13</v>
      </c>
      <c r="R47" s="428">
        <v>35</v>
      </c>
      <c r="S47" s="429">
        <v>19</v>
      </c>
      <c r="T47" s="429">
        <v>35</v>
      </c>
      <c r="U47" s="429">
        <v>21</v>
      </c>
      <c r="V47" s="429">
        <v>35</v>
      </c>
      <c r="W47" s="429">
        <v>28</v>
      </c>
      <c r="X47" s="429">
        <v>35</v>
      </c>
      <c r="Y47" s="429">
        <v>5</v>
      </c>
      <c r="Z47" s="429">
        <v>35</v>
      </c>
    </row>
    <row r="48" spans="1:26">
      <c r="A48" s="873"/>
      <c r="B48" s="45" t="s">
        <v>34</v>
      </c>
      <c r="C48" s="46">
        <f t="shared" si="10"/>
        <v>56.896551724137936</v>
      </c>
      <c r="D48" s="46">
        <f t="shared" si="11"/>
        <v>39.482758620689658</v>
      </c>
      <c r="E48" s="46">
        <f t="shared" si="12"/>
        <v>56.37931034482758</v>
      </c>
      <c r="F48" s="46">
        <f t="shared" si="13"/>
        <v>68.103448275862064</v>
      </c>
      <c r="G48" s="46">
        <f t="shared" si="14"/>
        <v>85.517241379310349</v>
      </c>
      <c r="H48" s="46">
        <f t="shared" si="15"/>
        <v>13.620689655172413</v>
      </c>
      <c r="I48" s="877"/>
      <c r="J48" s="875"/>
      <c r="K48" s="875"/>
      <c r="L48" s="875"/>
      <c r="M48" s="875"/>
      <c r="N48" s="876"/>
      <c r="O48" s="428">
        <v>330</v>
      </c>
      <c r="P48" s="428">
        <v>580</v>
      </c>
      <c r="Q48" s="428">
        <v>229</v>
      </c>
      <c r="R48" s="428">
        <v>580</v>
      </c>
      <c r="S48" s="429">
        <v>327</v>
      </c>
      <c r="T48" s="429">
        <v>580</v>
      </c>
      <c r="U48" s="429">
        <v>395</v>
      </c>
      <c r="V48" s="429">
        <v>580</v>
      </c>
      <c r="W48" s="429">
        <v>496</v>
      </c>
      <c r="X48" s="429">
        <v>580</v>
      </c>
      <c r="Y48" s="429">
        <v>79</v>
      </c>
      <c r="Z48" s="429">
        <v>580</v>
      </c>
    </row>
    <row r="49" spans="1:28" ht="14.25">
      <c r="A49" s="874"/>
      <c r="B49" s="45" t="s">
        <v>164</v>
      </c>
      <c r="C49" s="46">
        <f t="shared" si="10"/>
        <v>86.36363636363636</v>
      </c>
      <c r="D49" s="46">
        <f t="shared" si="11"/>
        <v>77.272727272727266</v>
      </c>
      <c r="E49" s="46">
        <f t="shared" si="12"/>
        <v>86.36363636363636</v>
      </c>
      <c r="F49" s="46">
        <f t="shared" si="13"/>
        <v>90.909090909090907</v>
      </c>
      <c r="G49" s="46">
        <f t="shared" si="14"/>
        <v>95.454545454545453</v>
      </c>
      <c r="H49" s="46">
        <f t="shared" si="15"/>
        <v>4.5454545454545459</v>
      </c>
      <c r="I49" s="878"/>
      <c r="J49" s="879"/>
      <c r="K49" s="879"/>
      <c r="L49" s="879"/>
      <c r="M49" s="879"/>
      <c r="N49" s="880"/>
      <c r="O49" s="428">
        <v>19</v>
      </c>
      <c r="P49" s="428">
        <v>22</v>
      </c>
      <c r="Q49" s="428">
        <v>17</v>
      </c>
      <c r="R49" s="428">
        <v>22</v>
      </c>
      <c r="S49" s="429">
        <v>19</v>
      </c>
      <c r="T49" s="429">
        <v>22</v>
      </c>
      <c r="U49" s="429">
        <v>20</v>
      </c>
      <c r="V49" s="429">
        <v>22</v>
      </c>
      <c r="W49" s="429">
        <v>21</v>
      </c>
      <c r="X49" s="429">
        <v>22</v>
      </c>
      <c r="Y49" s="429">
        <v>1</v>
      </c>
      <c r="Z49" s="429">
        <v>22</v>
      </c>
    </row>
    <row r="50" spans="1:28">
      <c r="A50" s="61"/>
      <c r="C50" s="34"/>
      <c r="D50" s="34"/>
      <c r="E50" s="34"/>
      <c r="F50" s="34"/>
      <c r="G50" s="34"/>
      <c r="H50" s="34"/>
      <c r="I50" s="34"/>
      <c r="J50" s="34"/>
      <c r="M50" s="648"/>
      <c r="N50" s="648"/>
    </row>
    <row r="51" spans="1:28">
      <c r="A51" s="62" t="s">
        <v>142</v>
      </c>
      <c r="C51" s="34"/>
      <c r="D51" s="34"/>
      <c r="E51" s="34"/>
      <c r="F51" s="34"/>
      <c r="G51" s="34"/>
      <c r="H51" s="34"/>
      <c r="I51" s="34"/>
      <c r="J51" s="34"/>
      <c r="M51" s="648"/>
      <c r="N51" s="648"/>
    </row>
    <row r="52" spans="1:28" s="642" customFormat="1">
      <c r="A52" s="51"/>
      <c r="B52" s="648"/>
      <c r="C52" s="34"/>
      <c r="D52" s="34"/>
      <c r="E52" s="34"/>
      <c r="F52" s="34"/>
      <c r="G52" s="34"/>
      <c r="H52" s="34"/>
      <c r="I52" s="34"/>
      <c r="J52" s="34"/>
      <c r="K52" s="34"/>
      <c r="L52" s="34"/>
      <c r="M52" s="34"/>
      <c r="O52" s="648"/>
      <c r="P52" s="648"/>
      <c r="Q52" s="648"/>
      <c r="R52" s="648"/>
      <c r="S52" s="648"/>
      <c r="T52" s="648"/>
      <c r="U52" s="648"/>
      <c r="V52" s="648"/>
      <c r="W52" s="648"/>
      <c r="X52" s="648"/>
      <c r="Y52" s="648"/>
      <c r="Z52" s="648"/>
      <c r="AA52" s="648"/>
      <c r="AB52" s="648"/>
    </row>
    <row r="53" spans="1:28" s="642" customFormat="1">
      <c r="A53" s="51"/>
      <c r="B53" s="648"/>
      <c r="C53" s="34"/>
      <c r="D53" s="34"/>
      <c r="E53" s="34"/>
      <c r="F53" s="34"/>
      <c r="G53" s="34"/>
      <c r="H53" s="34"/>
      <c r="I53" s="34"/>
      <c r="J53" s="34"/>
      <c r="K53" s="34"/>
      <c r="L53" s="34"/>
      <c r="M53" s="34"/>
      <c r="O53" s="648"/>
      <c r="P53" s="648"/>
      <c r="Q53" s="648"/>
      <c r="R53" s="648"/>
      <c r="S53" s="648"/>
      <c r="T53" s="648"/>
      <c r="U53" s="648"/>
      <c r="V53" s="648"/>
      <c r="W53" s="648"/>
      <c r="X53" s="648"/>
      <c r="Y53" s="648"/>
      <c r="Z53" s="648"/>
      <c r="AA53" s="648"/>
      <c r="AB53" s="648"/>
    </row>
    <row r="54" spans="1:28" s="642" customFormat="1">
      <c r="A54" s="51"/>
      <c r="B54" s="648"/>
      <c r="C54" s="34"/>
      <c r="D54" s="34"/>
      <c r="E54" s="34"/>
      <c r="F54" s="34"/>
      <c r="G54" s="34"/>
      <c r="H54" s="34"/>
      <c r="I54" s="34"/>
      <c r="J54" s="34"/>
      <c r="K54" s="34"/>
      <c r="L54" s="34"/>
      <c r="M54" s="34"/>
      <c r="O54" s="648"/>
      <c r="P54" s="648"/>
      <c r="Q54" s="648"/>
      <c r="R54" s="648"/>
      <c r="S54" s="648"/>
      <c r="T54" s="648"/>
      <c r="U54" s="648"/>
      <c r="V54" s="648"/>
      <c r="W54" s="648"/>
      <c r="X54" s="648"/>
      <c r="Y54" s="648"/>
      <c r="Z54" s="648"/>
      <c r="AA54" s="648"/>
      <c r="AB54" s="648"/>
    </row>
  </sheetData>
  <sheetProtection password="B8D9" sheet="1" objects="1" scenarios="1"/>
  <mergeCells count="19">
    <mergeCell ref="C1:H1"/>
    <mergeCell ref="O1:P1"/>
    <mergeCell ref="Q1:R1"/>
    <mergeCell ref="S1:T1"/>
    <mergeCell ref="U1:V1"/>
    <mergeCell ref="Y34:Z34"/>
    <mergeCell ref="A36:A49"/>
    <mergeCell ref="I36:N49"/>
    <mergeCell ref="W1:X1"/>
    <mergeCell ref="Y1:Z1"/>
    <mergeCell ref="A34:B34"/>
    <mergeCell ref="C34:H34"/>
    <mergeCell ref="I34:N35"/>
    <mergeCell ref="O34:P34"/>
    <mergeCell ref="Q34:R34"/>
    <mergeCell ref="S34:T34"/>
    <mergeCell ref="U34:V34"/>
    <mergeCell ref="W34:X34"/>
    <mergeCell ref="A1:B1"/>
  </mergeCells>
  <printOptions horizontalCentered="1"/>
  <pageMargins left="0" right="0" top="0.27559055118110237" bottom="0.51181102362204722" header="0.15748031496062992" footer="0.19685039370078741"/>
  <pageSetup paperSize="9" scale="55"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39.xml><?xml version="1.0" encoding="utf-8"?>
<worksheet xmlns="http://schemas.openxmlformats.org/spreadsheetml/2006/main" xmlns:r="http://schemas.openxmlformats.org/officeDocument/2006/relationships">
  <sheetPr codeName="Sheet41">
    <pageSetUpPr fitToPage="1"/>
  </sheetPr>
  <dimension ref="B1:T45"/>
  <sheetViews>
    <sheetView workbookViewId="0"/>
  </sheetViews>
  <sheetFormatPr defaultRowHeight="12.75"/>
  <cols>
    <col min="1" max="1" width="2.7109375" style="336" customWidth="1"/>
    <col min="2" max="16384" width="9.140625" style="336"/>
  </cols>
  <sheetData>
    <row r="1" spans="2:20" s="579" customFormat="1" ht="24.95" customHeight="1">
      <c r="B1" s="795" t="s">
        <v>571</v>
      </c>
      <c r="C1" s="795"/>
      <c r="D1" s="795"/>
      <c r="E1" s="795"/>
      <c r="F1" s="795"/>
      <c r="G1" s="795"/>
      <c r="H1" s="795"/>
      <c r="I1" s="795"/>
      <c r="J1" s="795"/>
      <c r="K1" s="795"/>
      <c r="L1" s="795"/>
      <c r="M1" s="795"/>
      <c r="N1" s="795"/>
      <c r="O1" s="26"/>
      <c r="P1" s="802" t="s">
        <v>48</v>
      </c>
      <c r="Q1" s="26"/>
      <c r="R1" s="26"/>
      <c r="S1" s="26"/>
      <c r="T1" s="26"/>
    </row>
    <row r="2" spans="2:20" s="579" customFormat="1" ht="12.75" customHeight="1">
      <c r="B2" s="835" t="s">
        <v>765</v>
      </c>
      <c r="C2" s="835"/>
      <c r="D2" s="835"/>
      <c r="E2" s="835"/>
      <c r="F2" s="835"/>
      <c r="G2" s="835"/>
      <c r="H2" s="835"/>
      <c r="I2" s="835"/>
      <c r="J2" s="835"/>
      <c r="K2" s="835"/>
      <c r="L2" s="835"/>
      <c r="M2" s="835"/>
      <c r="O2" s="27"/>
      <c r="P2" s="802"/>
      <c r="Q2" s="28"/>
      <c r="R2" s="803"/>
      <c r="S2" s="803"/>
      <c r="T2" s="803"/>
    </row>
    <row r="3" spans="2:20" s="579" customFormat="1" ht="12.75" customHeight="1">
      <c r="B3" s="835"/>
      <c r="C3" s="835"/>
      <c r="D3" s="835"/>
      <c r="E3" s="835"/>
      <c r="F3" s="835"/>
      <c r="G3" s="835"/>
      <c r="H3" s="835"/>
      <c r="I3" s="835"/>
      <c r="J3" s="835"/>
      <c r="K3" s="835"/>
      <c r="L3" s="835"/>
      <c r="M3" s="835"/>
      <c r="O3" s="589"/>
      <c r="P3" s="802"/>
      <c r="Q3" s="29"/>
      <c r="R3" s="572"/>
      <c r="S3" s="572"/>
      <c r="T3" s="572"/>
    </row>
    <row r="4" spans="2:20" s="579" customFormat="1" ht="15" customHeight="1">
      <c r="B4" s="836" t="s">
        <v>309</v>
      </c>
      <c r="C4" s="836"/>
      <c r="D4" s="836"/>
      <c r="E4" s="836"/>
      <c r="F4" s="836"/>
      <c r="G4" s="836"/>
      <c r="H4" s="836"/>
      <c r="I4" s="836"/>
      <c r="J4" s="836"/>
      <c r="K4" s="836"/>
      <c r="L4" s="836"/>
      <c r="O4" s="589"/>
      <c r="P4" s="802"/>
      <c r="Q4" s="29"/>
      <c r="R4" s="572"/>
      <c r="S4" s="572"/>
      <c r="T4" s="572"/>
    </row>
    <row r="5" spans="2:20" s="579" customFormat="1" ht="15" customHeight="1">
      <c r="B5" s="836"/>
      <c r="C5" s="836"/>
      <c r="D5" s="836"/>
      <c r="E5" s="836"/>
      <c r="F5" s="836"/>
      <c r="G5" s="836"/>
      <c r="H5" s="836"/>
      <c r="I5" s="836"/>
      <c r="J5" s="836"/>
      <c r="K5" s="836"/>
      <c r="L5" s="836"/>
      <c r="M5" s="571"/>
      <c r="N5" s="571"/>
      <c r="O5" s="589"/>
      <c r="P5" s="589"/>
      <c r="Q5" s="29"/>
      <c r="R5" s="572"/>
      <c r="S5" s="572"/>
      <c r="T5" s="572"/>
    </row>
    <row r="6" spans="2:20" s="579" customFormat="1" ht="15" customHeight="1">
      <c r="B6" s="836"/>
      <c r="C6" s="836"/>
      <c r="D6" s="836"/>
      <c r="E6" s="836"/>
      <c r="F6" s="836"/>
      <c r="G6" s="836"/>
      <c r="H6" s="836"/>
      <c r="I6" s="836"/>
      <c r="J6" s="836"/>
      <c r="K6" s="836"/>
      <c r="L6" s="836"/>
      <c r="M6" s="571"/>
      <c r="N6" s="571"/>
      <c r="O6" s="30"/>
      <c r="P6" s="726" t="s">
        <v>748</v>
      </c>
      <c r="Q6" s="29"/>
      <c r="R6" s="572"/>
      <c r="S6" s="572"/>
      <c r="T6" s="572"/>
    </row>
    <row r="41" spans="2:17" s="579" customFormat="1">
      <c r="B41" s="32" t="s">
        <v>455</v>
      </c>
      <c r="C41" s="33"/>
      <c r="D41" s="34"/>
      <c r="E41" s="34"/>
      <c r="F41" s="34"/>
      <c r="G41" s="34"/>
      <c r="H41" s="34"/>
      <c r="I41" s="34"/>
      <c r="J41" s="34"/>
      <c r="K41" s="34"/>
      <c r="L41" s="569"/>
      <c r="M41" s="569"/>
      <c r="N41" s="35"/>
      <c r="O41" s="35"/>
      <c r="P41" s="35"/>
      <c r="Q41" s="35"/>
    </row>
    <row r="42" spans="2:17" s="579" customFormat="1" ht="12.75" customHeight="1">
      <c r="B42" s="797" t="s">
        <v>0</v>
      </c>
      <c r="C42" s="797"/>
      <c r="D42" s="797"/>
      <c r="E42" s="797"/>
      <c r="F42" s="797"/>
      <c r="G42" s="797"/>
      <c r="H42" s="797"/>
      <c r="I42" s="797"/>
      <c r="J42" s="797"/>
      <c r="K42" s="797"/>
      <c r="L42" s="797"/>
      <c r="M42" s="797"/>
      <c r="N42" s="578"/>
      <c r="O42" s="578"/>
      <c r="P42" s="578"/>
    </row>
    <row r="43" spans="2:17" s="579" customFormat="1">
      <c r="B43" s="797"/>
      <c r="C43" s="797"/>
      <c r="D43" s="797"/>
      <c r="E43" s="797"/>
      <c r="F43" s="797"/>
      <c r="G43" s="797"/>
      <c r="H43" s="797"/>
      <c r="I43" s="797"/>
      <c r="J43" s="797"/>
      <c r="K43" s="797"/>
      <c r="L43" s="797"/>
      <c r="M43" s="797"/>
    </row>
    <row r="44" spans="2:17" s="579" customFormat="1">
      <c r="B44" s="797" t="s">
        <v>446</v>
      </c>
      <c r="C44" s="797"/>
      <c r="D44" s="797"/>
      <c r="E44" s="797"/>
      <c r="F44" s="797"/>
      <c r="G44" s="797"/>
      <c r="H44" s="797"/>
      <c r="I44" s="797"/>
      <c r="J44" s="797"/>
      <c r="K44" s="797"/>
      <c r="L44" s="797"/>
      <c r="M44" s="797"/>
    </row>
    <row r="45" spans="2:17">
      <c r="B45" s="797"/>
      <c r="C45" s="797"/>
      <c r="D45" s="797"/>
      <c r="E45" s="797"/>
      <c r="F45" s="797"/>
      <c r="G45" s="797"/>
      <c r="H45" s="797"/>
      <c r="I45" s="797"/>
      <c r="J45" s="797"/>
      <c r="K45" s="797"/>
      <c r="L45" s="797"/>
      <c r="M45" s="797"/>
    </row>
  </sheetData>
  <sheetProtection password="B8D9" sheet="1" objects="1" scenarios="1"/>
  <mergeCells count="7">
    <mergeCell ref="B42:M43"/>
    <mergeCell ref="B44:M45"/>
    <mergeCell ref="B1:N1"/>
    <mergeCell ref="R2:T2"/>
    <mergeCell ref="B4:L6"/>
    <mergeCell ref="B2:M3"/>
    <mergeCell ref="P1:P4"/>
  </mergeCells>
  <hyperlinks>
    <hyperlink ref="P1" location="'List of Tables &amp; Charts'!A1" display="return to List of Tables &amp; Charts"/>
    <hyperlink ref="P6" location="'Chart 5 (2015) DATA'!A1" display="view Chart 5 data"/>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4.xml><?xml version="1.0" encoding="utf-8"?>
<worksheet xmlns="http://schemas.openxmlformats.org/spreadsheetml/2006/main" xmlns:r="http://schemas.openxmlformats.org/officeDocument/2006/relationships">
  <sheetPr codeName="Sheet30"/>
  <dimension ref="A1:L39"/>
  <sheetViews>
    <sheetView zoomScaleNormal="100" workbookViewId="0">
      <pane ySplit="3" topLeftCell="A4" activePane="bottomLeft" state="frozen"/>
      <selection pane="bottomLeft" activeCell="A4" sqref="A4"/>
    </sheetView>
  </sheetViews>
  <sheetFormatPr defaultRowHeight="12.75"/>
  <cols>
    <col min="1" max="1" width="1.7109375" style="114" customWidth="1"/>
    <col min="2" max="2" width="30.7109375" style="114" customWidth="1"/>
    <col min="3" max="3" width="12" style="114" bestFit="1" customWidth="1"/>
    <col min="4" max="4" width="12" style="114" customWidth="1"/>
    <col min="5" max="5" width="8.7109375" style="114" customWidth="1"/>
    <col min="6" max="6" width="10.7109375" style="114" customWidth="1"/>
    <col min="7" max="7" width="13.7109375" style="114" customWidth="1"/>
    <col min="8" max="8" width="10.7109375" style="114" customWidth="1"/>
    <col min="9" max="9" width="40.7109375" style="130" customWidth="1"/>
    <col min="10" max="16384" width="9.140625" style="114"/>
  </cols>
  <sheetData>
    <row r="1" spans="1:12" ht="41.25" customHeight="1">
      <c r="B1" s="115" t="s">
        <v>354</v>
      </c>
      <c r="E1" s="116"/>
      <c r="F1" s="29"/>
      <c r="G1" s="29"/>
      <c r="H1" s="29"/>
      <c r="I1" s="517"/>
    </row>
    <row r="2" spans="1:12" ht="15.75" customHeight="1" thickBot="1">
      <c r="B2" s="458" t="s">
        <v>48</v>
      </c>
      <c r="C2" s="2"/>
      <c r="D2" s="483"/>
      <c r="E2" s="2"/>
      <c r="F2" s="2"/>
      <c r="G2" s="2"/>
      <c r="H2" s="2"/>
      <c r="I2" s="267"/>
    </row>
    <row r="3" spans="1:12" ht="76.5" customHeight="1">
      <c r="B3" s="117" t="s">
        <v>257</v>
      </c>
      <c r="C3" s="118" t="s">
        <v>543</v>
      </c>
      <c r="D3" s="118" t="s">
        <v>576</v>
      </c>
      <c r="E3" s="118" t="s">
        <v>258</v>
      </c>
      <c r="F3" s="118" t="s">
        <v>259</v>
      </c>
      <c r="G3" s="118" t="s">
        <v>281</v>
      </c>
      <c r="H3" s="118" t="s">
        <v>282</v>
      </c>
      <c r="I3" s="119" t="s">
        <v>260</v>
      </c>
    </row>
    <row r="4" spans="1:12" s="121" customFormat="1" ht="50.1" customHeight="1">
      <c r="A4" s="120" t="s">
        <v>60</v>
      </c>
      <c r="B4" s="279" t="s">
        <v>60</v>
      </c>
      <c r="C4" s="421">
        <v>266</v>
      </c>
      <c r="D4" s="421">
        <v>0</v>
      </c>
      <c r="E4" s="486">
        <v>9</v>
      </c>
      <c r="F4" s="486">
        <v>0</v>
      </c>
      <c r="G4" s="486">
        <v>15</v>
      </c>
      <c r="H4" s="486">
        <v>0</v>
      </c>
      <c r="I4" s="770" t="s">
        <v>642</v>
      </c>
    </row>
    <row r="5" spans="1:12" s="121" customFormat="1" ht="50.1" customHeight="1">
      <c r="A5" s="122" t="s">
        <v>62</v>
      </c>
      <c r="B5" s="279" t="s">
        <v>64</v>
      </c>
      <c r="C5" s="421">
        <v>384</v>
      </c>
      <c r="D5" s="421">
        <v>12</v>
      </c>
      <c r="E5" s="486">
        <v>15</v>
      </c>
      <c r="F5" s="486">
        <v>0</v>
      </c>
      <c r="G5" s="486">
        <v>0</v>
      </c>
      <c r="H5" s="486">
        <v>20</v>
      </c>
      <c r="I5" s="771"/>
    </row>
    <row r="6" spans="1:12" s="121" customFormat="1" ht="38.25">
      <c r="A6" s="120" t="s">
        <v>65</v>
      </c>
      <c r="B6" s="279" t="s">
        <v>66</v>
      </c>
      <c r="C6" s="421">
        <v>216</v>
      </c>
      <c r="D6" s="421">
        <v>0</v>
      </c>
      <c r="E6" s="486">
        <v>0</v>
      </c>
      <c r="F6" s="486">
        <v>12</v>
      </c>
      <c r="G6" s="486">
        <v>0</v>
      </c>
      <c r="H6" s="486">
        <v>0</v>
      </c>
      <c r="I6" s="487" t="s">
        <v>344</v>
      </c>
    </row>
    <row r="7" spans="1:12" s="121" customFormat="1" ht="50.1" customHeight="1">
      <c r="A7" s="120" t="s">
        <v>67</v>
      </c>
      <c r="B7" s="279" t="s">
        <v>69</v>
      </c>
      <c r="C7" s="421">
        <v>247</v>
      </c>
      <c r="D7" s="421">
        <v>0</v>
      </c>
      <c r="E7" s="486">
        <v>0</v>
      </c>
      <c r="F7" s="486">
        <v>9</v>
      </c>
      <c r="G7" s="486">
        <v>0</v>
      </c>
      <c r="H7" s="486">
        <v>0</v>
      </c>
      <c r="I7" s="487"/>
      <c r="K7" s="123"/>
      <c r="L7" s="124"/>
    </row>
    <row r="8" spans="1:12" s="121" customFormat="1" ht="50.1" customHeight="1">
      <c r="A8" s="120" t="s">
        <v>70</v>
      </c>
      <c r="B8" s="279" t="s">
        <v>72</v>
      </c>
      <c r="C8" s="421">
        <v>39</v>
      </c>
      <c r="D8" s="421">
        <v>0</v>
      </c>
      <c r="E8" s="486">
        <v>0</v>
      </c>
      <c r="F8" s="486">
        <v>1</v>
      </c>
      <c r="G8" s="486">
        <v>0</v>
      </c>
      <c r="H8" s="486">
        <v>0</v>
      </c>
      <c r="I8" s="487"/>
      <c r="K8" s="123"/>
      <c r="L8" s="124"/>
    </row>
    <row r="9" spans="1:12" s="121" customFormat="1" ht="102">
      <c r="A9" s="120" t="s">
        <v>73</v>
      </c>
      <c r="B9" s="279" t="s">
        <v>74</v>
      </c>
      <c r="C9" s="421">
        <v>627</v>
      </c>
      <c r="D9" s="421">
        <v>0</v>
      </c>
      <c r="E9" s="486">
        <v>0</v>
      </c>
      <c r="F9" s="486">
        <v>24</v>
      </c>
      <c r="G9" s="486">
        <v>0</v>
      </c>
      <c r="H9" s="486">
        <v>38</v>
      </c>
      <c r="I9" s="488" t="s">
        <v>348</v>
      </c>
      <c r="K9" s="123"/>
      <c r="L9" s="124"/>
    </row>
    <row r="10" spans="1:12" s="121" customFormat="1" ht="50.1" customHeight="1">
      <c r="A10" s="120" t="s">
        <v>194</v>
      </c>
      <c r="B10" s="279" t="s">
        <v>76</v>
      </c>
      <c r="C10" s="421">
        <v>549</v>
      </c>
      <c r="D10" s="421">
        <v>0</v>
      </c>
      <c r="E10" s="486">
        <v>30</v>
      </c>
      <c r="F10" s="486">
        <v>0</v>
      </c>
      <c r="G10" s="486">
        <v>0</v>
      </c>
      <c r="H10" s="486">
        <v>10</v>
      </c>
      <c r="I10" s="488"/>
      <c r="K10" s="123"/>
      <c r="L10" s="124"/>
    </row>
    <row r="11" spans="1:12" s="121" customFormat="1" ht="50.1" customHeight="1">
      <c r="A11" s="120" t="s">
        <v>77</v>
      </c>
      <c r="B11" s="279" t="s">
        <v>78</v>
      </c>
      <c r="C11" s="421">
        <v>704</v>
      </c>
      <c r="D11" s="421">
        <v>0</v>
      </c>
      <c r="E11" s="486">
        <v>16</v>
      </c>
      <c r="F11" s="486">
        <v>0</v>
      </c>
      <c r="G11" s="486">
        <v>0</v>
      </c>
      <c r="H11" s="486">
        <v>40</v>
      </c>
      <c r="I11" s="488" t="s">
        <v>345</v>
      </c>
      <c r="K11" s="123"/>
      <c r="L11" s="124"/>
    </row>
    <row r="12" spans="1:12" s="121" customFormat="1" ht="50.1" customHeight="1">
      <c r="A12" s="120" t="s">
        <v>79</v>
      </c>
      <c r="B12" s="279" t="s">
        <v>81</v>
      </c>
      <c r="C12" s="421">
        <v>131</v>
      </c>
      <c r="D12" s="421">
        <v>0</v>
      </c>
      <c r="E12" s="486">
        <v>0</v>
      </c>
      <c r="F12" s="486">
        <v>8</v>
      </c>
      <c r="G12" s="486">
        <v>0</v>
      </c>
      <c r="H12" s="486">
        <v>0</v>
      </c>
      <c r="I12" s="488"/>
      <c r="K12" s="123"/>
      <c r="L12" s="124"/>
    </row>
    <row r="13" spans="1:12" s="121" customFormat="1" ht="50.1" customHeight="1">
      <c r="A13" s="120" t="s">
        <v>82</v>
      </c>
      <c r="B13" s="279" t="s">
        <v>83</v>
      </c>
      <c r="C13" s="421">
        <v>519</v>
      </c>
      <c r="D13" s="421">
        <v>5</v>
      </c>
      <c r="E13" s="486">
        <v>38</v>
      </c>
      <c r="F13" s="486">
        <v>0</v>
      </c>
      <c r="G13" s="486">
        <v>0</v>
      </c>
      <c r="H13" s="486">
        <v>24</v>
      </c>
      <c r="I13" s="488"/>
      <c r="K13" s="123"/>
      <c r="L13" s="124"/>
    </row>
    <row r="14" spans="1:12" s="121" customFormat="1" ht="50.1" customHeight="1">
      <c r="A14" s="120" t="s">
        <v>84</v>
      </c>
      <c r="B14" s="279" t="s">
        <v>86</v>
      </c>
      <c r="C14" s="421">
        <v>216</v>
      </c>
      <c r="D14" s="421">
        <v>0</v>
      </c>
      <c r="E14" s="486">
        <v>0</v>
      </c>
      <c r="F14" s="486">
        <v>17</v>
      </c>
      <c r="G14" s="486">
        <v>0</v>
      </c>
      <c r="H14" s="486">
        <v>0</v>
      </c>
      <c r="I14" s="487"/>
      <c r="K14" s="123"/>
      <c r="L14" s="124"/>
    </row>
    <row r="15" spans="1:12" s="121" customFormat="1" ht="50.1" customHeight="1">
      <c r="A15" s="120"/>
      <c r="B15" s="279" t="s">
        <v>542</v>
      </c>
      <c r="C15" s="421">
        <v>1142</v>
      </c>
      <c r="D15" s="421">
        <v>0</v>
      </c>
      <c r="E15" s="486">
        <v>26</v>
      </c>
      <c r="F15" s="486">
        <v>60</v>
      </c>
      <c r="G15" s="486">
        <v>0</v>
      </c>
      <c r="H15" s="486">
        <v>0</v>
      </c>
      <c r="I15" s="487"/>
      <c r="K15" s="123"/>
      <c r="L15" s="124"/>
    </row>
    <row r="16" spans="1:12" s="121" customFormat="1" ht="50.1" customHeight="1">
      <c r="A16" s="120" t="s">
        <v>87</v>
      </c>
      <c r="B16" s="279" t="s">
        <v>88</v>
      </c>
      <c r="C16" s="421">
        <v>339</v>
      </c>
      <c r="D16" s="421">
        <v>0</v>
      </c>
      <c r="E16" s="486">
        <v>0</v>
      </c>
      <c r="F16" s="486">
        <v>30</v>
      </c>
      <c r="G16" s="486">
        <v>0</v>
      </c>
      <c r="H16" s="486">
        <v>0</v>
      </c>
      <c r="I16" s="487"/>
      <c r="K16" s="123"/>
      <c r="L16" s="124"/>
    </row>
    <row r="17" spans="1:12" s="121" customFormat="1" ht="50.1" customHeight="1">
      <c r="A17" s="120" t="s">
        <v>91</v>
      </c>
      <c r="B17" s="279" t="s">
        <v>93</v>
      </c>
      <c r="C17" s="421">
        <v>30</v>
      </c>
      <c r="D17" s="421">
        <v>0</v>
      </c>
      <c r="E17" s="486">
        <v>0</v>
      </c>
      <c r="F17" s="486">
        <v>0</v>
      </c>
      <c r="G17" s="486">
        <v>0</v>
      </c>
      <c r="H17" s="486">
        <v>0</v>
      </c>
      <c r="I17" s="487" t="s">
        <v>349</v>
      </c>
      <c r="K17" s="123"/>
      <c r="L17" s="124"/>
    </row>
    <row r="18" spans="1:12" s="121" customFormat="1" ht="50.1" customHeight="1">
      <c r="A18" s="120" t="s">
        <v>94</v>
      </c>
      <c r="B18" s="279" t="s">
        <v>96</v>
      </c>
      <c r="C18" s="421">
        <v>73</v>
      </c>
      <c r="D18" s="421">
        <v>0</v>
      </c>
      <c r="E18" s="486">
        <v>0</v>
      </c>
      <c r="F18" s="486">
        <v>0</v>
      </c>
      <c r="G18" s="486">
        <v>0</v>
      </c>
      <c r="H18" s="486">
        <v>0</v>
      </c>
      <c r="I18" s="516" t="s">
        <v>349</v>
      </c>
      <c r="K18" s="123"/>
      <c r="L18" s="124"/>
    </row>
    <row r="19" spans="1:12" s="121" customFormat="1" ht="50.1" customHeight="1">
      <c r="A19" s="120" t="s">
        <v>97</v>
      </c>
      <c r="B19" s="279" t="s">
        <v>99</v>
      </c>
      <c r="C19" s="421">
        <v>44</v>
      </c>
      <c r="D19" s="421">
        <v>0</v>
      </c>
      <c r="E19" s="486">
        <v>0</v>
      </c>
      <c r="F19" s="486">
        <v>6</v>
      </c>
      <c r="G19" s="486">
        <v>0</v>
      </c>
      <c r="H19" s="486">
        <v>0</v>
      </c>
      <c r="I19" s="487" t="s">
        <v>349</v>
      </c>
      <c r="K19" s="123"/>
      <c r="L19" s="124"/>
    </row>
    <row r="20" spans="1:12" s="121" customFormat="1" ht="50.1" customHeight="1">
      <c r="A20" s="120" t="s">
        <v>100</v>
      </c>
      <c r="B20" s="279" t="s">
        <v>102</v>
      </c>
      <c r="C20" s="421">
        <v>352</v>
      </c>
      <c r="D20" s="421">
        <v>0</v>
      </c>
      <c r="E20" s="486">
        <v>0</v>
      </c>
      <c r="F20" s="486">
        <v>22</v>
      </c>
      <c r="G20" s="486">
        <v>0</v>
      </c>
      <c r="H20" s="486">
        <v>0</v>
      </c>
      <c r="I20" s="487" t="s">
        <v>349</v>
      </c>
      <c r="K20" s="123"/>
      <c r="L20" s="124"/>
    </row>
    <row r="21" spans="1:12" s="121" customFormat="1" ht="50.1" customHeight="1">
      <c r="A21" s="120" t="s">
        <v>103</v>
      </c>
      <c r="B21" s="279" t="s">
        <v>105</v>
      </c>
      <c r="C21" s="421">
        <v>301</v>
      </c>
      <c r="D21" s="421">
        <v>0</v>
      </c>
      <c r="E21" s="486">
        <v>0</v>
      </c>
      <c r="F21" s="486">
        <v>24</v>
      </c>
      <c r="G21" s="486">
        <v>0</v>
      </c>
      <c r="H21" s="486">
        <v>0</v>
      </c>
      <c r="I21" s="487"/>
      <c r="K21" s="123"/>
      <c r="L21" s="124"/>
    </row>
    <row r="22" spans="1:12" s="121" customFormat="1" ht="50.1" customHeight="1">
      <c r="A22" s="120" t="s">
        <v>106</v>
      </c>
      <c r="B22" s="279" t="s">
        <v>644</v>
      </c>
      <c r="C22" s="421">
        <v>325</v>
      </c>
      <c r="D22" s="421">
        <v>0</v>
      </c>
      <c r="E22" s="486">
        <v>0</v>
      </c>
      <c r="F22" s="486">
        <v>20</v>
      </c>
      <c r="G22" s="486">
        <v>0</v>
      </c>
      <c r="H22" s="486">
        <v>0</v>
      </c>
      <c r="I22" s="487"/>
      <c r="K22" s="123"/>
      <c r="L22" s="124"/>
    </row>
    <row r="23" spans="1:12" ht="50.1" customHeight="1">
      <c r="A23" s="125" t="s">
        <v>109</v>
      </c>
      <c r="B23" s="279" t="s">
        <v>109</v>
      </c>
      <c r="C23" s="421">
        <v>335</v>
      </c>
      <c r="D23" s="421">
        <v>0</v>
      </c>
      <c r="E23" s="486">
        <v>0</v>
      </c>
      <c r="F23" s="486">
        <v>25</v>
      </c>
      <c r="G23" s="486">
        <v>0</v>
      </c>
      <c r="H23" s="486">
        <v>0</v>
      </c>
      <c r="I23" s="487"/>
      <c r="K23" s="126"/>
      <c r="L23" s="127"/>
    </row>
    <row r="24" spans="1:12" ht="50.1" customHeight="1">
      <c r="A24" s="125" t="s">
        <v>195</v>
      </c>
      <c r="B24" s="279" t="s">
        <v>113</v>
      </c>
      <c r="C24" s="421">
        <v>939</v>
      </c>
      <c r="D24" s="421">
        <v>0</v>
      </c>
      <c r="E24" s="486">
        <v>0</v>
      </c>
      <c r="F24" s="486">
        <v>44</v>
      </c>
      <c r="G24" s="486">
        <v>0</v>
      </c>
      <c r="H24" s="486">
        <v>17</v>
      </c>
      <c r="I24" s="487" t="s">
        <v>645</v>
      </c>
      <c r="K24" s="126"/>
      <c r="L24" s="127"/>
    </row>
    <row r="25" spans="1:12" ht="50.1" customHeight="1">
      <c r="A25" s="125" t="s">
        <v>114</v>
      </c>
      <c r="B25" s="279" t="s">
        <v>116</v>
      </c>
      <c r="C25" s="421">
        <v>246</v>
      </c>
      <c r="D25" s="421">
        <v>0</v>
      </c>
      <c r="E25" s="486">
        <v>0</v>
      </c>
      <c r="F25" s="486">
        <v>22</v>
      </c>
      <c r="G25" s="486">
        <v>0</v>
      </c>
      <c r="H25" s="486">
        <v>0</v>
      </c>
      <c r="I25" s="487"/>
      <c r="K25" s="126"/>
      <c r="L25" s="127"/>
    </row>
    <row r="26" spans="1:12" ht="50.1" customHeight="1">
      <c r="A26" s="125" t="s">
        <v>117</v>
      </c>
      <c r="B26" s="280" t="s">
        <v>119</v>
      </c>
      <c r="C26" s="422">
        <v>264</v>
      </c>
      <c r="D26" s="421">
        <v>0</v>
      </c>
      <c r="E26" s="486">
        <v>0</v>
      </c>
      <c r="F26" s="486">
        <v>40</v>
      </c>
      <c r="G26" s="486">
        <v>0</v>
      </c>
      <c r="H26" s="486">
        <v>0</v>
      </c>
      <c r="I26" s="516" t="s">
        <v>646</v>
      </c>
      <c r="K26" s="126"/>
      <c r="L26" s="127"/>
    </row>
    <row r="27" spans="1:12" ht="50.1" customHeight="1">
      <c r="A27" s="125" t="s">
        <v>120</v>
      </c>
      <c r="B27" s="280" t="s">
        <v>122</v>
      </c>
      <c r="C27" s="422">
        <v>43</v>
      </c>
      <c r="D27" s="421">
        <v>0</v>
      </c>
      <c r="E27" s="486">
        <v>0</v>
      </c>
      <c r="F27" s="486">
        <v>0</v>
      </c>
      <c r="G27" s="486">
        <v>0</v>
      </c>
      <c r="H27" s="486">
        <v>0</v>
      </c>
      <c r="I27" s="487" t="s">
        <v>350</v>
      </c>
      <c r="K27" s="126"/>
      <c r="L27" s="127"/>
    </row>
    <row r="28" spans="1:12" ht="50.1" customHeight="1">
      <c r="A28" s="125" t="s">
        <v>123</v>
      </c>
      <c r="B28" s="280" t="s">
        <v>125</v>
      </c>
      <c r="C28" s="422">
        <v>36</v>
      </c>
      <c r="D28" s="421">
        <v>0</v>
      </c>
      <c r="E28" s="486">
        <v>0</v>
      </c>
      <c r="F28" s="486">
        <v>0</v>
      </c>
      <c r="G28" s="486">
        <v>0</v>
      </c>
      <c r="H28" s="486">
        <v>0</v>
      </c>
      <c r="I28" s="487" t="s">
        <v>349</v>
      </c>
      <c r="K28" s="126"/>
      <c r="L28" s="127"/>
    </row>
    <row r="29" spans="1:12" ht="50.1" customHeight="1">
      <c r="A29" s="125" t="s">
        <v>126</v>
      </c>
      <c r="B29" s="280" t="s">
        <v>128</v>
      </c>
      <c r="C29" s="422">
        <v>457</v>
      </c>
      <c r="D29" s="421">
        <v>0</v>
      </c>
      <c r="E29" s="486">
        <v>14</v>
      </c>
      <c r="F29" s="486">
        <v>0</v>
      </c>
      <c r="G29" s="486">
        <v>0</v>
      </c>
      <c r="H29" s="486">
        <v>10</v>
      </c>
      <c r="I29" s="487"/>
      <c r="K29" s="126"/>
      <c r="L29" s="127"/>
    </row>
    <row r="30" spans="1:12" ht="50.1" customHeight="1">
      <c r="A30" s="125" t="s">
        <v>129</v>
      </c>
      <c r="B30" s="280" t="s">
        <v>131</v>
      </c>
      <c r="C30" s="422">
        <v>185</v>
      </c>
      <c r="D30" s="421">
        <v>0</v>
      </c>
      <c r="E30" s="486">
        <v>0</v>
      </c>
      <c r="F30" s="486">
        <v>22</v>
      </c>
      <c r="G30" s="486">
        <v>0</v>
      </c>
      <c r="H30" s="489">
        <v>0</v>
      </c>
      <c r="I30" s="487"/>
      <c r="K30" s="126"/>
      <c r="L30" s="127"/>
    </row>
    <row r="31" spans="1:12" ht="50.1" customHeight="1">
      <c r="A31" s="125" t="s">
        <v>132</v>
      </c>
      <c r="B31" s="280" t="s">
        <v>134</v>
      </c>
      <c r="C31" s="422">
        <v>0</v>
      </c>
      <c r="D31" s="421">
        <v>0</v>
      </c>
      <c r="E31" s="486">
        <v>0</v>
      </c>
      <c r="F31" s="486">
        <v>0</v>
      </c>
      <c r="G31" s="486">
        <v>0</v>
      </c>
      <c r="H31" s="486">
        <v>0</v>
      </c>
      <c r="I31" s="516" t="s">
        <v>349</v>
      </c>
      <c r="K31" s="126"/>
      <c r="L31" s="127"/>
    </row>
    <row r="32" spans="1:12" ht="50.1" customHeight="1">
      <c r="A32" s="125" t="s">
        <v>135</v>
      </c>
      <c r="B32" s="280" t="s">
        <v>136</v>
      </c>
      <c r="C32" s="422">
        <v>35</v>
      </c>
      <c r="D32" s="421">
        <v>0</v>
      </c>
      <c r="E32" s="486">
        <v>0</v>
      </c>
      <c r="F32" s="486">
        <v>6</v>
      </c>
      <c r="G32" s="486">
        <v>0</v>
      </c>
      <c r="H32" s="486">
        <v>0</v>
      </c>
      <c r="I32" s="487" t="s">
        <v>349</v>
      </c>
      <c r="K32" s="126"/>
      <c r="L32" s="127"/>
    </row>
    <row r="33" spans="1:9" ht="50.1" customHeight="1" thickBot="1">
      <c r="A33" s="128" t="s">
        <v>266</v>
      </c>
      <c r="B33" s="202" t="s">
        <v>266</v>
      </c>
      <c r="C33" s="423">
        <f>SUM(C4:C32)</f>
        <v>9044</v>
      </c>
      <c r="D33" s="485">
        <f xml:space="preserve"> SUM(D4:D32)</f>
        <v>17</v>
      </c>
      <c r="E33" s="490">
        <f>SUM(E4:E32)</f>
        <v>148</v>
      </c>
      <c r="F33" s="490">
        <f>SUM(F4:F32)</f>
        <v>392</v>
      </c>
      <c r="G33" s="490">
        <f>SUM(G4:G32)</f>
        <v>15</v>
      </c>
      <c r="H33" s="490">
        <f>SUM(H4:H32)</f>
        <v>159</v>
      </c>
      <c r="I33" s="491"/>
    </row>
    <row r="34" spans="1:9" ht="15" customHeight="1">
      <c r="A34" s="128"/>
      <c r="B34" s="203"/>
      <c r="C34" s="204"/>
      <c r="D34" s="204"/>
      <c r="E34" s="204"/>
      <c r="F34" s="204"/>
      <c r="G34" s="204"/>
      <c r="H34" s="204"/>
      <c r="I34" s="205"/>
    </row>
    <row r="35" spans="1:9">
      <c r="B35" s="129" t="s">
        <v>442</v>
      </c>
    </row>
    <row r="36" spans="1:9" ht="15" customHeight="1">
      <c r="B36" s="769" t="s">
        <v>544</v>
      </c>
      <c r="C36" s="769"/>
      <c r="D36" s="769"/>
      <c r="E36" s="769"/>
      <c r="F36" s="769"/>
      <c r="G36" s="769"/>
      <c r="H36" s="769"/>
      <c r="I36" s="769"/>
    </row>
    <row r="37" spans="1:9" ht="15" customHeight="1">
      <c r="B37" s="769"/>
      <c r="C37" s="769"/>
      <c r="D37" s="769"/>
      <c r="E37" s="769"/>
      <c r="F37" s="769"/>
      <c r="G37" s="769"/>
      <c r="H37" s="769"/>
      <c r="I37" s="769"/>
    </row>
    <row r="38" spans="1:9" ht="15" customHeight="1">
      <c r="B38" s="769"/>
      <c r="C38" s="769"/>
      <c r="D38" s="769"/>
      <c r="E38" s="769"/>
      <c r="F38" s="769"/>
      <c r="G38" s="769"/>
      <c r="H38" s="769"/>
      <c r="I38" s="769"/>
    </row>
    <row r="39" spans="1:9">
      <c r="B39" s="29"/>
      <c r="C39" s="29"/>
      <c r="D39" s="29"/>
      <c r="E39" s="29"/>
      <c r="F39" s="29"/>
      <c r="G39" s="29"/>
      <c r="H39" s="29"/>
    </row>
  </sheetData>
  <sheetProtection password="B8D9" sheet="1" objects="1" scenarios="1"/>
  <mergeCells count="2">
    <mergeCell ref="B36:I38"/>
    <mergeCell ref="I4:I5"/>
  </mergeCells>
  <phoneticPr fontId="0" type="noConversion"/>
  <hyperlinks>
    <hyperlink ref="B2" location="'List of Tables &amp; Charts'!A1" display="return to List of Tables &amp; Charts"/>
  </hyperlinks>
  <printOptions horizontalCentered="1"/>
  <pageMargins left="0" right="0" top="0.39370078740157483" bottom="0.74803149606299213" header="0.15748031496062992" footer="0.19685039370078741"/>
  <pageSetup paperSize="9" scale="75" orientation="portrait" r:id="rId1"/>
  <headerFooter alignWithMargins="0">
    <oddFooter>&amp;L&amp;8Scottish Stroke Care Audit 2016 National Report
Stroke Services in Scottish Hospitals, Data relating to 2015&amp;R&amp;8© NHS National Services Scotland/Crown Copyright</oddFooter>
  </headerFooter>
  <drawing r:id="rId2"/>
</worksheet>
</file>

<file path=xl/worksheets/sheet40.xml><?xml version="1.0" encoding="utf-8"?>
<worksheet xmlns="http://schemas.openxmlformats.org/spreadsheetml/2006/main" xmlns:r="http://schemas.openxmlformats.org/officeDocument/2006/relationships">
  <sheetPr codeName="Sheet42">
    <pageSetUpPr fitToPage="1"/>
  </sheetPr>
  <dimension ref="A1:R52"/>
  <sheetViews>
    <sheetView showGridLines="0" zoomScaleNormal="100" workbookViewId="0">
      <selection sqref="A1:B1"/>
    </sheetView>
  </sheetViews>
  <sheetFormatPr defaultRowHeight="12.75"/>
  <cols>
    <col min="1" max="1" width="16.7109375" style="579" customWidth="1"/>
    <col min="2" max="2" width="45.7109375" style="579" bestFit="1" customWidth="1"/>
    <col min="3" max="3" width="6.7109375" style="569" customWidth="1"/>
    <col min="4" max="4" width="10.7109375" style="569" customWidth="1"/>
    <col min="5" max="5" width="6.7109375" style="569" customWidth="1"/>
    <col min="6" max="6" width="10.7109375" style="569" customWidth="1"/>
    <col min="7" max="7" width="6.7109375" style="569" customWidth="1"/>
    <col min="8" max="8" width="10.7109375" style="569" customWidth="1"/>
    <col min="9" max="12" width="2.7109375" style="569" customWidth="1"/>
    <col min="13" max="13" width="9.28515625" style="579" customWidth="1"/>
    <col min="14" max="14" width="11.28515625" style="579" customWidth="1"/>
    <col min="15" max="15" width="9.28515625" style="579" customWidth="1"/>
    <col min="16" max="16" width="11.28515625" style="579" customWidth="1"/>
    <col min="17" max="17" width="9.28515625" style="579" customWidth="1"/>
    <col min="18" max="18" width="11.28515625" style="579" customWidth="1"/>
    <col min="19" max="16384" width="9.140625" style="579"/>
  </cols>
  <sheetData>
    <row r="1" spans="1:18" ht="25.5" customHeight="1">
      <c r="A1" s="853">
        <v>2015</v>
      </c>
      <c r="B1" s="850"/>
      <c r="C1" s="854" t="s">
        <v>44</v>
      </c>
      <c r="D1" s="855"/>
      <c r="E1" s="855"/>
      <c r="F1" s="855"/>
      <c r="G1" s="855"/>
      <c r="H1" s="856"/>
      <c r="I1" s="36"/>
      <c r="J1" s="37"/>
      <c r="K1" s="631" t="s">
        <v>49</v>
      </c>
      <c r="L1" s="617" t="s">
        <v>50</v>
      </c>
      <c r="M1" s="857" t="s">
        <v>51</v>
      </c>
      <c r="N1" s="857"/>
      <c r="O1" s="857" t="s">
        <v>52</v>
      </c>
      <c r="P1" s="857"/>
      <c r="Q1" s="857" t="s">
        <v>53</v>
      </c>
      <c r="R1" s="857"/>
    </row>
    <row r="2" spans="1:18" ht="45" customHeight="1">
      <c r="A2" s="38" t="s">
        <v>26</v>
      </c>
      <c r="B2" s="39" t="s">
        <v>27</v>
      </c>
      <c r="C2" s="40" t="s">
        <v>54</v>
      </c>
      <c r="D2" s="40" t="s">
        <v>55</v>
      </c>
      <c r="E2" s="40" t="s">
        <v>56</v>
      </c>
      <c r="F2" s="40" t="s">
        <v>55</v>
      </c>
      <c r="G2" s="40" t="s">
        <v>57</v>
      </c>
      <c r="H2" s="40" t="s">
        <v>55</v>
      </c>
      <c r="I2" s="41" t="s">
        <v>58</v>
      </c>
      <c r="J2" s="42" t="s">
        <v>59</v>
      </c>
      <c r="K2" s="630"/>
      <c r="L2" s="615" t="s">
        <v>280</v>
      </c>
      <c r="M2" s="43" t="s">
        <v>28</v>
      </c>
      <c r="N2" s="43" t="s">
        <v>29</v>
      </c>
      <c r="O2" s="43" t="s">
        <v>28</v>
      </c>
      <c r="P2" s="43" t="s">
        <v>29</v>
      </c>
      <c r="Q2" s="43" t="s">
        <v>28</v>
      </c>
      <c r="R2" s="43" t="s">
        <v>29</v>
      </c>
    </row>
    <row r="3" spans="1:18">
      <c r="A3" s="45" t="s">
        <v>137</v>
      </c>
      <c r="B3" s="45" t="s">
        <v>137</v>
      </c>
      <c r="C3" s="46">
        <f t="shared" ref="C3:C31" si="0">IF(ISERR(M3/N3*100),"",M3/N3*100)</f>
        <v>54.863877822045147</v>
      </c>
      <c r="D3" s="46" t="str">
        <f t="shared" ref="D3:D31"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54 - 56</v>
      </c>
      <c r="E3" s="46">
        <f t="shared" ref="E3:E31" si="2">IF(ISERR((M3+O3)/P3*100),"",(M3+O3)/P3*100)</f>
        <v>89.956839309428943</v>
      </c>
      <c r="F3" s="46" t="str">
        <f t="shared" ref="F3:F31"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89 - 91</v>
      </c>
      <c r="G3" s="46">
        <f t="shared" ref="G3:G31" si="4">IF(ISERR((M3+O3+Q3)/R3*100),"",(M3+O3+Q3)/R3*100)</f>
        <v>94.040504648074375</v>
      </c>
      <c r="H3" s="46" t="str">
        <f t="shared" ref="H3:H31"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93 - 95</v>
      </c>
      <c r="I3" s="629">
        <f t="shared" ref="I3:I31" si="6">E3-C3</f>
        <v>35.092961487383796</v>
      </c>
      <c r="J3" s="612">
        <f t="shared" ref="J3:J31" si="7">G3-E3</f>
        <v>4.0836653386454316</v>
      </c>
      <c r="K3" s="628">
        <v>60</v>
      </c>
      <c r="L3" s="627">
        <v>95</v>
      </c>
      <c r="M3" s="427">
        <f t="shared" ref="M3:R3" si="8">SUM(M4:M31)</f>
        <v>3305</v>
      </c>
      <c r="N3" s="427">
        <f t="shared" si="8"/>
        <v>6024</v>
      </c>
      <c r="O3" s="427">
        <f t="shared" si="8"/>
        <v>2114</v>
      </c>
      <c r="P3" s="427">
        <f t="shared" si="8"/>
        <v>6024</v>
      </c>
      <c r="Q3" s="427">
        <f t="shared" si="8"/>
        <v>246</v>
      </c>
      <c r="R3" s="427">
        <f t="shared" si="8"/>
        <v>6024</v>
      </c>
    </row>
    <row r="4" spans="1:18">
      <c r="A4" s="45" t="s">
        <v>61</v>
      </c>
      <c r="B4" s="45" t="s">
        <v>60</v>
      </c>
      <c r="C4" s="46">
        <f t="shared" si="0"/>
        <v>29.032258064516132</v>
      </c>
      <c r="D4" s="46" t="str">
        <f t="shared" si="1"/>
        <v>23 - 36</v>
      </c>
      <c r="E4" s="46">
        <f t="shared" si="2"/>
        <v>79.032258064516128</v>
      </c>
      <c r="F4" s="46" t="str">
        <f t="shared" si="3"/>
        <v>73 - 84</v>
      </c>
      <c r="G4" s="46">
        <f t="shared" si="4"/>
        <v>90.86021505376344</v>
      </c>
      <c r="H4" s="46" t="str">
        <f t="shared" si="5"/>
        <v>86 - 94</v>
      </c>
      <c r="I4" s="626">
        <f t="shared" si="6"/>
        <v>50</v>
      </c>
      <c r="J4" s="625">
        <f t="shared" si="7"/>
        <v>11.827956989247312</v>
      </c>
      <c r="K4" s="624">
        <v>60</v>
      </c>
      <c r="L4" s="623">
        <v>95</v>
      </c>
      <c r="M4" s="427">
        <v>54</v>
      </c>
      <c r="N4" s="427">
        <v>186</v>
      </c>
      <c r="O4" s="427">
        <v>93</v>
      </c>
      <c r="P4" s="427">
        <v>186</v>
      </c>
      <c r="Q4" s="427">
        <v>22</v>
      </c>
      <c r="R4" s="427">
        <v>186</v>
      </c>
    </row>
    <row r="5" spans="1:18">
      <c r="A5" s="45" t="s">
        <v>63</v>
      </c>
      <c r="B5" s="45" t="s">
        <v>64</v>
      </c>
      <c r="C5" s="46">
        <f t="shared" si="0"/>
        <v>27.407407407407408</v>
      </c>
      <c r="D5" s="46" t="str">
        <f t="shared" si="1"/>
        <v>22 - 33</v>
      </c>
      <c r="E5" s="46">
        <f t="shared" si="2"/>
        <v>87.777777777777771</v>
      </c>
      <c r="F5" s="46" t="str">
        <f t="shared" si="3"/>
        <v>83 - 91</v>
      </c>
      <c r="G5" s="46">
        <f t="shared" si="4"/>
        <v>93.703703703703695</v>
      </c>
      <c r="H5" s="46" t="str">
        <f t="shared" si="5"/>
        <v>90 - 96</v>
      </c>
      <c r="I5" s="626">
        <f t="shared" si="6"/>
        <v>60.370370370370367</v>
      </c>
      <c r="J5" s="625">
        <f t="shared" si="7"/>
        <v>5.9259259259259238</v>
      </c>
      <c r="K5" s="624">
        <v>60</v>
      </c>
      <c r="L5" s="623">
        <v>95</v>
      </c>
      <c r="M5" s="427">
        <v>74</v>
      </c>
      <c r="N5" s="427">
        <v>270</v>
      </c>
      <c r="O5" s="427">
        <v>163</v>
      </c>
      <c r="P5" s="427">
        <v>270</v>
      </c>
      <c r="Q5" s="427">
        <v>16</v>
      </c>
      <c r="R5" s="427">
        <v>270</v>
      </c>
    </row>
    <row r="6" spans="1:18">
      <c r="A6" s="45" t="s">
        <v>30</v>
      </c>
      <c r="B6" s="45" t="s">
        <v>66</v>
      </c>
      <c r="C6" s="46">
        <f t="shared" si="0"/>
        <v>72.535211267605632</v>
      </c>
      <c r="D6" s="46" t="str">
        <f t="shared" si="1"/>
        <v>65 - 79</v>
      </c>
      <c r="E6" s="46">
        <f t="shared" si="2"/>
        <v>97.887323943661968</v>
      </c>
      <c r="F6" s="46" t="str">
        <f t="shared" si="3"/>
        <v>94 - 99</v>
      </c>
      <c r="G6" s="46">
        <f t="shared" si="4"/>
        <v>99.295774647887328</v>
      </c>
      <c r="H6" s="46" t="str">
        <f t="shared" si="5"/>
        <v>96 - 100</v>
      </c>
      <c r="I6" s="626">
        <f t="shared" si="6"/>
        <v>25.352112676056336</v>
      </c>
      <c r="J6" s="625">
        <f t="shared" si="7"/>
        <v>1.4084507042253591</v>
      </c>
      <c r="K6" s="624">
        <v>60</v>
      </c>
      <c r="L6" s="623">
        <v>95</v>
      </c>
      <c r="M6" s="427">
        <v>103</v>
      </c>
      <c r="N6" s="427">
        <v>142</v>
      </c>
      <c r="O6" s="427">
        <v>36</v>
      </c>
      <c r="P6" s="427">
        <v>142</v>
      </c>
      <c r="Q6" s="427">
        <v>2</v>
      </c>
      <c r="R6" s="427">
        <v>142</v>
      </c>
    </row>
    <row r="7" spans="1:18">
      <c r="A7" s="45" t="s">
        <v>68</v>
      </c>
      <c r="B7" s="45" t="s">
        <v>69</v>
      </c>
      <c r="C7" s="46">
        <f t="shared" si="0"/>
        <v>53.103448275862064</v>
      </c>
      <c r="D7" s="46" t="str">
        <f t="shared" si="1"/>
        <v>45 - 61</v>
      </c>
      <c r="E7" s="46">
        <f t="shared" si="2"/>
        <v>93.103448275862064</v>
      </c>
      <c r="F7" s="46" t="str">
        <f t="shared" si="3"/>
        <v>88 - 96</v>
      </c>
      <c r="G7" s="46">
        <f t="shared" si="4"/>
        <v>97.241379310344826</v>
      </c>
      <c r="H7" s="46" t="str">
        <f t="shared" si="5"/>
        <v>93 - 99</v>
      </c>
      <c r="I7" s="626">
        <f t="shared" si="6"/>
        <v>40</v>
      </c>
      <c r="J7" s="625">
        <f t="shared" si="7"/>
        <v>4.1379310344827616</v>
      </c>
      <c r="K7" s="624">
        <v>60</v>
      </c>
      <c r="L7" s="623">
        <v>95</v>
      </c>
      <c r="M7" s="427">
        <v>77</v>
      </c>
      <c r="N7" s="427">
        <v>145</v>
      </c>
      <c r="O7" s="427">
        <v>58</v>
      </c>
      <c r="P7" s="427">
        <v>145</v>
      </c>
      <c r="Q7" s="427">
        <v>6</v>
      </c>
      <c r="R7" s="427">
        <v>145</v>
      </c>
    </row>
    <row r="8" spans="1:18">
      <c r="A8" s="45" t="s">
        <v>71</v>
      </c>
      <c r="B8" s="45" t="s">
        <v>72</v>
      </c>
      <c r="C8" s="46">
        <f t="shared" si="0"/>
        <v>69.230769230769226</v>
      </c>
      <c r="D8" s="46" t="str">
        <f t="shared" si="1"/>
        <v>50 - 83</v>
      </c>
      <c r="E8" s="46">
        <f t="shared" si="2"/>
        <v>92.307692307692307</v>
      </c>
      <c r="F8" s="46" t="str">
        <f t="shared" si="3"/>
        <v>76 - 98</v>
      </c>
      <c r="G8" s="46">
        <f t="shared" si="4"/>
        <v>100</v>
      </c>
      <c r="H8" s="46" t="str">
        <f t="shared" si="5"/>
        <v>87 - 100</v>
      </c>
      <c r="I8" s="626">
        <f t="shared" si="6"/>
        <v>23.07692307692308</v>
      </c>
      <c r="J8" s="625">
        <f t="shared" si="7"/>
        <v>7.6923076923076934</v>
      </c>
      <c r="K8" s="624">
        <v>60</v>
      </c>
      <c r="L8" s="623">
        <v>95</v>
      </c>
      <c r="M8" s="427">
        <v>18</v>
      </c>
      <c r="N8" s="427">
        <v>26</v>
      </c>
      <c r="O8" s="427">
        <v>6</v>
      </c>
      <c r="P8" s="427">
        <v>26</v>
      </c>
      <c r="Q8" s="427">
        <v>2</v>
      </c>
      <c r="R8" s="427">
        <v>26</v>
      </c>
    </row>
    <row r="9" spans="1:18">
      <c r="A9" s="45" t="s">
        <v>177</v>
      </c>
      <c r="B9" s="45" t="s">
        <v>74</v>
      </c>
      <c r="C9" s="46">
        <f t="shared" si="0"/>
        <v>58.574610244988868</v>
      </c>
      <c r="D9" s="46" t="str">
        <f t="shared" si="1"/>
        <v>54 - 63</v>
      </c>
      <c r="E9" s="46">
        <f t="shared" si="2"/>
        <v>94.43207126948775</v>
      </c>
      <c r="F9" s="46" t="str">
        <f t="shared" si="3"/>
        <v>92 - 96</v>
      </c>
      <c r="G9" s="46">
        <f t="shared" si="4"/>
        <v>95.991091314031181</v>
      </c>
      <c r="H9" s="46" t="str">
        <f t="shared" si="5"/>
        <v>94 - 97</v>
      </c>
      <c r="I9" s="626">
        <f t="shared" si="6"/>
        <v>35.857461024498882</v>
      </c>
      <c r="J9" s="625">
        <f t="shared" si="7"/>
        <v>1.5590200445434306</v>
      </c>
      <c r="K9" s="624">
        <v>60</v>
      </c>
      <c r="L9" s="623">
        <v>95</v>
      </c>
      <c r="M9" s="427">
        <v>263</v>
      </c>
      <c r="N9" s="427">
        <v>449</v>
      </c>
      <c r="O9" s="427">
        <v>161</v>
      </c>
      <c r="P9" s="427">
        <v>449</v>
      </c>
      <c r="Q9" s="427">
        <v>7</v>
      </c>
      <c r="R9" s="427">
        <v>449</v>
      </c>
    </row>
    <row r="10" spans="1:18">
      <c r="A10" s="45" t="s">
        <v>186</v>
      </c>
      <c r="B10" s="45" t="s">
        <v>76</v>
      </c>
      <c r="C10" s="46">
        <f t="shared" si="0"/>
        <v>51.225490196078425</v>
      </c>
      <c r="D10" s="46" t="str">
        <f t="shared" si="1"/>
        <v>46 - 56</v>
      </c>
      <c r="E10" s="46">
        <f t="shared" si="2"/>
        <v>93.137254901960787</v>
      </c>
      <c r="F10" s="46" t="str">
        <f t="shared" si="3"/>
        <v>90 - 95</v>
      </c>
      <c r="G10" s="46">
        <f t="shared" si="4"/>
        <v>96.813725490196077</v>
      </c>
      <c r="H10" s="46" t="str">
        <f t="shared" si="5"/>
        <v>95 - 98</v>
      </c>
      <c r="I10" s="626">
        <f t="shared" si="6"/>
        <v>41.911764705882362</v>
      </c>
      <c r="J10" s="625">
        <f t="shared" si="7"/>
        <v>3.6764705882352899</v>
      </c>
      <c r="K10" s="624">
        <v>60</v>
      </c>
      <c r="L10" s="623">
        <v>95</v>
      </c>
      <c r="M10" s="427">
        <v>209</v>
      </c>
      <c r="N10" s="427">
        <v>408</v>
      </c>
      <c r="O10" s="427">
        <v>171</v>
      </c>
      <c r="P10" s="427">
        <v>408</v>
      </c>
      <c r="Q10" s="427">
        <v>15</v>
      </c>
      <c r="R10" s="427">
        <v>408</v>
      </c>
    </row>
    <row r="11" spans="1:18">
      <c r="A11" s="45" t="s">
        <v>178</v>
      </c>
      <c r="B11" s="45" t="s">
        <v>78</v>
      </c>
      <c r="C11" s="46">
        <f t="shared" si="0"/>
        <v>68.918918918918919</v>
      </c>
      <c r="D11" s="46" t="str">
        <f t="shared" si="1"/>
        <v>64 - 73</v>
      </c>
      <c r="E11" s="46">
        <f t="shared" si="2"/>
        <v>88.378378378378372</v>
      </c>
      <c r="F11" s="46" t="str">
        <f t="shared" si="3"/>
        <v>85 - 91</v>
      </c>
      <c r="G11" s="46">
        <f t="shared" si="4"/>
        <v>92.702702702702695</v>
      </c>
      <c r="H11" s="46" t="str">
        <f t="shared" si="5"/>
        <v>90 - 95</v>
      </c>
      <c r="I11" s="626">
        <f t="shared" si="6"/>
        <v>19.459459459459453</v>
      </c>
      <c r="J11" s="625">
        <f t="shared" si="7"/>
        <v>4.3243243243243228</v>
      </c>
      <c r="K11" s="624">
        <v>60</v>
      </c>
      <c r="L11" s="623">
        <v>95</v>
      </c>
      <c r="M11" s="427">
        <v>255</v>
      </c>
      <c r="N11" s="427">
        <v>370</v>
      </c>
      <c r="O11" s="427">
        <v>72</v>
      </c>
      <c r="P11" s="427">
        <v>370</v>
      </c>
      <c r="Q11" s="427">
        <v>16</v>
      </c>
      <c r="R11" s="427">
        <v>370</v>
      </c>
    </row>
    <row r="12" spans="1:18">
      <c r="A12" s="45" t="s">
        <v>80</v>
      </c>
      <c r="B12" s="45" t="s">
        <v>81</v>
      </c>
      <c r="C12" s="46">
        <f t="shared" si="0"/>
        <v>69.230769230769226</v>
      </c>
      <c r="D12" s="46" t="str">
        <f t="shared" si="1"/>
        <v>59 - 78</v>
      </c>
      <c r="E12" s="46">
        <f t="shared" si="2"/>
        <v>93.406593406593402</v>
      </c>
      <c r="F12" s="46" t="str">
        <f t="shared" si="3"/>
        <v>86 - 97</v>
      </c>
      <c r="G12" s="46">
        <f t="shared" si="4"/>
        <v>95.604395604395606</v>
      </c>
      <c r="H12" s="46" t="str">
        <f t="shared" si="5"/>
        <v>89 - 98</v>
      </c>
      <c r="I12" s="626">
        <f t="shared" si="6"/>
        <v>24.175824175824175</v>
      </c>
      <c r="J12" s="625">
        <f t="shared" si="7"/>
        <v>2.1978021978022042</v>
      </c>
      <c r="K12" s="624">
        <v>60</v>
      </c>
      <c r="L12" s="623">
        <v>95</v>
      </c>
      <c r="M12" s="427">
        <v>63</v>
      </c>
      <c r="N12" s="427">
        <v>91</v>
      </c>
      <c r="O12" s="427">
        <v>22</v>
      </c>
      <c r="P12" s="427">
        <v>91</v>
      </c>
      <c r="Q12" s="427">
        <v>2</v>
      </c>
      <c r="R12" s="427">
        <v>91</v>
      </c>
    </row>
    <row r="13" spans="1:18">
      <c r="A13" s="45" t="s">
        <v>187</v>
      </c>
      <c r="B13" s="45" t="s">
        <v>83</v>
      </c>
      <c r="C13" s="46">
        <f t="shared" si="0"/>
        <v>62.019230769230774</v>
      </c>
      <c r="D13" s="46" t="str">
        <f t="shared" si="1"/>
        <v>57 - 67</v>
      </c>
      <c r="E13" s="46">
        <f t="shared" si="2"/>
        <v>91.105769230769226</v>
      </c>
      <c r="F13" s="46" t="str">
        <f t="shared" si="3"/>
        <v>88 - 93</v>
      </c>
      <c r="G13" s="46">
        <f t="shared" si="4"/>
        <v>95.192307692307693</v>
      </c>
      <c r="H13" s="46" t="str">
        <f t="shared" si="5"/>
        <v>93 - 97</v>
      </c>
      <c r="I13" s="626">
        <f t="shared" si="6"/>
        <v>29.086538461538453</v>
      </c>
      <c r="J13" s="625">
        <f t="shared" si="7"/>
        <v>4.086538461538467</v>
      </c>
      <c r="K13" s="624">
        <v>60</v>
      </c>
      <c r="L13" s="623">
        <v>95</v>
      </c>
      <c r="M13" s="427">
        <v>258</v>
      </c>
      <c r="N13" s="427">
        <v>416</v>
      </c>
      <c r="O13" s="427">
        <v>121</v>
      </c>
      <c r="P13" s="427">
        <v>416</v>
      </c>
      <c r="Q13" s="427">
        <v>17</v>
      </c>
      <c r="R13" s="427">
        <v>416</v>
      </c>
    </row>
    <row r="14" spans="1:18">
      <c r="A14" s="45" t="s">
        <v>85</v>
      </c>
      <c r="B14" s="45" t="s">
        <v>86</v>
      </c>
      <c r="C14" s="46">
        <f t="shared" si="0"/>
        <v>49.382716049382715</v>
      </c>
      <c r="D14" s="46" t="str">
        <f t="shared" si="1"/>
        <v>42 - 57</v>
      </c>
      <c r="E14" s="46">
        <f t="shared" si="2"/>
        <v>94.444444444444443</v>
      </c>
      <c r="F14" s="46" t="str">
        <f t="shared" si="3"/>
        <v>90 - 97</v>
      </c>
      <c r="G14" s="46">
        <f t="shared" si="4"/>
        <v>96.913580246913583</v>
      </c>
      <c r="H14" s="46" t="str">
        <f t="shared" si="5"/>
        <v>93 - 99</v>
      </c>
      <c r="I14" s="626">
        <f t="shared" si="6"/>
        <v>45.061728395061728</v>
      </c>
      <c r="J14" s="625">
        <f t="shared" si="7"/>
        <v>2.4691358024691397</v>
      </c>
      <c r="K14" s="624">
        <v>60</v>
      </c>
      <c r="L14" s="623">
        <v>95</v>
      </c>
      <c r="M14" s="427">
        <v>80</v>
      </c>
      <c r="N14" s="427">
        <v>162</v>
      </c>
      <c r="O14" s="427">
        <v>73</v>
      </c>
      <c r="P14" s="427">
        <v>162</v>
      </c>
      <c r="Q14" s="427">
        <v>4</v>
      </c>
      <c r="R14" s="427">
        <v>162</v>
      </c>
    </row>
    <row r="15" spans="1:18">
      <c r="A15" s="45" t="s">
        <v>532</v>
      </c>
      <c r="B15" s="45" t="s">
        <v>533</v>
      </c>
      <c r="C15" s="46">
        <f t="shared" si="0"/>
        <v>59.635811836115323</v>
      </c>
      <c r="D15" s="46" t="str">
        <f t="shared" si="1"/>
        <v>56 - 63</v>
      </c>
      <c r="E15" s="46">
        <f t="shared" si="2"/>
        <v>87.405159332321702</v>
      </c>
      <c r="F15" s="46" t="str">
        <f t="shared" si="3"/>
        <v>85 - 90</v>
      </c>
      <c r="G15" s="46">
        <f t="shared" si="4"/>
        <v>91.047040971168443</v>
      </c>
      <c r="H15" s="46" t="str">
        <f t="shared" si="5"/>
        <v>89 - 93</v>
      </c>
      <c r="I15" s="626">
        <f t="shared" si="6"/>
        <v>27.769347496206379</v>
      </c>
      <c r="J15" s="625">
        <f t="shared" si="7"/>
        <v>3.6418816388467405</v>
      </c>
      <c r="K15" s="624">
        <v>60</v>
      </c>
      <c r="L15" s="623">
        <v>95</v>
      </c>
      <c r="M15" s="427">
        <v>393</v>
      </c>
      <c r="N15" s="427">
        <v>659</v>
      </c>
      <c r="O15" s="427">
        <v>183</v>
      </c>
      <c r="P15" s="427">
        <v>659</v>
      </c>
      <c r="Q15" s="427">
        <v>24</v>
      </c>
      <c r="R15" s="427">
        <v>659</v>
      </c>
    </row>
    <row r="16" spans="1:18">
      <c r="A16" s="45" t="s">
        <v>188</v>
      </c>
      <c r="B16" s="45" t="s">
        <v>88</v>
      </c>
      <c r="C16" s="46">
        <f t="shared" si="0"/>
        <v>45.090909090909093</v>
      </c>
      <c r="D16" s="46" t="str">
        <f t="shared" si="1"/>
        <v>39 - 51</v>
      </c>
      <c r="E16" s="46">
        <f t="shared" si="2"/>
        <v>86.181818181818187</v>
      </c>
      <c r="F16" s="46" t="str">
        <f t="shared" si="3"/>
        <v>82 - 90</v>
      </c>
      <c r="G16" s="46">
        <f t="shared" si="4"/>
        <v>91.63636363636364</v>
      </c>
      <c r="H16" s="46" t="str">
        <f t="shared" si="5"/>
        <v>88 - 94</v>
      </c>
      <c r="I16" s="626">
        <f t="shared" si="6"/>
        <v>41.090909090909093</v>
      </c>
      <c r="J16" s="625">
        <f t="shared" si="7"/>
        <v>5.4545454545454533</v>
      </c>
      <c r="K16" s="624">
        <v>60</v>
      </c>
      <c r="L16" s="623">
        <v>95</v>
      </c>
      <c r="M16" s="427">
        <v>124</v>
      </c>
      <c r="N16" s="427">
        <v>275</v>
      </c>
      <c r="O16" s="427">
        <v>113</v>
      </c>
      <c r="P16" s="427">
        <v>275</v>
      </c>
      <c r="Q16" s="427">
        <v>15</v>
      </c>
      <c r="R16" s="427">
        <v>275</v>
      </c>
    </row>
    <row r="17" spans="1:18">
      <c r="A17" s="45" t="s">
        <v>92</v>
      </c>
      <c r="B17" s="45" t="s">
        <v>93</v>
      </c>
      <c r="C17" s="46">
        <f t="shared" si="0"/>
        <v>60</v>
      </c>
      <c r="D17" s="46" t="str">
        <f t="shared" si="1"/>
        <v>36 - 80</v>
      </c>
      <c r="E17" s="46">
        <f t="shared" si="2"/>
        <v>86.666666666666671</v>
      </c>
      <c r="F17" s="46" t="str">
        <f t="shared" si="3"/>
        <v>62 - 96</v>
      </c>
      <c r="G17" s="46">
        <f t="shared" si="4"/>
        <v>93.333333333333329</v>
      </c>
      <c r="H17" s="46" t="str">
        <f t="shared" si="5"/>
        <v>70 - 99</v>
      </c>
      <c r="I17" s="626">
        <f t="shared" si="6"/>
        <v>26.666666666666671</v>
      </c>
      <c r="J17" s="625">
        <f t="shared" si="7"/>
        <v>6.6666666666666572</v>
      </c>
      <c r="K17" s="624">
        <v>60</v>
      </c>
      <c r="L17" s="623">
        <v>95</v>
      </c>
      <c r="M17" s="427">
        <v>9</v>
      </c>
      <c r="N17" s="427">
        <v>15</v>
      </c>
      <c r="O17" s="427">
        <v>4</v>
      </c>
      <c r="P17" s="427">
        <v>15</v>
      </c>
      <c r="Q17" s="427">
        <v>1</v>
      </c>
      <c r="R17" s="427">
        <v>15</v>
      </c>
    </row>
    <row r="18" spans="1:18">
      <c r="A18" s="45" t="s">
        <v>95</v>
      </c>
      <c r="B18" s="45" t="s">
        <v>96</v>
      </c>
      <c r="C18" s="46">
        <f t="shared" si="0"/>
        <v>75.555555555555557</v>
      </c>
      <c r="D18" s="46" t="str">
        <f t="shared" si="1"/>
        <v>61 - 86</v>
      </c>
      <c r="E18" s="46">
        <f t="shared" si="2"/>
        <v>95.555555555555557</v>
      </c>
      <c r="F18" s="46" t="str">
        <f t="shared" si="3"/>
        <v>85 - 99</v>
      </c>
      <c r="G18" s="46">
        <f t="shared" si="4"/>
        <v>100</v>
      </c>
      <c r="H18" s="46" t="str">
        <f t="shared" si="5"/>
        <v>92 - 100</v>
      </c>
      <c r="I18" s="626">
        <f t="shared" si="6"/>
        <v>20</v>
      </c>
      <c r="J18" s="625">
        <f t="shared" si="7"/>
        <v>4.4444444444444429</v>
      </c>
      <c r="K18" s="624">
        <v>60</v>
      </c>
      <c r="L18" s="623">
        <v>95</v>
      </c>
      <c r="M18" s="427">
        <v>34</v>
      </c>
      <c r="N18" s="427">
        <v>45</v>
      </c>
      <c r="O18" s="427">
        <v>9</v>
      </c>
      <c r="P18" s="427">
        <v>45</v>
      </c>
      <c r="Q18" s="427">
        <v>2</v>
      </c>
      <c r="R18" s="427">
        <v>45</v>
      </c>
    </row>
    <row r="19" spans="1:18">
      <c r="A19" s="45" t="s">
        <v>98</v>
      </c>
      <c r="B19" s="45" t="s">
        <v>99</v>
      </c>
      <c r="C19" s="46">
        <f t="shared" si="0"/>
        <v>55.555555555555557</v>
      </c>
      <c r="D19" s="46" t="str">
        <f t="shared" si="1"/>
        <v>34 - 75</v>
      </c>
      <c r="E19" s="46">
        <f t="shared" si="2"/>
        <v>88.888888888888886</v>
      </c>
      <c r="F19" s="46" t="str">
        <f t="shared" si="3"/>
        <v>67 - 97</v>
      </c>
      <c r="G19" s="46">
        <f t="shared" si="4"/>
        <v>88.888888888888886</v>
      </c>
      <c r="H19" s="46" t="str">
        <f t="shared" si="5"/>
        <v>67 - 97</v>
      </c>
      <c r="I19" s="626">
        <f t="shared" si="6"/>
        <v>33.333333333333329</v>
      </c>
      <c r="J19" s="625">
        <f t="shared" si="7"/>
        <v>0</v>
      </c>
      <c r="K19" s="624">
        <v>60</v>
      </c>
      <c r="L19" s="623">
        <v>95</v>
      </c>
      <c r="M19" s="427">
        <v>10</v>
      </c>
      <c r="N19" s="427">
        <v>18</v>
      </c>
      <c r="O19" s="427">
        <v>6</v>
      </c>
      <c r="P19" s="427">
        <v>18</v>
      </c>
      <c r="Q19" s="427">
        <v>0</v>
      </c>
      <c r="R19" s="427">
        <v>18</v>
      </c>
    </row>
    <row r="20" spans="1:18">
      <c r="A20" s="45" t="s">
        <v>101</v>
      </c>
      <c r="B20" s="45" t="s">
        <v>102</v>
      </c>
      <c r="C20" s="46">
        <f t="shared" si="0"/>
        <v>62.114537444933923</v>
      </c>
      <c r="D20" s="46" t="str">
        <f t="shared" si="1"/>
        <v>56 - 68</v>
      </c>
      <c r="E20" s="46">
        <f t="shared" si="2"/>
        <v>92.951541850220266</v>
      </c>
      <c r="F20" s="46" t="str">
        <f t="shared" si="3"/>
        <v>89 - 96</v>
      </c>
      <c r="G20" s="46">
        <f t="shared" si="4"/>
        <v>95.594713656387668</v>
      </c>
      <c r="H20" s="46" t="str">
        <f t="shared" si="5"/>
        <v>92 - 98</v>
      </c>
      <c r="I20" s="626">
        <f t="shared" si="6"/>
        <v>30.837004405286343</v>
      </c>
      <c r="J20" s="625">
        <f t="shared" si="7"/>
        <v>2.6431718061674019</v>
      </c>
      <c r="K20" s="624">
        <v>60</v>
      </c>
      <c r="L20" s="623">
        <v>95</v>
      </c>
      <c r="M20" s="427">
        <v>141</v>
      </c>
      <c r="N20" s="427">
        <v>227</v>
      </c>
      <c r="O20" s="427">
        <v>70</v>
      </c>
      <c r="P20" s="427">
        <v>227</v>
      </c>
      <c r="Q20" s="427">
        <v>6</v>
      </c>
      <c r="R20" s="427">
        <v>227</v>
      </c>
    </row>
    <row r="21" spans="1:18">
      <c r="A21" s="45" t="s">
        <v>104</v>
      </c>
      <c r="B21" s="45" t="s">
        <v>105</v>
      </c>
      <c r="C21" s="46">
        <f t="shared" si="0"/>
        <v>55.752212389380531</v>
      </c>
      <c r="D21" s="46" t="str">
        <f t="shared" si="1"/>
        <v>49 - 62</v>
      </c>
      <c r="E21" s="46">
        <f t="shared" si="2"/>
        <v>89.380530973451329</v>
      </c>
      <c r="F21" s="46" t="str">
        <f t="shared" si="3"/>
        <v>85 - 93</v>
      </c>
      <c r="G21" s="46">
        <f t="shared" si="4"/>
        <v>93.805309734513273</v>
      </c>
      <c r="H21" s="46" t="str">
        <f t="shared" si="5"/>
        <v>90 - 96</v>
      </c>
      <c r="I21" s="626">
        <f t="shared" si="6"/>
        <v>33.628318584070797</v>
      </c>
      <c r="J21" s="625">
        <f t="shared" si="7"/>
        <v>4.424778761061944</v>
      </c>
      <c r="K21" s="624">
        <v>60</v>
      </c>
      <c r="L21" s="623">
        <v>95</v>
      </c>
      <c r="M21" s="427">
        <v>126</v>
      </c>
      <c r="N21" s="427">
        <v>226</v>
      </c>
      <c r="O21" s="427">
        <v>76</v>
      </c>
      <c r="P21" s="427">
        <v>226</v>
      </c>
      <c r="Q21" s="427">
        <v>10</v>
      </c>
      <c r="R21" s="427">
        <v>226</v>
      </c>
    </row>
    <row r="22" spans="1:18">
      <c r="A22" s="45" t="s">
        <v>107</v>
      </c>
      <c r="B22" s="45" t="s">
        <v>108</v>
      </c>
      <c r="C22" s="46">
        <f t="shared" si="0"/>
        <v>29.411764705882355</v>
      </c>
      <c r="D22" s="46" t="str">
        <f t="shared" si="1"/>
        <v>24 - 35</v>
      </c>
      <c r="E22" s="46">
        <f t="shared" si="2"/>
        <v>88.235294117647058</v>
      </c>
      <c r="F22" s="46" t="str">
        <f t="shared" si="3"/>
        <v>84 - 92</v>
      </c>
      <c r="G22" s="46">
        <f t="shared" si="4"/>
        <v>95.798319327731093</v>
      </c>
      <c r="H22" s="46" t="str">
        <f t="shared" si="5"/>
        <v>92 - 98</v>
      </c>
      <c r="I22" s="626">
        <f t="shared" si="6"/>
        <v>58.823529411764703</v>
      </c>
      <c r="J22" s="625">
        <f t="shared" si="7"/>
        <v>7.5630252100840352</v>
      </c>
      <c r="K22" s="624">
        <v>60</v>
      </c>
      <c r="L22" s="623">
        <v>95</v>
      </c>
      <c r="M22" s="427">
        <v>70</v>
      </c>
      <c r="N22" s="427">
        <v>238</v>
      </c>
      <c r="O22" s="427">
        <v>140</v>
      </c>
      <c r="P22" s="427">
        <v>238</v>
      </c>
      <c r="Q22" s="427">
        <v>18</v>
      </c>
      <c r="R22" s="427">
        <v>238</v>
      </c>
    </row>
    <row r="23" spans="1:18">
      <c r="A23" s="45" t="s">
        <v>110</v>
      </c>
      <c r="B23" s="45" t="s">
        <v>109</v>
      </c>
      <c r="C23" s="46">
        <f t="shared" si="0"/>
        <v>52.838427947598255</v>
      </c>
      <c r="D23" s="46" t="str">
        <f t="shared" si="1"/>
        <v>46 - 59</v>
      </c>
      <c r="E23" s="46">
        <f t="shared" si="2"/>
        <v>94.32314410480349</v>
      </c>
      <c r="F23" s="46" t="str">
        <f t="shared" si="3"/>
        <v>91 - 97</v>
      </c>
      <c r="G23" s="46">
        <f t="shared" si="4"/>
        <v>95.633187772925766</v>
      </c>
      <c r="H23" s="46" t="str">
        <f t="shared" si="5"/>
        <v>92 - 98</v>
      </c>
      <c r="I23" s="626">
        <f t="shared" si="6"/>
        <v>41.484716157205234</v>
      </c>
      <c r="J23" s="625">
        <f t="shared" si="7"/>
        <v>1.310043668122276</v>
      </c>
      <c r="K23" s="624">
        <v>60</v>
      </c>
      <c r="L23" s="623">
        <v>95</v>
      </c>
      <c r="M23" s="427">
        <v>121</v>
      </c>
      <c r="N23" s="427">
        <v>229</v>
      </c>
      <c r="O23" s="427">
        <v>95</v>
      </c>
      <c r="P23" s="427">
        <v>229</v>
      </c>
      <c r="Q23" s="427">
        <v>3</v>
      </c>
      <c r="R23" s="427">
        <v>229</v>
      </c>
    </row>
    <row r="24" spans="1:18">
      <c r="A24" s="45" t="s">
        <v>112</v>
      </c>
      <c r="B24" s="45" t="s">
        <v>113</v>
      </c>
      <c r="C24" s="46">
        <f t="shared" si="0"/>
        <v>60.399334442595674</v>
      </c>
      <c r="D24" s="46" t="str">
        <f t="shared" si="1"/>
        <v>56 - 64</v>
      </c>
      <c r="E24" s="46">
        <f t="shared" si="2"/>
        <v>86.688851913477535</v>
      </c>
      <c r="F24" s="46" t="str">
        <f t="shared" si="3"/>
        <v>84 - 89</v>
      </c>
      <c r="G24" s="46">
        <f t="shared" si="4"/>
        <v>90.515806988352736</v>
      </c>
      <c r="H24" s="46" t="str">
        <f t="shared" si="5"/>
        <v>88 - 93</v>
      </c>
      <c r="I24" s="626">
        <f t="shared" si="6"/>
        <v>26.289517470881862</v>
      </c>
      <c r="J24" s="625">
        <f t="shared" si="7"/>
        <v>3.826955074875201</v>
      </c>
      <c r="K24" s="624">
        <v>60</v>
      </c>
      <c r="L24" s="623">
        <v>95</v>
      </c>
      <c r="M24" s="427">
        <v>363</v>
      </c>
      <c r="N24" s="427">
        <v>601</v>
      </c>
      <c r="O24" s="427">
        <v>158</v>
      </c>
      <c r="P24" s="427">
        <v>601</v>
      </c>
      <c r="Q24" s="427">
        <v>23</v>
      </c>
      <c r="R24" s="427">
        <v>601</v>
      </c>
    </row>
    <row r="25" spans="1:18">
      <c r="A25" s="45" t="s">
        <v>115</v>
      </c>
      <c r="B25" s="45" t="s">
        <v>116</v>
      </c>
      <c r="C25" s="46">
        <f t="shared" si="0"/>
        <v>71.823204419889507</v>
      </c>
      <c r="D25" s="46" t="str">
        <f t="shared" si="1"/>
        <v>65 - 78</v>
      </c>
      <c r="E25" s="46">
        <f t="shared" si="2"/>
        <v>96.132596685082873</v>
      </c>
      <c r="F25" s="46" t="str">
        <f t="shared" si="3"/>
        <v>92 - 98</v>
      </c>
      <c r="G25" s="46">
        <f t="shared" si="4"/>
        <v>97.790055248618785</v>
      </c>
      <c r="H25" s="46" t="str">
        <f t="shared" si="5"/>
        <v>94 - 99</v>
      </c>
      <c r="I25" s="626">
        <f t="shared" si="6"/>
        <v>24.309392265193367</v>
      </c>
      <c r="J25" s="625">
        <f t="shared" si="7"/>
        <v>1.6574585635359114</v>
      </c>
      <c r="K25" s="624">
        <v>60</v>
      </c>
      <c r="L25" s="623">
        <v>95</v>
      </c>
      <c r="M25" s="427">
        <v>130</v>
      </c>
      <c r="N25" s="427">
        <v>181</v>
      </c>
      <c r="O25" s="427">
        <v>44</v>
      </c>
      <c r="P25" s="427">
        <v>181</v>
      </c>
      <c r="Q25" s="427">
        <v>3</v>
      </c>
      <c r="R25" s="427">
        <v>181</v>
      </c>
    </row>
    <row r="26" spans="1:18">
      <c r="A26" s="45" t="s">
        <v>118</v>
      </c>
      <c r="B26" s="45" t="s">
        <v>119</v>
      </c>
      <c r="C26" s="46">
        <f t="shared" si="0"/>
        <v>44.252873563218394</v>
      </c>
      <c r="D26" s="46" t="str">
        <f t="shared" si="1"/>
        <v>37 - 52</v>
      </c>
      <c r="E26" s="46">
        <f t="shared" si="2"/>
        <v>83.333333333333343</v>
      </c>
      <c r="F26" s="46" t="str">
        <f t="shared" si="3"/>
        <v>77 - 88</v>
      </c>
      <c r="G26" s="46">
        <f t="shared" si="4"/>
        <v>89.65517241379311</v>
      </c>
      <c r="H26" s="46" t="str">
        <f t="shared" si="5"/>
        <v>84 - 93</v>
      </c>
      <c r="I26" s="626">
        <f t="shared" si="6"/>
        <v>39.080459770114949</v>
      </c>
      <c r="J26" s="625">
        <f t="shared" si="7"/>
        <v>6.3218390804597675</v>
      </c>
      <c r="K26" s="624">
        <v>60</v>
      </c>
      <c r="L26" s="623">
        <v>95</v>
      </c>
      <c r="M26" s="427">
        <v>77</v>
      </c>
      <c r="N26" s="427">
        <v>174</v>
      </c>
      <c r="O26" s="427">
        <v>68</v>
      </c>
      <c r="P26" s="427">
        <v>174</v>
      </c>
      <c r="Q26" s="427">
        <v>11</v>
      </c>
      <c r="R26" s="427">
        <v>174</v>
      </c>
    </row>
    <row r="27" spans="1:18">
      <c r="A27" s="45" t="s">
        <v>121</v>
      </c>
      <c r="B27" s="45" t="s">
        <v>122</v>
      </c>
      <c r="C27" s="46">
        <f t="shared" si="0"/>
        <v>65.384615384615387</v>
      </c>
      <c r="D27" s="46" t="str">
        <f t="shared" si="1"/>
        <v>46 - 81</v>
      </c>
      <c r="E27" s="46">
        <f t="shared" si="2"/>
        <v>80.769230769230774</v>
      </c>
      <c r="F27" s="46" t="str">
        <f t="shared" si="3"/>
        <v>62 - 91</v>
      </c>
      <c r="G27" s="46">
        <f t="shared" si="4"/>
        <v>84.615384615384613</v>
      </c>
      <c r="H27" s="46" t="str">
        <f t="shared" si="5"/>
        <v>66 - 94</v>
      </c>
      <c r="I27" s="626">
        <f t="shared" si="6"/>
        <v>15.384615384615387</v>
      </c>
      <c r="J27" s="625">
        <f t="shared" si="7"/>
        <v>3.8461538461538396</v>
      </c>
      <c r="K27" s="624">
        <v>60</v>
      </c>
      <c r="L27" s="623">
        <v>95</v>
      </c>
      <c r="M27" s="427">
        <v>17</v>
      </c>
      <c r="N27" s="427">
        <v>26</v>
      </c>
      <c r="O27" s="427">
        <v>4</v>
      </c>
      <c r="P27" s="427">
        <v>26</v>
      </c>
      <c r="Q27" s="427">
        <v>1</v>
      </c>
      <c r="R27" s="427">
        <v>26</v>
      </c>
    </row>
    <row r="28" spans="1:18">
      <c r="A28" s="45" t="s">
        <v>124</v>
      </c>
      <c r="B28" s="45" t="s">
        <v>125</v>
      </c>
      <c r="C28" s="46">
        <f t="shared" si="0"/>
        <v>59.259259259259252</v>
      </c>
      <c r="D28" s="46" t="str">
        <f t="shared" si="1"/>
        <v>41 - 75</v>
      </c>
      <c r="E28" s="46">
        <f t="shared" si="2"/>
        <v>92.592592592592595</v>
      </c>
      <c r="F28" s="46" t="str">
        <f t="shared" si="3"/>
        <v>77 - 98</v>
      </c>
      <c r="G28" s="46">
        <f t="shared" si="4"/>
        <v>100</v>
      </c>
      <c r="H28" s="46" t="str">
        <f t="shared" si="5"/>
        <v>88 - 100</v>
      </c>
      <c r="I28" s="626">
        <f t="shared" si="6"/>
        <v>33.333333333333343</v>
      </c>
      <c r="J28" s="625">
        <f t="shared" si="7"/>
        <v>7.4074074074074048</v>
      </c>
      <c r="K28" s="624">
        <v>60</v>
      </c>
      <c r="L28" s="623">
        <v>95</v>
      </c>
      <c r="M28" s="427">
        <v>16</v>
      </c>
      <c r="N28" s="427">
        <v>27</v>
      </c>
      <c r="O28" s="427">
        <v>9</v>
      </c>
      <c r="P28" s="427">
        <v>27</v>
      </c>
      <c r="Q28" s="427">
        <v>2</v>
      </c>
      <c r="R28" s="427">
        <v>27</v>
      </c>
    </row>
    <row r="29" spans="1:18">
      <c r="A29" s="45" t="s">
        <v>127</v>
      </c>
      <c r="B29" s="45" t="s">
        <v>128</v>
      </c>
      <c r="C29" s="46">
        <f t="shared" si="0"/>
        <v>45.714285714285715</v>
      </c>
      <c r="D29" s="46" t="str">
        <f t="shared" si="1"/>
        <v>40 - 52</v>
      </c>
      <c r="E29" s="46">
        <f t="shared" si="2"/>
        <v>90</v>
      </c>
      <c r="F29" s="46" t="str">
        <f t="shared" si="3"/>
        <v>86 - 93</v>
      </c>
      <c r="G29" s="46">
        <f t="shared" si="4"/>
        <v>95.357142857142861</v>
      </c>
      <c r="H29" s="46" t="str">
        <f t="shared" si="5"/>
        <v>92 - 97</v>
      </c>
      <c r="I29" s="626">
        <f t="shared" si="6"/>
        <v>44.285714285714285</v>
      </c>
      <c r="J29" s="625">
        <f t="shared" si="7"/>
        <v>5.3571428571428612</v>
      </c>
      <c r="K29" s="624">
        <v>60</v>
      </c>
      <c r="L29" s="623">
        <v>95</v>
      </c>
      <c r="M29" s="427">
        <v>128</v>
      </c>
      <c r="N29" s="427">
        <v>280</v>
      </c>
      <c r="O29" s="427">
        <v>124</v>
      </c>
      <c r="P29" s="427">
        <v>280</v>
      </c>
      <c r="Q29" s="427">
        <v>15</v>
      </c>
      <c r="R29" s="427">
        <v>280</v>
      </c>
    </row>
    <row r="30" spans="1:18">
      <c r="A30" s="45" t="s">
        <v>130</v>
      </c>
      <c r="B30" s="45" t="s">
        <v>131</v>
      </c>
      <c r="C30" s="46">
        <f t="shared" si="0"/>
        <v>66.101694915254242</v>
      </c>
      <c r="D30" s="46" t="str">
        <f t="shared" si="1"/>
        <v>57 - 74</v>
      </c>
      <c r="E30" s="46">
        <f t="shared" si="2"/>
        <v>91.525423728813564</v>
      </c>
      <c r="F30" s="46" t="str">
        <f t="shared" si="3"/>
        <v>85 - 95</v>
      </c>
      <c r="G30" s="46">
        <f t="shared" si="4"/>
        <v>94.067796610169495</v>
      </c>
      <c r="H30" s="46" t="str">
        <f t="shared" si="5"/>
        <v>88 - 97</v>
      </c>
      <c r="I30" s="626">
        <f t="shared" si="6"/>
        <v>25.423728813559322</v>
      </c>
      <c r="J30" s="625">
        <f t="shared" si="7"/>
        <v>2.5423728813559308</v>
      </c>
      <c r="K30" s="624">
        <v>60</v>
      </c>
      <c r="L30" s="623">
        <v>95</v>
      </c>
      <c r="M30" s="427">
        <v>78</v>
      </c>
      <c r="N30" s="427">
        <v>118</v>
      </c>
      <c r="O30" s="427">
        <v>30</v>
      </c>
      <c r="P30" s="427">
        <v>118</v>
      </c>
      <c r="Q30" s="427">
        <v>3</v>
      </c>
      <c r="R30" s="427">
        <v>118</v>
      </c>
    </row>
    <row r="31" spans="1:18">
      <c r="A31" s="45" t="s">
        <v>39</v>
      </c>
      <c r="B31" s="45" t="s">
        <v>136</v>
      </c>
      <c r="C31" s="46">
        <f t="shared" si="0"/>
        <v>70</v>
      </c>
      <c r="D31" s="46" t="str">
        <f t="shared" si="1"/>
        <v>48 - 85</v>
      </c>
      <c r="E31" s="46">
        <f t="shared" si="2"/>
        <v>95</v>
      </c>
      <c r="F31" s="46" t="str">
        <f t="shared" si="3"/>
        <v>76 - 99</v>
      </c>
      <c r="G31" s="46">
        <f t="shared" si="4"/>
        <v>95</v>
      </c>
      <c r="H31" s="46" t="str">
        <f t="shared" si="5"/>
        <v>76 - 99</v>
      </c>
      <c r="I31" s="622">
        <f t="shared" si="6"/>
        <v>25</v>
      </c>
      <c r="J31" s="621">
        <f t="shared" si="7"/>
        <v>0</v>
      </c>
      <c r="K31" s="620">
        <v>60</v>
      </c>
      <c r="L31" s="619">
        <v>95</v>
      </c>
      <c r="M31" s="427">
        <v>14</v>
      </c>
      <c r="N31" s="427">
        <v>20</v>
      </c>
      <c r="O31" s="427">
        <v>5</v>
      </c>
      <c r="P31" s="427">
        <v>20</v>
      </c>
      <c r="Q31" s="427">
        <v>0</v>
      </c>
      <c r="R31" s="427">
        <v>20</v>
      </c>
    </row>
    <row r="32" spans="1:18">
      <c r="A32" s="51"/>
      <c r="B32" s="51"/>
      <c r="C32" s="68"/>
      <c r="D32" s="68"/>
      <c r="E32" s="68"/>
      <c r="F32" s="68"/>
      <c r="G32" s="68"/>
      <c r="H32" s="68"/>
      <c r="I32" s="69"/>
      <c r="J32" s="69"/>
      <c r="K32" s="70"/>
      <c r="L32" s="70"/>
      <c r="M32" s="71"/>
      <c r="N32" s="71"/>
      <c r="O32" s="71"/>
      <c r="P32" s="71"/>
      <c r="Q32" s="71"/>
      <c r="R32" s="71"/>
    </row>
    <row r="33" spans="1:18">
      <c r="A33" s="51"/>
      <c r="C33" s="34"/>
      <c r="D33" s="34"/>
      <c r="E33" s="34"/>
      <c r="F33" s="34"/>
      <c r="G33" s="34"/>
      <c r="H33" s="34"/>
      <c r="I33" s="34"/>
      <c r="J33" s="34"/>
    </row>
    <row r="34" spans="1:18" ht="30" customHeight="1">
      <c r="A34" s="839" t="s">
        <v>138</v>
      </c>
      <c r="B34" s="840"/>
      <c r="C34" s="841" t="str">
        <f>C2&amp;" (%)"</f>
        <v>Same Day (%)</v>
      </c>
      <c r="D34" s="842"/>
      <c r="E34" s="841" t="str">
        <f>E2&amp;" (%)"</f>
        <v>Within 1 Day (%)</v>
      </c>
      <c r="F34" s="842"/>
      <c r="G34" s="841" t="str">
        <f>G2&amp;" (%)"</f>
        <v>Within 2 Days (%)</v>
      </c>
      <c r="H34" s="843"/>
      <c r="I34" s="844"/>
      <c r="J34" s="845"/>
      <c r="K34" s="845"/>
      <c r="L34" s="846"/>
      <c r="M34" s="850" t="s">
        <v>51</v>
      </c>
      <c r="N34" s="851"/>
      <c r="O34" s="851" t="s">
        <v>52</v>
      </c>
      <c r="P34" s="851"/>
      <c r="Q34" s="851" t="s">
        <v>139</v>
      </c>
      <c r="R34" s="852"/>
    </row>
    <row r="35" spans="1:18" ht="35.1" customHeight="1">
      <c r="A35" s="52"/>
      <c r="B35" s="53" t="s">
        <v>140</v>
      </c>
      <c r="C35" s="54" t="s">
        <v>141</v>
      </c>
      <c r="D35" s="55" t="s">
        <v>55</v>
      </c>
      <c r="E35" s="54" t="s">
        <v>141</v>
      </c>
      <c r="F35" s="55" t="s">
        <v>55</v>
      </c>
      <c r="G35" s="54" t="s">
        <v>141</v>
      </c>
      <c r="H35" s="56" t="s">
        <v>55</v>
      </c>
      <c r="I35" s="847"/>
      <c r="J35" s="848"/>
      <c r="K35" s="848"/>
      <c r="L35" s="849"/>
      <c r="M35" s="57" t="s">
        <v>28</v>
      </c>
      <c r="N35" s="58" t="s">
        <v>29</v>
      </c>
      <c r="O35" s="58" t="s">
        <v>28</v>
      </c>
      <c r="P35" s="58" t="s">
        <v>29</v>
      </c>
      <c r="Q35" s="58" t="s">
        <v>28</v>
      </c>
      <c r="R35" s="59" t="s">
        <v>29</v>
      </c>
    </row>
    <row r="36" spans="1:18">
      <c r="A36" s="858"/>
      <c r="B36" s="60" t="s">
        <v>35</v>
      </c>
      <c r="C36" s="46">
        <f t="shared" ref="C36:C49" si="9">M36/N36*100</f>
        <v>28.07017543859649</v>
      </c>
      <c r="D36" s="46" t="str">
        <f t="shared" ref="D36:D49" si="10">IF(AND(N36&gt;0,ROUND(SUM(100*((2*M36+1.96^2)-(1.96*(SQRT(1.96^2+4*M36*(1-(M36/N36))))))/(2*(N36+1.96^2))),0)&lt;0),CONCATENATE(SUM(1*0)," - ",ROUND(SUM(100*((2*M36+1.96^2)+(1.96*(SQRT(1.96^2+4*M36*(1-(M36/N36))))))/(2*(N36+1.96^2))),0)),IF(AND(N36&gt;0,ROUND(SUM(100*((2*M36+1.96^2)-(1.96*(SQRT(1.96^2+4*M36*(1-(M36/N36))))))/(2*(N36+1.96^2))),0)&gt;=0),CONCATENATE(ROUND(SUM(100*((2*M36+1.96^2)-(1.96*(SQRT(1.96^2+4*M36*(1-(M36/N36))))))/(2*(N36+1.96^2))),0)," - ",ROUND(SUM(100*((2*M36+1.96^2)+(1.96*(SQRT(1.96^2+4*M36*(1-(M36/N36))))))/(2*(N36+1.96^2))),0)),""))</f>
        <v>24 - 32</v>
      </c>
      <c r="E36" s="46">
        <f t="shared" ref="E36:E49" si="11">(M36+O36)/P36*100</f>
        <v>84.210526315789465</v>
      </c>
      <c r="F36" s="46" t="str">
        <f t="shared" ref="F36:F49" si="12">IF(AND(P36&gt;0,ROUND(SUM(100*((2*(M36+O36)+1.96^2)-(1.96*(SQRT(1.96^2+4*(M36+O36)*(1-((M36+O36)/P36))))))/(2*(P36+1.96^2))),0)&lt;0),CONCATENATE(SUM(1*0)," - ",ROUND(SUM(100*((2*(M36+O36)+1.96^2)+(1.96*(SQRT(1.96^2+4*(M36+O36)*(1-((M36+O36)/P36))))))/(2*(P36+1.96^2))),0)),IF(AND(P36&gt;0,ROUND(SUM(100*((2*(M36+O36)+1.96^2)-(1.96*(SQRT(1.96^2+4*(M36+O36)*(1-((M36+O36)/P36))))))/(2*(P36+1.96^2))),0)&gt;=0),CONCATENATE(ROUND(SUM(100*((2*(M36+O36)+1.96^2)-(1.96*(SQRT(1.96^2+4*(M36+O36)*(1-((M36+O36)/P36))))))/(2*(P36+1.96^2))),0)," - ",ROUND(SUM(100*((2*(M36+O36)+1.96^2)+(1.96*(SQRT(1.96^2+4*(M36+O36)*(1-((M36+O36)/P36))))))/(2*(P36+1.96^2))),0)),""))</f>
        <v>81 - 87</v>
      </c>
      <c r="G36" s="46">
        <f t="shared" ref="G36:G49" si="13">(M36+O36+Q36)/R36*100</f>
        <v>92.543859649122808</v>
      </c>
      <c r="H36" s="46" t="str">
        <f t="shared" ref="H36:H49" si="14">IF(AND(R36&gt;0,ROUND(SUM(100*((2*(M36+O36+Q36)+1.96^2)-(1.96*(SQRT(1.96^2+4*(M36+O36+Q36)*(1-((M36+O36+Q36)/R36))))))/(2*(R36+1.96^2))),0)&lt;0),CONCATENATE(SUM(1*0)," - ",ROUND(SUM(100*((2*(M36+O36+Q36)+1.96^2)+(1.96*(SQRT(1.96^2+4*(M36+O36+Q36)*(1-((M36+O36+Q36)/R36))))))/(2*(R36+1.96^2))),0)),IF(AND(R36&gt;0,ROUND(SUM(100*((2*(M36+O36+Q36)+1.96^2)-(1.96*(SQRT(1.96^2+4*(M36+O36+Q36)*(1-((M36+O36+Q36)/R36))))))/(2*(R36+1.96^2))),0)&gt;=0),CONCATENATE(ROUND(SUM(100*((2*(M36+O36+Q36)+1.96^2)-(1.96*(SQRT(1.96^2+4*(M36+O36+Q36)*(1-((M36+O36+Q36)/R36))))))/(2*(R36+1.96^2))),0)," - ",ROUND(SUM(100*((2*(M36+O36+Q36)+1.96^2)+(1.96*(SQRT(1.96^2+4*(M36+O36+Q36)*(1-((M36+O36+Q36)/R36))))))/(2*(R36+1.96^2))),0)),""))</f>
        <v>90 - 95</v>
      </c>
      <c r="I36" s="861"/>
      <c r="J36" s="862"/>
      <c r="K36" s="862"/>
      <c r="L36" s="863"/>
      <c r="M36" s="428">
        <v>128</v>
      </c>
      <c r="N36" s="428">
        <v>456</v>
      </c>
      <c r="O36" s="590">
        <v>256</v>
      </c>
      <c r="P36" s="590">
        <v>456</v>
      </c>
      <c r="Q36" s="429">
        <v>38</v>
      </c>
      <c r="R36" s="429">
        <v>456</v>
      </c>
    </row>
    <row r="37" spans="1:18">
      <c r="A37" s="859"/>
      <c r="B37" s="60" t="s">
        <v>30</v>
      </c>
      <c r="C37" s="46">
        <f t="shared" si="9"/>
        <v>72.535211267605632</v>
      </c>
      <c r="D37" s="46" t="str">
        <f t="shared" si="10"/>
        <v>65 - 79</v>
      </c>
      <c r="E37" s="46">
        <f t="shared" si="11"/>
        <v>97.887323943661968</v>
      </c>
      <c r="F37" s="46" t="str">
        <f t="shared" si="12"/>
        <v>94 - 99</v>
      </c>
      <c r="G37" s="46">
        <f t="shared" si="13"/>
        <v>99.295774647887328</v>
      </c>
      <c r="H37" s="46" t="str">
        <f t="shared" si="14"/>
        <v>96 - 100</v>
      </c>
      <c r="I37" s="861"/>
      <c r="J37" s="862"/>
      <c r="K37" s="862"/>
      <c r="L37" s="863"/>
      <c r="M37" s="428">
        <v>103</v>
      </c>
      <c r="N37" s="428">
        <v>142</v>
      </c>
      <c r="O37" s="428">
        <v>36</v>
      </c>
      <c r="P37" s="428">
        <v>142</v>
      </c>
      <c r="Q37" s="429">
        <v>2</v>
      </c>
      <c r="R37" s="429">
        <v>142</v>
      </c>
    </row>
    <row r="38" spans="1:18">
      <c r="A38" s="859"/>
      <c r="B38" s="60" t="s">
        <v>33</v>
      </c>
      <c r="C38" s="46">
        <f t="shared" si="9"/>
        <v>55.555555555555557</v>
      </c>
      <c r="D38" s="46" t="str">
        <f t="shared" si="10"/>
        <v>48 - 63</v>
      </c>
      <c r="E38" s="46">
        <f t="shared" si="11"/>
        <v>92.982456140350877</v>
      </c>
      <c r="F38" s="46" t="str">
        <f t="shared" si="12"/>
        <v>88 - 96</v>
      </c>
      <c r="G38" s="46">
        <f t="shared" si="13"/>
        <v>97.660818713450297</v>
      </c>
      <c r="H38" s="46" t="str">
        <f t="shared" si="14"/>
        <v>94 - 99</v>
      </c>
      <c r="I38" s="861"/>
      <c r="J38" s="862"/>
      <c r="K38" s="862"/>
      <c r="L38" s="863"/>
      <c r="M38" s="428">
        <v>95</v>
      </c>
      <c r="N38" s="428">
        <v>171</v>
      </c>
      <c r="O38" s="428">
        <v>64</v>
      </c>
      <c r="P38" s="428">
        <v>171</v>
      </c>
      <c r="Q38" s="429">
        <v>8</v>
      </c>
      <c r="R38" s="429">
        <v>171</v>
      </c>
    </row>
    <row r="39" spans="1:18">
      <c r="A39" s="859"/>
      <c r="B39" s="60" t="s">
        <v>32</v>
      </c>
      <c r="C39" s="46">
        <f t="shared" si="9"/>
        <v>58.574610244988868</v>
      </c>
      <c r="D39" s="46" t="str">
        <f t="shared" si="10"/>
        <v>54 - 63</v>
      </c>
      <c r="E39" s="46">
        <f t="shared" si="11"/>
        <v>94.43207126948775</v>
      </c>
      <c r="F39" s="46" t="str">
        <f t="shared" si="12"/>
        <v>92 - 96</v>
      </c>
      <c r="G39" s="46">
        <f t="shared" si="13"/>
        <v>95.991091314031181</v>
      </c>
      <c r="H39" s="46" t="str">
        <f t="shared" si="14"/>
        <v>94 - 97</v>
      </c>
      <c r="I39" s="861"/>
      <c r="J39" s="862"/>
      <c r="K39" s="862"/>
      <c r="L39" s="863"/>
      <c r="M39" s="428">
        <v>263</v>
      </c>
      <c r="N39" s="428">
        <v>449</v>
      </c>
      <c r="O39" s="428">
        <v>161</v>
      </c>
      <c r="P39" s="428">
        <v>449</v>
      </c>
      <c r="Q39" s="429">
        <v>7</v>
      </c>
      <c r="R39" s="429">
        <v>449</v>
      </c>
    </row>
    <row r="40" spans="1:18">
      <c r="A40" s="859"/>
      <c r="B40" s="60" t="s">
        <v>37</v>
      </c>
      <c r="C40" s="46">
        <f t="shared" si="9"/>
        <v>51.225490196078425</v>
      </c>
      <c r="D40" s="46" t="str">
        <f t="shared" si="10"/>
        <v>46 - 56</v>
      </c>
      <c r="E40" s="46">
        <f t="shared" si="11"/>
        <v>93.137254901960787</v>
      </c>
      <c r="F40" s="46" t="str">
        <f t="shared" si="12"/>
        <v>90 - 95</v>
      </c>
      <c r="G40" s="46">
        <f t="shared" si="13"/>
        <v>96.813725490196077</v>
      </c>
      <c r="H40" s="46" t="str">
        <f t="shared" si="14"/>
        <v>95 - 98</v>
      </c>
      <c r="I40" s="861"/>
      <c r="J40" s="862"/>
      <c r="K40" s="862"/>
      <c r="L40" s="863"/>
      <c r="M40" s="428">
        <v>209</v>
      </c>
      <c r="N40" s="428">
        <v>408</v>
      </c>
      <c r="O40" s="428">
        <v>171</v>
      </c>
      <c r="P40" s="428">
        <v>408</v>
      </c>
      <c r="Q40" s="429">
        <v>15</v>
      </c>
      <c r="R40" s="429">
        <v>408</v>
      </c>
    </row>
    <row r="41" spans="1:18">
      <c r="A41" s="859"/>
      <c r="B41" s="60" t="s">
        <v>36</v>
      </c>
      <c r="C41" s="46">
        <f t="shared" si="9"/>
        <v>68.980477223427329</v>
      </c>
      <c r="D41" s="46" t="str">
        <f t="shared" si="10"/>
        <v>65 - 73</v>
      </c>
      <c r="E41" s="46">
        <f t="shared" si="11"/>
        <v>89.370932754880698</v>
      </c>
      <c r="F41" s="46" t="str">
        <f t="shared" si="12"/>
        <v>86 - 92</v>
      </c>
      <c r="G41" s="46">
        <f t="shared" si="13"/>
        <v>93.275488069414308</v>
      </c>
      <c r="H41" s="46" t="str">
        <f t="shared" si="14"/>
        <v>91 - 95</v>
      </c>
      <c r="I41" s="861"/>
      <c r="J41" s="862"/>
      <c r="K41" s="862"/>
      <c r="L41" s="863"/>
      <c r="M41" s="428">
        <v>318</v>
      </c>
      <c r="N41" s="428">
        <v>461</v>
      </c>
      <c r="O41" s="428">
        <v>94</v>
      </c>
      <c r="P41" s="428">
        <v>461</v>
      </c>
      <c r="Q41" s="429">
        <v>18</v>
      </c>
      <c r="R41" s="429">
        <v>461</v>
      </c>
    </row>
    <row r="42" spans="1:18">
      <c r="A42" s="859"/>
      <c r="B42" s="60" t="s">
        <v>42</v>
      </c>
      <c r="C42" s="46">
        <f t="shared" si="9"/>
        <v>56.547619047619044</v>
      </c>
      <c r="D42" s="46" t="str">
        <f t="shared" si="10"/>
        <v>54 - 59</v>
      </c>
      <c r="E42" s="46">
        <f t="shared" si="11"/>
        <v>88.955026455026456</v>
      </c>
      <c r="F42" s="46" t="str">
        <f t="shared" si="12"/>
        <v>87 - 90</v>
      </c>
      <c r="G42" s="46">
        <f t="shared" si="13"/>
        <v>92.923280423280417</v>
      </c>
      <c r="H42" s="46" t="str">
        <f t="shared" si="14"/>
        <v>92 - 94</v>
      </c>
      <c r="I42" s="861"/>
      <c r="J42" s="862"/>
      <c r="K42" s="862"/>
      <c r="L42" s="863"/>
      <c r="M42" s="428">
        <v>855</v>
      </c>
      <c r="N42" s="428">
        <v>1512</v>
      </c>
      <c r="O42" s="428">
        <v>490</v>
      </c>
      <c r="P42" s="428">
        <v>1512</v>
      </c>
      <c r="Q42" s="429">
        <v>60</v>
      </c>
      <c r="R42" s="429">
        <v>1512</v>
      </c>
    </row>
    <row r="43" spans="1:18">
      <c r="A43" s="859"/>
      <c r="B43" s="60" t="s">
        <v>38</v>
      </c>
      <c r="C43" s="46">
        <f t="shared" si="9"/>
        <v>63.606557377049178</v>
      </c>
      <c r="D43" s="46" t="str">
        <f t="shared" si="10"/>
        <v>58 - 69</v>
      </c>
      <c r="E43" s="46">
        <f t="shared" si="11"/>
        <v>92.786885245901644</v>
      </c>
      <c r="F43" s="46" t="str">
        <f t="shared" si="12"/>
        <v>89 - 95</v>
      </c>
      <c r="G43" s="46">
        <f t="shared" si="13"/>
        <v>95.73770491803279</v>
      </c>
      <c r="H43" s="46" t="str">
        <f t="shared" si="14"/>
        <v>93 - 97</v>
      </c>
      <c r="I43" s="861"/>
      <c r="J43" s="862"/>
      <c r="K43" s="862"/>
      <c r="L43" s="863"/>
      <c r="M43" s="428">
        <v>194</v>
      </c>
      <c r="N43" s="428">
        <v>305</v>
      </c>
      <c r="O43" s="428">
        <v>89</v>
      </c>
      <c r="P43" s="428">
        <v>305</v>
      </c>
      <c r="Q43" s="429">
        <v>9</v>
      </c>
      <c r="R43" s="429">
        <v>305</v>
      </c>
    </row>
    <row r="44" spans="1:18">
      <c r="A44" s="859"/>
      <c r="B44" s="60" t="s">
        <v>31</v>
      </c>
      <c r="C44" s="46">
        <f t="shared" si="9"/>
        <v>45.743145743145739</v>
      </c>
      <c r="D44" s="46" t="str">
        <f t="shared" si="10"/>
        <v>42 - 49</v>
      </c>
      <c r="E44" s="46">
        <f t="shared" si="11"/>
        <v>90.620490620490628</v>
      </c>
      <c r="F44" s="46" t="str">
        <f t="shared" si="12"/>
        <v>88 - 93</v>
      </c>
      <c r="G44" s="46">
        <f t="shared" si="13"/>
        <v>95.093795093795094</v>
      </c>
      <c r="H44" s="46" t="str">
        <f t="shared" si="14"/>
        <v>93 - 96</v>
      </c>
      <c r="I44" s="861"/>
      <c r="J44" s="862"/>
      <c r="K44" s="862"/>
      <c r="L44" s="863"/>
      <c r="M44" s="428">
        <v>317</v>
      </c>
      <c r="N44" s="428">
        <v>693</v>
      </c>
      <c r="O44" s="428">
        <v>311</v>
      </c>
      <c r="P44" s="428">
        <v>693</v>
      </c>
      <c r="Q44" s="429">
        <v>31</v>
      </c>
      <c r="R44" s="429">
        <v>693</v>
      </c>
    </row>
    <row r="45" spans="1:18">
      <c r="A45" s="859"/>
      <c r="B45" s="60" t="s">
        <v>40</v>
      </c>
      <c r="C45" s="46">
        <f t="shared" si="9"/>
        <v>59.623430962343093</v>
      </c>
      <c r="D45" s="46" t="str">
        <f t="shared" si="10"/>
        <v>56 - 63</v>
      </c>
      <c r="E45" s="46">
        <f t="shared" si="11"/>
        <v>87.86610878661088</v>
      </c>
      <c r="F45" s="46" t="str">
        <f t="shared" si="12"/>
        <v>86 - 90</v>
      </c>
      <c r="G45" s="46">
        <f t="shared" si="13"/>
        <v>91.73640167364016</v>
      </c>
      <c r="H45" s="46" t="str">
        <f t="shared" si="14"/>
        <v>90 - 93</v>
      </c>
      <c r="I45" s="861"/>
      <c r="J45" s="862"/>
      <c r="K45" s="862"/>
      <c r="L45" s="863"/>
      <c r="M45" s="428">
        <v>570</v>
      </c>
      <c r="N45" s="428">
        <v>956</v>
      </c>
      <c r="O45" s="428">
        <v>270</v>
      </c>
      <c r="P45" s="428">
        <v>956</v>
      </c>
      <c r="Q45" s="429">
        <v>37</v>
      </c>
      <c r="R45" s="429">
        <v>956</v>
      </c>
    </row>
    <row r="46" spans="1:18">
      <c r="A46" s="859"/>
      <c r="B46" s="60" t="s">
        <v>43</v>
      </c>
      <c r="C46" s="46">
        <f t="shared" si="9"/>
        <v>65.384615384615387</v>
      </c>
      <c r="D46" s="46" t="str">
        <f t="shared" si="10"/>
        <v>46 - 81</v>
      </c>
      <c r="E46" s="46">
        <f t="shared" si="11"/>
        <v>80.769230769230774</v>
      </c>
      <c r="F46" s="46" t="str">
        <f t="shared" si="12"/>
        <v>62 - 91</v>
      </c>
      <c r="G46" s="46">
        <f t="shared" si="13"/>
        <v>84.615384615384613</v>
      </c>
      <c r="H46" s="46" t="str">
        <f t="shared" si="14"/>
        <v>66 - 94</v>
      </c>
      <c r="I46" s="861"/>
      <c r="J46" s="862"/>
      <c r="K46" s="862"/>
      <c r="L46" s="863"/>
      <c r="M46" s="428">
        <v>17</v>
      </c>
      <c r="N46" s="428">
        <v>26</v>
      </c>
      <c r="O46" s="428">
        <v>4</v>
      </c>
      <c r="P46" s="428">
        <v>26</v>
      </c>
      <c r="Q46" s="429">
        <v>1</v>
      </c>
      <c r="R46" s="429">
        <v>26</v>
      </c>
    </row>
    <row r="47" spans="1:18">
      <c r="A47" s="859"/>
      <c r="B47" s="60" t="s">
        <v>41</v>
      </c>
      <c r="C47" s="46">
        <f t="shared" si="9"/>
        <v>59.259259259259252</v>
      </c>
      <c r="D47" s="46" t="str">
        <f t="shared" si="10"/>
        <v>41 - 75</v>
      </c>
      <c r="E47" s="46">
        <f t="shared" si="11"/>
        <v>92.592592592592595</v>
      </c>
      <c r="F47" s="46" t="str">
        <f t="shared" si="12"/>
        <v>77 - 98</v>
      </c>
      <c r="G47" s="46">
        <f t="shared" si="13"/>
        <v>100</v>
      </c>
      <c r="H47" s="46" t="str">
        <f t="shared" si="14"/>
        <v>88 - 100</v>
      </c>
      <c r="I47" s="861"/>
      <c r="J47" s="862"/>
      <c r="K47" s="862"/>
      <c r="L47" s="863"/>
      <c r="M47" s="428">
        <v>16</v>
      </c>
      <c r="N47" s="428">
        <v>27</v>
      </c>
      <c r="O47" s="428">
        <v>9</v>
      </c>
      <c r="P47" s="428">
        <v>27</v>
      </c>
      <c r="Q47" s="429">
        <v>2</v>
      </c>
      <c r="R47" s="429">
        <v>27</v>
      </c>
    </row>
    <row r="48" spans="1:18">
      <c r="A48" s="859"/>
      <c r="B48" s="60" t="s">
        <v>34</v>
      </c>
      <c r="C48" s="46">
        <f t="shared" si="9"/>
        <v>51.758793969849251</v>
      </c>
      <c r="D48" s="46" t="str">
        <f t="shared" si="10"/>
        <v>47 - 57</v>
      </c>
      <c r="E48" s="46">
        <f t="shared" si="11"/>
        <v>90.452261306532662</v>
      </c>
      <c r="F48" s="46" t="str">
        <f t="shared" si="12"/>
        <v>87 - 93</v>
      </c>
      <c r="G48" s="46">
        <f t="shared" si="13"/>
        <v>94.9748743718593</v>
      </c>
      <c r="H48" s="46" t="str">
        <f t="shared" si="14"/>
        <v>92 - 97</v>
      </c>
      <c r="I48" s="861"/>
      <c r="J48" s="862"/>
      <c r="K48" s="862"/>
      <c r="L48" s="863"/>
      <c r="M48" s="428">
        <v>206</v>
      </c>
      <c r="N48" s="428">
        <v>398</v>
      </c>
      <c r="O48" s="428">
        <v>154</v>
      </c>
      <c r="P48" s="428">
        <v>398</v>
      </c>
      <c r="Q48" s="429">
        <v>18</v>
      </c>
      <c r="R48" s="429">
        <v>398</v>
      </c>
    </row>
    <row r="49" spans="1:18">
      <c r="A49" s="860"/>
      <c r="B49" s="60" t="s">
        <v>39</v>
      </c>
      <c r="C49" s="46">
        <f t="shared" si="9"/>
        <v>70</v>
      </c>
      <c r="D49" s="46" t="str">
        <f t="shared" si="10"/>
        <v>48 - 85</v>
      </c>
      <c r="E49" s="46">
        <f t="shared" si="11"/>
        <v>95</v>
      </c>
      <c r="F49" s="46" t="str">
        <f t="shared" si="12"/>
        <v>76 - 99</v>
      </c>
      <c r="G49" s="46">
        <f t="shared" si="13"/>
        <v>95</v>
      </c>
      <c r="H49" s="46" t="str">
        <f t="shared" si="14"/>
        <v>76 - 99</v>
      </c>
      <c r="I49" s="864"/>
      <c r="J49" s="865"/>
      <c r="K49" s="865"/>
      <c r="L49" s="866"/>
      <c r="M49" s="428">
        <v>14</v>
      </c>
      <c r="N49" s="428">
        <v>20</v>
      </c>
      <c r="O49" s="428">
        <v>5</v>
      </c>
      <c r="P49" s="428">
        <v>20</v>
      </c>
      <c r="Q49" s="429">
        <v>0</v>
      </c>
      <c r="R49" s="429">
        <v>20</v>
      </c>
    </row>
    <row r="50" spans="1:18" s="569" customFormat="1">
      <c r="A50" s="51"/>
      <c r="B50" s="579"/>
      <c r="C50" s="34"/>
      <c r="D50" s="34"/>
      <c r="E50" s="34"/>
      <c r="F50" s="34"/>
      <c r="G50" s="34"/>
      <c r="H50" s="34"/>
      <c r="I50" s="34"/>
      <c r="J50" s="34"/>
      <c r="M50" s="579"/>
      <c r="N50" s="579"/>
      <c r="O50" s="579"/>
      <c r="P50" s="579"/>
      <c r="Q50" s="579"/>
      <c r="R50" s="579"/>
    </row>
    <row r="51" spans="1:18" s="569" customFormat="1">
      <c r="A51" s="51"/>
      <c r="B51" s="579"/>
      <c r="C51" s="34"/>
      <c r="D51" s="34"/>
      <c r="E51" s="34"/>
      <c r="F51" s="34"/>
      <c r="G51" s="34"/>
      <c r="H51" s="34"/>
      <c r="I51" s="34"/>
      <c r="J51" s="34"/>
      <c r="M51" s="579"/>
      <c r="N51" s="579"/>
      <c r="O51" s="579"/>
      <c r="P51" s="579"/>
      <c r="Q51" s="579"/>
      <c r="R51" s="579"/>
    </row>
    <row r="52" spans="1:18" s="569" customFormat="1">
      <c r="A52" s="51"/>
      <c r="B52" s="579"/>
      <c r="C52" s="34"/>
      <c r="D52" s="34"/>
      <c r="E52" s="34"/>
      <c r="F52" s="34"/>
      <c r="G52" s="34"/>
      <c r="H52" s="34"/>
      <c r="I52" s="34"/>
      <c r="J52" s="34"/>
      <c r="M52" s="579"/>
      <c r="N52" s="579"/>
      <c r="O52" s="579"/>
      <c r="P52" s="579"/>
      <c r="Q52" s="579"/>
      <c r="R52" s="579"/>
    </row>
  </sheetData>
  <sheetProtection password="B8D9" sheet="1" objects="1" scenarios="1"/>
  <mergeCells count="15">
    <mergeCell ref="Q34:R34"/>
    <mergeCell ref="A36:A49"/>
    <mergeCell ref="I36:L49"/>
    <mergeCell ref="O1:P1"/>
    <mergeCell ref="Q1:R1"/>
    <mergeCell ref="A34:B34"/>
    <mergeCell ref="C34:D34"/>
    <mergeCell ref="E34:F34"/>
    <mergeCell ref="G34:H34"/>
    <mergeCell ref="I34:L35"/>
    <mergeCell ref="M34:N34"/>
    <mergeCell ref="O34:P34"/>
    <mergeCell ref="A1:B1"/>
    <mergeCell ref="C1:H1"/>
    <mergeCell ref="M1:N1"/>
  </mergeCells>
  <printOptions horizontalCentered="1"/>
  <pageMargins left="0" right="0" top="0.27559055118110237" bottom="0.51181102362204722" header="0.15748031496062992" footer="0.19685039370078741"/>
  <pageSetup paperSize="9" scale="77"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41.xml><?xml version="1.0" encoding="utf-8"?>
<worksheet xmlns="http://schemas.openxmlformats.org/spreadsheetml/2006/main" xmlns:r="http://schemas.openxmlformats.org/officeDocument/2006/relationships">
  <sheetPr codeName="Sheet44">
    <pageSetUpPr fitToPage="1"/>
  </sheetPr>
  <dimension ref="B1:T45"/>
  <sheetViews>
    <sheetView workbookViewId="0"/>
  </sheetViews>
  <sheetFormatPr defaultRowHeight="12.75"/>
  <cols>
    <col min="1" max="1" width="2.7109375" style="336" customWidth="1"/>
    <col min="2" max="16384" width="9.140625" style="336"/>
  </cols>
  <sheetData>
    <row r="1" spans="2:20" s="648" customFormat="1" ht="24.95" customHeight="1">
      <c r="B1" s="795" t="s">
        <v>308</v>
      </c>
      <c r="C1" s="795"/>
      <c r="D1" s="795"/>
      <c r="E1" s="795"/>
      <c r="F1" s="795"/>
      <c r="G1" s="795"/>
      <c r="H1" s="795"/>
      <c r="I1" s="795"/>
      <c r="J1" s="795"/>
      <c r="K1" s="795"/>
      <c r="L1" s="795"/>
      <c r="M1" s="795"/>
      <c r="N1" s="795"/>
      <c r="O1" s="26"/>
      <c r="P1" s="802" t="s">
        <v>48</v>
      </c>
      <c r="Q1" s="26"/>
      <c r="R1" s="26"/>
      <c r="S1" s="26"/>
      <c r="T1" s="26"/>
    </row>
    <row r="2" spans="2:20" s="648" customFormat="1" ht="12.75" customHeight="1">
      <c r="B2" s="835" t="s">
        <v>765</v>
      </c>
      <c r="C2" s="835"/>
      <c r="D2" s="835"/>
      <c r="E2" s="835"/>
      <c r="F2" s="835"/>
      <c r="G2" s="835"/>
      <c r="H2" s="835"/>
      <c r="I2" s="835"/>
      <c r="J2" s="835"/>
      <c r="K2" s="835"/>
      <c r="L2" s="835"/>
      <c r="M2" s="835"/>
      <c r="O2" s="27"/>
      <c r="P2" s="802"/>
      <c r="Q2" s="28"/>
      <c r="R2" s="803"/>
      <c r="S2" s="803"/>
      <c r="T2" s="803"/>
    </row>
    <row r="3" spans="2:20" s="648" customFormat="1" ht="12.75" customHeight="1">
      <c r="B3" s="835"/>
      <c r="C3" s="835"/>
      <c r="D3" s="835"/>
      <c r="E3" s="835"/>
      <c r="F3" s="835"/>
      <c r="G3" s="835"/>
      <c r="H3" s="835"/>
      <c r="I3" s="835"/>
      <c r="J3" s="835"/>
      <c r="K3" s="835"/>
      <c r="L3" s="835"/>
      <c r="M3" s="835"/>
      <c r="O3" s="589"/>
      <c r="P3" s="802"/>
      <c r="Q3" s="29"/>
      <c r="R3" s="645"/>
      <c r="S3" s="645"/>
      <c r="T3" s="645"/>
    </row>
    <row r="4" spans="2:20" s="648" customFormat="1" ht="15" customHeight="1">
      <c r="B4" s="836" t="s">
        <v>309</v>
      </c>
      <c r="C4" s="836"/>
      <c r="D4" s="836"/>
      <c r="E4" s="836"/>
      <c r="F4" s="836"/>
      <c r="G4" s="836"/>
      <c r="H4" s="836"/>
      <c r="I4" s="836"/>
      <c r="J4" s="836"/>
      <c r="K4" s="836"/>
      <c r="L4" s="836"/>
      <c r="O4" s="589"/>
      <c r="P4" s="802"/>
      <c r="Q4" s="29"/>
      <c r="R4" s="645"/>
      <c r="S4" s="645"/>
      <c r="T4" s="645"/>
    </row>
    <row r="5" spans="2:20" s="648" customFormat="1" ht="15" customHeight="1">
      <c r="B5" s="836"/>
      <c r="C5" s="836"/>
      <c r="D5" s="836"/>
      <c r="E5" s="836"/>
      <c r="F5" s="836"/>
      <c r="G5" s="836"/>
      <c r="H5" s="836"/>
      <c r="I5" s="836"/>
      <c r="J5" s="836"/>
      <c r="K5" s="836"/>
      <c r="L5" s="836"/>
      <c r="M5" s="644"/>
      <c r="N5" s="644"/>
      <c r="O5" s="589"/>
      <c r="P5" s="589"/>
      <c r="Q5" s="29"/>
      <c r="R5" s="645"/>
      <c r="S5" s="645"/>
      <c r="T5" s="645"/>
    </row>
    <row r="6" spans="2:20" s="648" customFormat="1" ht="15" customHeight="1">
      <c r="B6" s="836"/>
      <c r="C6" s="836"/>
      <c r="D6" s="836"/>
      <c r="E6" s="836"/>
      <c r="F6" s="836"/>
      <c r="G6" s="836"/>
      <c r="H6" s="836"/>
      <c r="I6" s="836"/>
      <c r="J6" s="836"/>
      <c r="K6" s="836"/>
      <c r="L6" s="836"/>
      <c r="M6" s="644"/>
      <c r="N6" s="644"/>
      <c r="O6" s="30"/>
      <c r="P6" s="30"/>
      <c r="Q6" s="29"/>
      <c r="R6" s="645"/>
      <c r="S6" s="645"/>
      <c r="T6" s="645"/>
    </row>
    <row r="41" spans="2:17" s="648" customFormat="1">
      <c r="B41" s="32" t="s">
        <v>635</v>
      </c>
      <c r="C41" s="33"/>
      <c r="D41" s="34"/>
      <c r="E41" s="34"/>
      <c r="F41" s="34"/>
      <c r="G41" s="34"/>
      <c r="H41" s="34"/>
      <c r="I41" s="34"/>
      <c r="J41" s="34"/>
      <c r="K41" s="34"/>
      <c r="L41" s="642"/>
      <c r="M41" s="642"/>
      <c r="N41" s="35"/>
      <c r="O41" s="35"/>
      <c r="P41" s="35"/>
      <c r="Q41" s="35"/>
    </row>
    <row r="42" spans="2:17" s="648" customFormat="1" ht="12.75" customHeight="1">
      <c r="B42" s="797" t="s">
        <v>0</v>
      </c>
      <c r="C42" s="797"/>
      <c r="D42" s="797"/>
      <c r="E42" s="797"/>
      <c r="F42" s="797"/>
      <c r="G42" s="797"/>
      <c r="H42" s="797"/>
      <c r="I42" s="797"/>
      <c r="J42" s="797"/>
      <c r="K42" s="797"/>
      <c r="L42" s="797"/>
      <c r="M42" s="797"/>
      <c r="N42" s="650"/>
      <c r="O42" s="650"/>
      <c r="P42" s="650"/>
    </row>
    <row r="43" spans="2:17" s="648" customFormat="1">
      <c r="B43" s="797"/>
      <c r="C43" s="797"/>
      <c r="D43" s="797"/>
      <c r="E43" s="797"/>
      <c r="F43" s="797"/>
      <c r="G43" s="797"/>
      <c r="H43" s="797"/>
      <c r="I43" s="797"/>
      <c r="J43" s="797"/>
      <c r="K43" s="797"/>
      <c r="L43" s="797"/>
      <c r="M43" s="797"/>
    </row>
    <row r="44" spans="2:17" s="648" customFormat="1">
      <c r="B44" s="797" t="s">
        <v>446</v>
      </c>
      <c r="C44" s="797"/>
      <c r="D44" s="797"/>
      <c r="E44" s="797"/>
      <c r="F44" s="797"/>
      <c r="G44" s="797"/>
      <c r="H44" s="797"/>
      <c r="I44" s="797"/>
      <c r="J44" s="797"/>
      <c r="K44" s="797"/>
      <c r="L44" s="797"/>
      <c r="M44" s="797"/>
    </row>
    <row r="45" spans="2:17">
      <c r="B45" s="797"/>
      <c r="C45" s="797"/>
      <c r="D45" s="797"/>
      <c r="E45" s="797"/>
      <c r="F45" s="797"/>
      <c r="G45" s="797"/>
      <c r="H45" s="797"/>
      <c r="I45" s="797"/>
      <c r="J45" s="797"/>
      <c r="K45" s="797"/>
      <c r="L45" s="797"/>
      <c r="M45" s="797"/>
    </row>
  </sheetData>
  <sheetProtection password="B8D9" sheet="1" objects="1" scenarios="1"/>
  <mergeCells count="7">
    <mergeCell ref="B44:M45"/>
    <mergeCell ref="B1:N1"/>
    <mergeCell ref="B2:M3"/>
    <mergeCell ref="R2:T2"/>
    <mergeCell ref="B4:L6"/>
    <mergeCell ref="B42:M43"/>
    <mergeCell ref="P1:P4"/>
  </mergeCells>
  <hyperlinks>
    <hyperlink ref="P1" location="'List of Tables &amp; Charts'!A1" display="return to List of Tables &amp; Charts"/>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42.xml><?xml version="1.0" encoding="utf-8"?>
<worksheet xmlns="http://schemas.openxmlformats.org/spreadsheetml/2006/main" xmlns:r="http://schemas.openxmlformats.org/officeDocument/2006/relationships">
  <sheetPr codeName="Sheet46">
    <pageSetUpPr fitToPage="1"/>
  </sheetPr>
  <dimension ref="A1:R52"/>
  <sheetViews>
    <sheetView showGridLines="0" zoomScaleNormal="100" workbookViewId="0">
      <selection sqref="A1:B1"/>
    </sheetView>
  </sheetViews>
  <sheetFormatPr defaultRowHeight="12.75"/>
  <cols>
    <col min="1" max="1" width="16.7109375" style="648" customWidth="1"/>
    <col min="2" max="2" width="45.7109375" style="648" bestFit="1" customWidth="1"/>
    <col min="3" max="3" width="6.7109375" style="642" customWidth="1"/>
    <col min="4" max="4" width="10.7109375" style="642" customWidth="1"/>
    <col min="5" max="5" width="6.7109375" style="642" customWidth="1"/>
    <col min="6" max="6" width="10.7109375" style="642" customWidth="1"/>
    <col min="7" max="7" width="6.7109375" style="642" customWidth="1"/>
    <col min="8" max="8" width="10.7109375" style="642" customWidth="1"/>
    <col min="9" max="12" width="2.7109375" style="642" customWidth="1"/>
    <col min="13" max="13" width="9.28515625" style="648" customWidth="1"/>
    <col min="14" max="14" width="11.28515625" style="648" customWidth="1"/>
    <col min="15" max="15" width="9.28515625" style="648" customWidth="1"/>
    <col min="16" max="16" width="11.28515625" style="648" customWidth="1"/>
    <col min="17" max="17" width="9.28515625" style="648" customWidth="1"/>
    <col min="18" max="18" width="11.28515625" style="648" customWidth="1"/>
    <col min="19" max="16384" width="9.140625" style="648"/>
  </cols>
  <sheetData>
    <row r="1" spans="1:18" ht="25.5" customHeight="1">
      <c r="A1" s="853">
        <v>2014</v>
      </c>
      <c r="B1" s="850"/>
      <c r="C1" s="854" t="s">
        <v>44</v>
      </c>
      <c r="D1" s="855"/>
      <c r="E1" s="855"/>
      <c r="F1" s="855"/>
      <c r="G1" s="855"/>
      <c r="H1" s="856"/>
      <c r="I1" s="36"/>
      <c r="J1" s="37"/>
      <c r="K1" s="631" t="s">
        <v>49</v>
      </c>
      <c r="L1" s="617" t="s">
        <v>50</v>
      </c>
      <c r="M1" s="857" t="s">
        <v>51</v>
      </c>
      <c r="N1" s="857"/>
      <c r="O1" s="857" t="s">
        <v>52</v>
      </c>
      <c r="P1" s="857"/>
      <c r="Q1" s="857" t="s">
        <v>53</v>
      </c>
      <c r="R1" s="857"/>
    </row>
    <row r="2" spans="1:18" ht="45" customHeight="1">
      <c r="A2" s="38" t="s">
        <v>26</v>
      </c>
      <c r="B2" s="39" t="s">
        <v>27</v>
      </c>
      <c r="C2" s="40" t="s">
        <v>54</v>
      </c>
      <c r="D2" s="40" t="s">
        <v>55</v>
      </c>
      <c r="E2" s="40" t="s">
        <v>56</v>
      </c>
      <c r="F2" s="40" t="s">
        <v>55</v>
      </c>
      <c r="G2" s="40" t="s">
        <v>57</v>
      </c>
      <c r="H2" s="40" t="s">
        <v>55</v>
      </c>
      <c r="I2" s="41" t="s">
        <v>58</v>
      </c>
      <c r="J2" s="42" t="s">
        <v>59</v>
      </c>
      <c r="K2" s="630"/>
      <c r="L2" s="615" t="s">
        <v>280</v>
      </c>
      <c r="M2" s="43" t="s">
        <v>28</v>
      </c>
      <c r="N2" s="43" t="s">
        <v>29</v>
      </c>
      <c r="O2" s="43" t="s">
        <v>28</v>
      </c>
      <c r="P2" s="43" t="s">
        <v>29</v>
      </c>
      <c r="Q2" s="43" t="s">
        <v>28</v>
      </c>
      <c r="R2" s="43" t="s">
        <v>29</v>
      </c>
    </row>
    <row r="3" spans="1:18">
      <c r="A3" s="45" t="s">
        <v>137</v>
      </c>
      <c r="B3" s="45" t="s">
        <v>137</v>
      </c>
      <c r="C3" s="46">
        <f t="shared" ref="C3:C31" si="0">IF(ISERR(M3/N3*100),"",M3/N3*100)</f>
        <v>52.908540685944857</v>
      </c>
      <c r="D3" s="46" t="str">
        <f t="shared" ref="D3:D31" si="1">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52 - 54</v>
      </c>
      <c r="E3" s="46">
        <f t="shared" ref="E3:E31" si="2">IF(ISERR((M3+O3)/P3*100),"",(M3+O3)/P3*100)</f>
        <v>87.911903160726297</v>
      </c>
      <c r="F3" s="46" t="str">
        <f t="shared" ref="F3:F31" si="3">IF(AND(AND(P3&gt;0,SUM(M3+O3)&gt;0),ROUND(SUM(100*((2*(M3+O3)+1.96^2)-(1.96*(SQRT(1.96^2+4*(M3+O3)*(1-((M3+O3)/P3))))))/(2*(P3+1.96^2))),0)&lt;0),CONCATENATE(SUM(1*0)," - ",ROUND(SUM(100*((2*(M3+O3)+1.96^2)+(1.96*(SQRT(1.96^2+4*(M3+O3)*(1-((M3+O3)/P3))))))/(2*(P3+1.96^2))),0)),IF(AND(AND(P3&gt;0,SUM(M3+O3)&gt;0),ROUND(SUM(100*((2*(M3+O3)+1.96^2)-(1.96*(SQRT(1.96^2+4*(M3+O3)*(1-((M3+O3)/P3))))))/(2*(P3+1.96^2))),0)&gt;=0),CONCATENATE(ROUND(SUM(100*((2*(M3+O3)+1.96^2)-(1.96*(SQRT(1.96^2+4*(M3+O3)*(1-((M3+O3)/P3))))))/(2*(P3+1.96^2))),0)," - ",ROUND(SUM(100*((2*(M3+O3)+1.96^2)+(1.96*(SQRT(1.96^2+4*(M3+O3)*(1-((M3+O3)/P3))))))/(2*(P3+1.96^2))),0)),""))</f>
        <v>87 - 89</v>
      </c>
      <c r="G3" s="46">
        <f t="shared" ref="G3:G31" si="4">IF(ISERR((M3+O3+Q3)/R3*100),"",(M3+O3+Q3)/R3*100)</f>
        <v>93.123739071956962</v>
      </c>
      <c r="H3" s="46" t="str">
        <f t="shared" ref="H3:H31" si="5">IF(AND(AND(R3&gt;0,SUM(M3+O3+Q3)&gt;0),ROUND(SUM(100*((2*(M3+O3+Q3)+1.96^2)-(1.96*(SQRT(1.96^2+4*(M3+O3+Q3)*(1-((M3+O3+Q3)/R3))))))/(2*(R3+1.96^2))),0)&lt;0),CONCATENATE(SUM(1*0)," - ",ROUND(SUM(100*((2*(M3+O3+Q3)+1.96^2)+(1.96*(SQRT(1.96^2+4*(M3+O3+Q3)*(1-((M3+O3+Q3)/R3))))))/(2*(R3+1.96^2))),0)),IF(AND(AND(R3&gt;0,SUM(M3+O3+Q3)&gt;0),ROUND(SUM(100*((2*(M3+O3+Q3)+1.96^2)-(1.96*(SQRT(1.96^2+4*(M3+O3+Q3)*(1-((M3+O3+Q3)/R3))))))/(2*(R3+1.96^2))),0)&gt;=0),CONCATENATE(ROUND(SUM(100*((2*(M3+O3+Q3)+1.96^2)-(1.96*(SQRT(1.96^2+4*(M3+O3+Q3)*(1-((M3+O3+Q3)/R3))))))/(2*(R3+1.96^2))),0)," - ",ROUND(SUM(100*((2*(M3+O3+Q3)+1.96^2)+(1.96*(SQRT(1.96^2+4*(M3+O3+Q3)*(1-((M3+O3+Q3)/R3))))))/(2*(R3+1.96^2))),0)),""))</f>
        <v>92 - 94</v>
      </c>
      <c r="I3" s="629">
        <f t="shared" ref="I3:I31" si="6">E3-C3</f>
        <v>35.00336247478144</v>
      </c>
      <c r="J3" s="612">
        <f t="shared" ref="J3:J31" si="7">G3-E3</f>
        <v>5.2118359112306649</v>
      </c>
      <c r="K3" s="628">
        <v>60</v>
      </c>
      <c r="L3" s="627">
        <v>95</v>
      </c>
      <c r="M3" s="427">
        <f t="shared" ref="M3:R3" si="8">SUM(M4:M31)</f>
        <v>3147</v>
      </c>
      <c r="N3" s="427">
        <f t="shared" si="8"/>
        <v>5948</v>
      </c>
      <c r="O3" s="427">
        <f t="shared" si="8"/>
        <v>2082</v>
      </c>
      <c r="P3" s="427">
        <f t="shared" si="8"/>
        <v>5948</v>
      </c>
      <c r="Q3" s="427">
        <f t="shared" si="8"/>
        <v>310</v>
      </c>
      <c r="R3" s="427">
        <f t="shared" si="8"/>
        <v>5948</v>
      </c>
    </row>
    <row r="4" spans="1:18">
      <c r="A4" s="45" t="s">
        <v>61</v>
      </c>
      <c r="B4" s="45" t="s">
        <v>60</v>
      </c>
      <c r="C4" s="46">
        <f t="shared" si="0"/>
        <v>30.53097345132743</v>
      </c>
      <c r="D4" s="46" t="str">
        <f t="shared" si="1"/>
        <v>25 - 37</v>
      </c>
      <c r="E4" s="46">
        <f t="shared" si="2"/>
        <v>74.778761061946909</v>
      </c>
      <c r="F4" s="46" t="str">
        <f t="shared" si="3"/>
        <v>69 - 80</v>
      </c>
      <c r="G4" s="46">
        <f t="shared" si="4"/>
        <v>87.16814159292035</v>
      </c>
      <c r="H4" s="46" t="str">
        <f t="shared" si="5"/>
        <v>82 - 91</v>
      </c>
      <c r="I4" s="626">
        <f t="shared" si="6"/>
        <v>44.247787610619483</v>
      </c>
      <c r="J4" s="625">
        <f t="shared" si="7"/>
        <v>12.38938053097344</v>
      </c>
      <c r="K4" s="624">
        <v>60</v>
      </c>
      <c r="L4" s="623">
        <v>95</v>
      </c>
      <c r="M4" s="427">
        <v>69</v>
      </c>
      <c r="N4" s="427">
        <v>226</v>
      </c>
      <c r="O4" s="427">
        <v>100</v>
      </c>
      <c r="P4" s="427">
        <v>226</v>
      </c>
      <c r="Q4" s="427">
        <v>28</v>
      </c>
      <c r="R4" s="427">
        <v>226</v>
      </c>
    </row>
    <row r="5" spans="1:18">
      <c r="A5" s="45" t="s">
        <v>63</v>
      </c>
      <c r="B5" s="45" t="s">
        <v>64</v>
      </c>
      <c r="C5" s="46">
        <f t="shared" si="0"/>
        <v>33.478260869565219</v>
      </c>
      <c r="D5" s="46" t="str">
        <f t="shared" si="1"/>
        <v>28 - 40</v>
      </c>
      <c r="E5" s="46">
        <f t="shared" si="2"/>
        <v>87.826086956521749</v>
      </c>
      <c r="F5" s="46" t="str">
        <f t="shared" si="3"/>
        <v>83 - 91</v>
      </c>
      <c r="G5" s="46">
        <f t="shared" si="4"/>
        <v>90</v>
      </c>
      <c r="H5" s="46" t="str">
        <f t="shared" si="5"/>
        <v>85 - 93</v>
      </c>
      <c r="I5" s="626">
        <f t="shared" si="6"/>
        <v>54.34782608695653</v>
      </c>
      <c r="J5" s="625">
        <f t="shared" si="7"/>
        <v>2.173913043478251</v>
      </c>
      <c r="K5" s="624">
        <v>60</v>
      </c>
      <c r="L5" s="623">
        <v>95</v>
      </c>
      <c r="M5" s="427">
        <v>77</v>
      </c>
      <c r="N5" s="427">
        <v>230</v>
      </c>
      <c r="O5" s="427">
        <v>125</v>
      </c>
      <c r="P5" s="427">
        <v>230</v>
      </c>
      <c r="Q5" s="427">
        <v>5</v>
      </c>
      <c r="R5" s="427">
        <v>230</v>
      </c>
    </row>
    <row r="6" spans="1:18">
      <c r="A6" s="45" t="s">
        <v>30</v>
      </c>
      <c r="B6" s="45" t="s">
        <v>66</v>
      </c>
      <c r="C6" s="46">
        <f t="shared" si="0"/>
        <v>71.724137931034477</v>
      </c>
      <c r="D6" s="46" t="str">
        <f t="shared" si="1"/>
        <v>64 - 78</v>
      </c>
      <c r="E6" s="46">
        <f t="shared" si="2"/>
        <v>95.862068965517238</v>
      </c>
      <c r="F6" s="46" t="str">
        <f t="shared" si="3"/>
        <v>91 - 98</v>
      </c>
      <c r="G6" s="46">
        <f t="shared" si="4"/>
        <v>99.310344827586206</v>
      </c>
      <c r="H6" s="46" t="str">
        <f t="shared" si="5"/>
        <v>96 - 100</v>
      </c>
      <c r="I6" s="626">
        <f t="shared" si="6"/>
        <v>24.137931034482762</v>
      </c>
      <c r="J6" s="625">
        <f t="shared" si="7"/>
        <v>3.448275862068968</v>
      </c>
      <c r="K6" s="624">
        <v>60</v>
      </c>
      <c r="L6" s="623">
        <v>95</v>
      </c>
      <c r="M6" s="427">
        <v>104</v>
      </c>
      <c r="N6" s="427">
        <v>145</v>
      </c>
      <c r="O6" s="427">
        <v>35</v>
      </c>
      <c r="P6" s="427">
        <v>145</v>
      </c>
      <c r="Q6" s="427">
        <v>5</v>
      </c>
      <c r="R6" s="427">
        <v>145</v>
      </c>
    </row>
    <row r="7" spans="1:18">
      <c r="A7" s="45" t="s">
        <v>68</v>
      </c>
      <c r="B7" s="45" t="s">
        <v>69</v>
      </c>
      <c r="C7" s="46">
        <f t="shared" si="0"/>
        <v>50.364963503649641</v>
      </c>
      <c r="D7" s="46" t="str">
        <f t="shared" si="1"/>
        <v>42 - 59</v>
      </c>
      <c r="E7" s="46">
        <f t="shared" si="2"/>
        <v>92.700729927007302</v>
      </c>
      <c r="F7" s="46" t="str">
        <f t="shared" si="3"/>
        <v>87 - 96</v>
      </c>
      <c r="G7" s="46">
        <f t="shared" si="4"/>
        <v>97.810218978102199</v>
      </c>
      <c r="H7" s="46" t="str">
        <f t="shared" si="5"/>
        <v>94 - 99</v>
      </c>
      <c r="I7" s="626">
        <f t="shared" si="6"/>
        <v>42.335766423357661</v>
      </c>
      <c r="J7" s="625">
        <f t="shared" si="7"/>
        <v>5.1094890510948971</v>
      </c>
      <c r="K7" s="624">
        <v>60</v>
      </c>
      <c r="L7" s="623">
        <v>95</v>
      </c>
      <c r="M7" s="427">
        <v>69</v>
      </c>
      <c r="N7" s="427">
        <v>137</v>
      </c>
      <c r="O7" s="427">
        <v>58</v>
      </c>
      <c r="P7" s="427">
        <v>137</v>
      </c>
      <c r="Q7" s="427">
        <v>7</v>
      </c>
      <c r="R7" s="427">
        <v>137</v>
      </c>
    </row>
    <row r="8" spans="1:18">
      <c r="A8" s="45" t="s">
        <v>71</v>
      </c>
      <c r="B8" s="45" t="s">
        <v>72</v>
      </c>
      <c r="C8" s="46">
        <f t="shared" si="0"/>
        <v>69.565217391304344</v>
      </c>
      <c r="D8" s="46" t="str">
        <f t="shared" si="1"/>
        <v>49 - 84</v>
      </c>
      <c r="E8" s="46">
        <f t="shared" si="2"/>
        <v>95.652173913043484</v>
      </c>
      <c r="F8" s="46" t="str">
        <f t="shared" si="3"/>
        <v>79 - 99</v>
      </c>
      <c r="G8" s="46">
        <f t="shared" si="4"/>
        <v>100</v>
      </c>
      <c r="H8" s="46" t="str">
        <f t="shared" si="5"/>
        <v>86 - 100</v>
      </c>
      <c r="I8" s="626">
        <f t="shared" si="6"/>
        <v>26.08695652173914</v>
      </c>
      <c r="J8" s="625">
        <f t="shared" si="7"/>
        <v>4.3478260869565162</v>
      </c>
      <c r="K8" s="624">
        <v>60</v>
      </c>
      <c r="L8" s="623">
        <v>95</v>
      </c>
      <c r="M8" s="427">
        <v>16</v>
      </c>
      <c r="N8" s="427">
        <v>23</v>
      </c>
      <c r="O8" s="427">
        <v>6</v>
      </c>
      <c r="P8" s="427">
        <v>23</v>
      </c>
      <c r="Q8" s="427">
        <v>1</v>
      </c>
      <c r="R8" s="427">
        <v>23</v>
      </c>
    </row>
    <row r="9" spans="1:18">
      <c r="A9" s="45" t="s">
        <v>177</v>
      </c>
      <c r="B9" s="45" t="s">
        <v>74</v>
      </c>
      <c r="C9" s="46">
        <f t="shared" si="0"/>
        <v>57.83898305084746</v>
      </c>
      <c r="D9" s="46" t="str">
        <f t="shared" si="1"/>
        <v>53 - 62</v>
      </c>
      <c r="E9" s="46">
        <f t="shared" si="2"/>
        <v>89.618644067796609</v>
      </c>
      <c r="F9" s="46" t="str">
        <f t="shared" si="3"/>
        <v>87 - 92</v>
      </c>
      <c r="G9" s="46">
        <f t="shared" si="4"/>
        <v>93.220338983050837</v>
      </c>
      <c r="H9" s="46" t="str">
        <f t="shared" si="5"/>
        <v>91 - 95</v>
      </c>
      <c r="I9" s="626">
        <f t="shared" si="6"/>
        <v>31.779661016949149</v>
      </c>
      <c r="J9" s="625">
        <f t="shared" si="7"/>
        <v>3.6016949152542281</v>
      </c>
      <c r="K9" s="624">
        <v>60</v>
      </c>
      <c r="L9" s="623">
        <v>95</v>
      </c>
      <c r="M9" s="427">
        <v>273</v>
      </c>
      <c r="N9" s="427">
        <v>472</v>
      </c>
      <c r="O9" s="427">
        <v>150</v>
      </c>
      <c r="P9" s="427">
        <v>472</v>
      </c>
      <c r="Q9" s="427">
        <v>17</v>
      </c>
      <c r="R9" s="427">
        <v>472</v>
      </c>
    </row>
    <row r="10" spans="1:18">
      <c r="A10" s="45" t="s">
        <v>186</v>
      </c>
      <c r="B10" s="45" t="s">
        <v>76</v>
      </c>
      <c r="C10" s="46">
        <f t="shared" si="0"/>
        <v>47.745358090185675</v>
      </c>
      <c r="D10" s="46" t="str">
        <f t="shared" si="1"/>
        <v>43 - 53</v>
      </c>
      <c r="E10" s="46">
        <f t="shared" si="2"/>
        <v>93.633952254641912</v>
      </c>
      <c r="F10" s="46" t="str">
        <f t="shared" si="3"/>
        <v>91 - 96</v>
      </c>
      <c r="G10" s="46">
        <f t="shared" si="4"/>
        <v>97.08222811671088</v>
      </c>
      <c r="H10" s="46" t="str">
        <f t="shared" si="5"/>
        <v>95 - 98</v>
      </c>
      <c r="I10" s="626">
        <f t="shared" si="6"/>
        <v>45.888594164456237</v>
      </c>
      <c r="J10" s="625">
        <f t="shared" si="7"/>
        <v>3.448275862068968</v>
      </c>
      <c r="K10" s="624">
        <v>60</v>
      </c>
      <c r="L10" s="623">
        <v>95</v>
      </c>
      <c r="M10" s="427">
        <v>180</v>
      </c>
      <c r="N10" s="427">
        <v>377</v>
      </c>
      <c r="O10" s="427">
        <v>173</v>
      </c>
      <c r="P10" s="427">
        <v>377</v>
      </c>
      <c r="Q10" s="427">
        <v>13</v>
      </c>
      <c r="R10" s="427">
        <v>377</v>
      </c>
    </row>
    <row r="11" spans="1:18">
      <c r="A11" s="45" t="s">
        <v>178</v>
      </c>
      <c r="B11" s="45" t="s">
        <v>78</v>
      </c>
      <c r="C11" s="46">
        <f t="shared" si="0"/>
        <v>72.5</v>
      </c>
      <c r="D11" s="46" t="str">
        <f t="shared" si="1"/>
        <v>68 - 77</v>
      </c>
      <c r="E11" s="46">
        <f t="shared" si="2"/>
        <v>89.722222222222229</v>
      </c>
      <c r="F11" s="46" t="str">
        <f t="shared" si="3"/>
        <v>86 - 92</v>
      </c>
      <c r="G11" s="46">
        <f t="shared" si="4"/>
        <v>93.333333333333329</v>
      </c>
      <c r="H11" s="46" t="str">
        <f t="shared" si="5"/>
        <v>90 - 95</v>
      </c>
      <c r="I11" s="626">
        <f t="shared" si="6"/>
        <v>17.222222222222229</v>
      </c>
      <c r="J11" s="625">
        <f t="shared" si="7"/>
        <v>3.6111111111111001</v>
      </c>
      <c r="K11" s="624">
        <v>60</v>
      </c>
      <c r="L11" s="623">
        <v>95</v>
      </c>
      <c r="M11" s="427">
        <v>261</v>
      </c>
      <c r="N11" s="427">
        <v>360</v>
      </c>
      <c r="O11" s="427">
        <v>62</v>
      </c>
      <c r="P11" s="427">
        <v>360</v>
      </c>
      <c r="Q11" s="427">
        <v>13</v>
      </c>
      <c r="R11" s="427">
        <v>360</v>
      </c>
    </row>
    <row r="12" spans="1:18">
      <c r="A12" s="45" t="s">
        <v>80</v>
      </c>
      <c r="B12" s="45" t="s">
        <v>81</v>
      </c>
      <c r="C12" s="46">
        <f t="shared" si="0"/>
        <v>63.013698630136986</v>
      </c>
      <c r="D12" s="46" t="str">
        <f t="shared" si="1"/>
        <v>52 - 73</v>
      </c>
      <c r="E12" s="46">
        <f t="shared" si="2"/>
        <v>84.93150684931507</v>
      </c>
      <c r="F12" s="46" t="str">
        <f t="shared" si="3"/>
        <v>75 - 91</v>
      </c>
      <c r="G12" s="46">
        <f t="shared" si="4"/>
        <v>91.780821917808225</v>
      </c>
      <c r="H12" s="46" t="str">
        <f t="shared" si="5"/>
        <v>83 - 96</v>
      </c>
      <c r="I12" s="626">
        <f t="shared" si="6"/>
        <v>21.917808219178085</v>
      </c>
      <c r="J12" s="625">
        <f t="shared" si="7"/>
        <v>6.849315068493155</v>
      </c>
      <c r="K12" s="624">
        <v>60</v>
      </c>
      <c r="L12" s="623">
        <v>95</v>
      </c>
      <c r="M12" s="427">
        <v>46</v>
      </c>
      <c r="N12" s="427">
        <v>73</v>
      </c>
      <c r="O12" s="427">
        <v>16</v>
      </c>
      <c r="P12" s="427">
        <v>73</v>
      </c>
      <c r="Q12" s="427">
        <v>5</v>
      </c>
      <c r="R12" s="427">
        <v>73</v>
      </c>
    </row>
    <row r="13" spans="1:18">
      <c r="A13" s="45" t="s">
        <v>187</v>
      </c>
      <c r="B13" s="45" t="s">
        <v>83</v>
      </c>
      <c r="C13" s="46">
        <f t="shared" si="0"/>
        <v>54.089709762532976</v>
      </c>
      <c r="D13" s="46" t="str">
        <f t="shared" si="1"/>
        <v>49 - 59</v>
      </c>
      <c r="E13" s="46">
        <f t="shared" si="2"/>
        <v>84.696569920844325</v>
      </c>
      <c r="F13" s="46" t="str">
        <f t="shared" si="3"/>
        <v>81 - 88</v>
      </c>
      <c r="G13" s="46">
        <f t="shared" si="4"/>
        <v>92.084432717678098</v>
      </c>
      <c r="H13" s="46" t="str">
        <f t="shared" si="5"/>
        <v>89 - 94</v>
      </c>
      <c r="I13" s="626">
        <f t="shared" si="6"/>
        <v>30.606860158311349</v>
      </c>
      <c r="J13" s="625">
        <f t="shared" si="7"/>
        <v>7.3878627968337724</v>
      </c>
      <c r="K13" s="624">
        <v>60</v>
      </c>
      <c r="L13" s="623">
        <v>95</v>
      </c>
      <c r="M13" s="427">
        <v>205</v>
      </c>
      <c r="N13" s="427">
        <v>379</v>
      </c>
      <c r="O13" s="427">
        <v>116</v>
      </c>
      <c r="P13" s="427">
        <v>379</v>
      </c>
      <c r="Q13" s="427">
        <v>28</v>
      </c>
      <c r="R13" s="427">
        <v>379</v>
      </c>
    </row>
    <row r="14" spans="1:18">
      <c r="A14" s="45" t="s">
        <v>85</v>
      </c>
      <c r="B14" s="45" t="s">
        <v>86</v>
      </c>
      <c r="C14" s="46">
        <f t="shared" si="0"/>
        <v>34.065934065934066</v>
      </c>
      <c r="D14" s="46" t="str">
        <f t="shared" si="1"/>
        <v>28 - 41</v>
      </c>
      <c r="E14" s="46">
        <f t="shared" si="2"/>
        <v>85.164835164835168</v>
      </c>
      <c r="F14" s="46" t="str">
        <f t="shared" si="3"/>
        <v>79 - 90</v>
      </c>
      <c r="G14" s="46">
        <f t="shared" si="4"/>
        <v>92.857142857142861</v>
      </c>
      <c r="H14" s="46" t="str">
        <f t="shared" si="5"/>
        <v>88 - 96</v>
      </c>
      <c r="I14" s="626">
        <f t="shared" si="6"/>
        <v>51.098901098901102</v>
      </c>
      <c r="J14" s="625">
        <f t="shared" si="7"/>
        <v>7.6923076923076934</v>
      </c>
      <c r="K14" s="624">
        <v>60</v>
      </c>
      <c r="L14" s="623">
        <v>95</v>
      </c>
      <c r="M14" s="427">
        <v>62</v>
      </c>
      <c r="N14" s="427">
        <v>182</v>
      </c>
      <c r="O14" s="427">
        <v>93</v>
      </c>
      <c r="P14" s="427">
        <v>182</v>
      </c>
      <c r="Q14" s="427">
        <v>14</v>
      </c>
      <c r="R14" s="427">
        <v>182</v>
      </c>
    </row>
    <row r="15" spans="1:18">
      <c r="A15" s="45" t="s">
        <v>532</v>
      </c>
      <c r="B15" s="45" t="s">
        <v>533</v>
      </c>
      <c r="C15" s="46">
        <f t="shared" si="0"/>
        <v>55.962059620596207</v>
      </c>
      <c r="D15" s="46" t="str">
        <f t="shared" si="1"/>
        <v>52 - 60</v>
      </c>
      <c r="E15" s="46">
        <f t="shared" si="2"/>
        <v>86.449864498644985</v>
      </c>
      <c r="F15" s="46" t="str">
        <f t="shared" si="3"/>
        <v>84 - 89</v>
      </c>
      <c r="G15" s="46">
        <f t="shared" si="4"/>
        <v>90.650406504065046</v>
      </c>
      <c r="H15" s="46" t="str">
        <f t="shared" si="5"/>
        <v>88 - 93</v>
      </c>
      <c r="I15" s="626">
        <f t="shared" si="6"/>
        <v>30.487804878048777</v>
      </c>
      <c r="J15" s="625">
        <f t="shared" si="7"/>
        <v>4.2005420054200613</v>
      </c>
      <c r="K15" s="624">
        <v>60</v>
      </c>
      <c r="L15" s="623">
        <v>95</v>
      </c>
      <c r="M15" s="427">
        <v>413</v>
      </c>
      <c r="N15" s="427">
        <v>738</v>
      </c>
      <c r="O15" s="427">
        <v>225</v>
      </c>
      <c r="P15" s="427">
        <v>738</v>
      </c>
      <c r="Q15" s="427">
        <v>31</v>
      </c>
      <c r="R15" s="427">
        <v>738</v>
      </c>
    </row>
    <row r="16" spans="1:18">
      <c r="A16" s="45" t="s">
        <v>188</v>
      </c>
      <c r="B16" s="45" t="s">
        <v>88</v>
      </c>
      <c r="C16" s="46">
        <f t="shared" si="0"/>
        <v>33.904109589041099</v>
      </c>
      <c r="D16" s="46" t="str">
        <f t="shared" si="1"/>
        <v>29 - 40</v>
      </c>
      <c r="E16" s="46">
        <f t="shared" si="2"/>
        <v>75.342465753424662</v>
      </c>
      <c r="F16" s="46" t="str">
        <f t="shared" si="3"/>
        <v>70 - 80</v>
      </c>
      <c r="G16" s="46">
        <f t="shared" si="4"/>
        <v>85.958904109589042</v>
      </c>
      <c r="H16" s="46" t="str">
        <f t="shared" si="5"/>
        <v>82 - 89</v>
      </c>
      <c r="I16" s="626">
        <f t="shared" si="6"/>
        <v>41.438356164383563</v>
      </c>
      <c r="J16" s="625">
        <f t="shared" si="7"/>
        <v>10.61643835616438</v>
      </c>
      <c r="K16" s="624">
        <v>60</v>
      </c>
      <c r="L16" s="623">
        <v>95</v>
      </c>
      <c r="M16" s="427">
        <v>99</v>
      </c>
      <c r="N16" s="427">
        <v>292</v>
      </c>
      <c r="O16" s="427">
        <v>121</v>
      </c>
      <c r="P16" s="427">
        <v>292</v>
      </c>
      <c r="Q16" s="427">
        <v>31</v>
      </c>
      <c r="R16" s="427">
        <v>292</v>
      </c>
    </row>
    <row r="17" spans="1:18">
      <c r="A17" s="45" t="s">
        <v>92</v>
      </c>
      <c r="B17" s="45" t="s">
        <v>93</v>
      </c>
      <c r="C17" s="46">
        <f t="shared" si="0"/>
        <v>60</v>
      </c>
      <c r="D17" s="46" t="str">
        <f t="shared" si="1"/>
        <v>36 - 80</v>
      </c>
      <c r="E17" s="46">
        <f t="shared" si="2"/>
        <v>86.666666666666671</v>
      </c>
      <c r="F17" s="46" t="str">
        <f t="shared" si="3"/>
        <v>62 - 96</v>
      </c>
      <c r="G17" s="46">
        <f t="shared" si="4"/>
        <v>86.666666666666671</v>
      </c>
      <c r="H17" s="46" t="str">
        <f t="shared" si="5"/>
        <v>62 - 96</v>
      </c>
      <c r="I17" s="626">
        <f t="shared" si="6"/>
        <v>26.666666666666671</v>
      </c>
      <c r="J17" s="625">
        <f t="shared" si="7"/>
        <v>0</v>
      </c>
      <c r="K17" s="624">
        <v>60</v>
      </c>
      <c r="L17" s="623">
        <v>95</v>
      </c>
      <c r="M17" s="427">
        <v>9</v>
      </c>
      <c r="N17" s="427">
        <v>15</v>
      </c>
      <c r="O17" s="427">
        <v>4</v>
      </c>
      <c r="P17" s="427">
        <v>15</v>
      </c>
      <c r="Q17" s="427">
        <v>0</v>
      </c>
      <c r="R17" s="427">
        <v>15</v>
      </c>
    </row>
    <row r="18" spans="1:18">
      <c r="A18" s="45" t="s">
        <v>95</v>
      </c>
      <c r="B18" s="45" t="s">
        <v>96</v>
      </c>
      <c r="C18" s="46">
        <f t="shared" si="0"/>
        <v>61.224489795918366</v>
      </c>
      <c r="D18" s="46" t="str">
        <f t="shared" si="1"/>
        <v>47 - 74</v>
      </c>
      <c r="E18" s="46">
        <f t="shared" si="2"/>
        <v>89.795918367346943</v>
      </c>
      <c r="F18" s="46" t="str">
        <f t="shared" si="3"/>
        <v>78 - 96</v>
      </c>
      <c r="G18" s="46">
        <f t="shared" si="4"/>
        <v>91.83673469387756</v>
      </c>
      <c r="H18" s="46" t="str">
        <f t="shared" si="5"/>
        <v>81 - 97</v>
      </c>
      <c r="I18" s="626">
        <f t="shared" si="6"/>
        <v>28.571428571428577</v>
      </c>
      <c r="J18" s="625">
        <f t="shared" si="7"/>
        <v>2.0408163265306172</v>
      </c>
      <c r="K18" s="624">
        <v>60</v>
      </c>
      <c r="L18" s="623">
        <v>95</v>
      </c>
      <c r="M18" s="427">
        <v>30</v>
      </c>
      <c r="N18" s="427">
        <v>49</v>
      </c>
      <c r="O18" s="427">
        <v>14</v>
      </c>
      <c r="P18" s="427">
        <v>49</v>
      </c>
      <c r="Q18" s="427">
        <v>1</v>
      </c>
      <c r="R18" s="427">
        <v>49</v>
      </c>
    </row>
    <row r="19" spans="1:18">
      <c r="A19" s="45" t="s">
        <v>98</v>
      </c>
      <c r="B19" s="45" t="s">
        <v>99</v>
      </c>
      <c r="C19" s="46">
        <f t="shared" si="0"/>
        <v>48</v>
      </c>
      <c r="D19" s="46" t="str">
        <f t="shared" si="1"/>
        <v>30 - 67</v>
      </c>
      <c r="E19" s="46">
        <f t="shared" si="2"/>
        <v>92</v>
      </c>
      <c r="F19" s="46" t="str">
        <f t="shared" si="3"/>
        <v>75 - 98</v>
      </c>
      <c r="G19" s="46">
        <f t="shared" si="4"/>
        <v>96</v>
      </c>
      <c r="H19" s="46" t="str">
        <f t="shared" si="5"/>
        <v>80 - 99</v>
      </c>
      <c r="I19" s="626">
        <f t="shared" si="6"/>
        <v>44</v>
      </c>
      <c r="J19" s="625">
        <f t="shared" si="7"/>
        <v>4</v>
      </c>
      <c r="K19" s="624">
        <v>60</v>
      </c>
      <c r="L19" s="623">
        <v>95</v>
      </c>
      <c r="M19" s="427">
        <v>12</v>
      </c>
      <c r="N19" s="427">
        <v>25</v>
      </c>
      <c r="O19" s="427">
        <v>11</v>
      </c>
      <c r="P19" s="427">
        <v>25</v>
      </c>
      <c r="Q19" s="427">
        <v>1</v>
      </c>
      <c r="R19" s="427">
        <v>25</v>
      </c>
    </row>
    <row r="20" spans="1:18">
      <c r="A20" s="45" t="s">
        <v>101</v>
      </c>
      <c r="B20" s="45" t="s">
        <v>102</v>
      </c>
      <c r="C20" s="46">
        <f t="shared" si="0"/>
        <v>49.75124378109453</v>
      </c>
      <c r="D20" s="46" t="str">
        <f t="shared" si="1"/>
        <v>43 - 57</v>
      </c>
      <c r="E20" s="46">
        <f t="shared" si="2"/>
        <v>85.572139303482587</v>
      </c>
      <c r="F20" s="46" t="str">
        <f t="shared" si="3"/>
        <v>80 - 90</v>
      </c>
      <c r="G20" s="46">
        <f t="shared" si="4"/>
        <v>92.039800995024876</v>
      </c>
      <c r="H20" s="46" t="str">
        <f t="shared" si="5"/>
        <v>87 - 95</v>
      </c>
      <c r="I20" s="626">
        <f t="shared" si="6"/>
        <v>35.820895522388057</v>
      </c>
      <c r="J20" s="625">
        <f t="shared" si="7"/>
        <v>6.4676616915422898</v>
      </c>
      <c r="K20" s="624">
        <v>60</v>
      </c>
      <c r="L20" s="623">
        <v>95</v>
      </c>
      <c r="M20" s="427">
        <v>100</v>
      </c>
      <c r="N20" s="427">
        <v>201</v>
      </c>
      <c r="O20" s="427">
        <v>72</v>
      </c>
      <c r="P20" s="427">
        <v>201</v>
      </c>
      <c r="Q20" s="427">
        <v>13</v>
      </c>
      <c r="R20" s="427">
        <v>201</v>
      </c>
    </row>
    <row r="21" spans="1:18">
      <c r="A21" s="45" t="s">
        <v>104</v>
      </c>
      <c r="B21" s="45" t="s">
        <v>105</v>
      </c>
      <c r="C21" s="46">
        <f t="shared" si="0"/>
        <v>58.411214953271028</v>
      </c>
      <c r="D21" s="46" t="str">
        <f t="shared" si="1"/>
        <v>52 - 65</v>
      </c>
      <c r="E21" s="46">
        <f t="shared" si="2"/>
        <v>93.45794392523365</v>
      </c>
      <c r="F21" s="46" t="str">
        <f t="shared" si="3"/>
        <v>89 - 96</v>
      </c>
      <c r="G21" s="46">
        <f t="shared" si="4"/>
        <v>97.663551401869171</v>
      </c>
      <c r="H21" s="46" t="str">
        <f t="shared" si="5"/>
        <v>95 - 99</v>
      </c>
      <c r="I21" s="626">
        <f t="shared" si="6"/>
        <v>35.046728971962622</v>
      </c>
      <c r="J21" s="625">
        <f t="shared" si="7"/>
        <v>4.2056074766355209</v>
      </c>
      <c r="K21" s="624">
        <v>60</v>
      </c>
      <c r="L21" s="623">
        <v>95</v>
      </c>
      <c r="M21" s="427">
        <v>125</v>
      </c>
      <c r="N21" s="427">
        <v>214</v>
      </c>
      <c r="O21" s="427">
        <v>75</v>
      </c>
      <c r="P21" s="427">
        <v>214</v>
      </c>
      <c r="Q21" s="427">
        <v>9</v>
      </c>
      <c r="R21" s="427">
        <v>214</v>
      </c>
    </row>
    <row r="22" spans="1:18">
      <c r="A22" s="45" t="s">
        <v>107</v>
      </c>
      <c r="B22" s="45" t="s">
        <v>108</v>
      </c>
      <c r="C22" s="46">
        <f t="shared" si="0"/>
        <v>32.489451476793249</v>
      </c>
      <c r="D22" s="46" t="str">
        <f t="shared" si="1"/>
        <v>27 - 39</v>
      </c>
      <c r="E22" s="46">
        <f t="shared" si="2"/>
        <v>90.295358649789023</v>
      </c>
      <c r="F22" s="46" t="str">
        <f t="shared" si="3"/>
        <v>86 - 93</v>
      </c>
      <c r="G22" s="46">
        <f t="shared" si="4"/>
        <v>96.624472573839654</v>
      </c>
      <c r="H22" s="46" t="str">
        <f t="shared" si="5"/>
        <v>93 - 98</v>
      </c>
      <c r="I22" s="626">
        <f t="shared" si="6"/>
        <v>57.805907172995774</v>
      </c>
      <c r="J22" s="625">
        <f t="shared" si="7"/>
        <v>6.3291139240506311</v>
      </c>
      <c r="K22" s="624">
        <v>60</v>
      </c>
      <c r="L22" s="623">
        <v>95</v>
      </c>
      <c r="M22" s="427">
        <v>77</v>
      </c>
      <c r="N22" s="427">
        <v>237</v>
      </c>
      <c r="O22" s="427">
        <v>137</v>
      </c>
      <c r="P22" s="427">
        <v>237</v>
      </c>
      <c r="Q22" s="427">
        <v>15</v>
      </c>
      <c r="R22" s="427">
        <v>237</v>
      </c>
    </row>
    <row r="23" spans="1:18">
      <c r="A23" s="45" t="s">
        <v>110</v>
      </c>
      <c r="B23" s="45" t="s">
        <v>109</v>
      </c>
      <c r="C23" s="46">
        <f t="shared" si="0"/>
        <v>57.089552238805972</v>
      </c>
      <c r="D23" s="46" t="str">
        <f t="shared" si="1"/>
        <v>51 - 63</v>
      </c>
      <c r="E23" s="46">
        <f t="shared" si="2"/>
        <v>97.388059701492537</v>
      </c>
      <c r="F23" s="46" t="str">
        <f t="shared" si="3"/>
        <v>95 - 99</v>
      </c>
      <c r="G23" s="46">
        <f t="shared" si="4"/>
        <v>100</v>
      </c>
      <c r="H23" s="46" t="str">
        <f t="shared" si="5"/>
        <v>99 - 100</v>
      </c>
      <c r="I23" s="626">
        <f t="shared" si="6"/>
        <v>40.298507462686565</v>
      </c>
      <c r="J23" s="625">
        <f t="shared" si="7"/>
        <v>2.6119402985074629</v>
      </c>
      <c r="K23" s="624">
        <v>60</v>
      </c>
      <c r="L23" s="623">
        <v>95</v>
      </c>
      <c r="M23" s="427">
        <v>153</v>
      </c>
      <c r="N23" s="427">
        <v>268</v>
      </c>
      <c r="O23" s="427">
        <v>108</v>
      </c>
      <c r="P23" s="427">
        <v>268</v>
      </c>
      <c r="Q23" s="427">
        <v>7</v>
      </c>
      <c r="R23" s="427">
        <v>268</v>
      </c>
    </row>
    <row r="24" spans="1:18">
      <c r="A24" s="45" t="s">
        <v>112</v>
      </c>
      <c r="B24" s="45" t="s">
        <v>113</v>
      </c>
      <c r="C24" s="46">
        <f t="shared" si="0"/>
        <v>60.447761194029844</v>
      </c>
      <c r="D24" s="46" t="str">
        <f t="shared" si="1"/>
        <v>56 - 64</v>
      </c>
      <c r="E24" s="46">
        <f t="shared" si="2"/>
        <v>87.126865671641795</v>
      </c>
      <c r="F24" s="46" t="str">
        <f t="shared" si="3"/>
        <v>84 - 90</v>
      </c>
      <c r="G24" s="46">
        <f t="shared" si="4"/>
        <v>91.604477611940297</v>
      </c>
      <c r="H24" s="46" t="str">
        <f t="shared" si="5"/>
        <v>89 - 94</v>
      </c>
      <c r="I24" s="626">
        <f t="shared" si="6"/>
        <v>26.679104477611951</v>
      </c>
      <c r="J24" s="625">
        <f t="shared" si="7"/>
        <v>4.4776119402985017</v>
      </c>
      <c r="K24" s="624">
        <v>60</v>
      </c>
      <c r="L24" s="623">
        <v>95</v>
      </c>
      <c r="M24" s="427">
        <v>324</v>
      </c>
      <c r="N24" s="427">
        <v>536</v>
      </c>
      <c r="O24" s="427">
        <v>143</v>
      </c>
      <c r="P24" s="427">
        <v>536</v>
      </c>
      <c r="Q24" s="427">
        <v>24</v>
      </c>
      <c r="R24" s="427">
        <v>536</v>
      </c>
    </row>
    <row r="25" spans="1:18">
      <c r="A25" s="45" t="s">
        <v>115</v>
      </c>
      <c r="B25" s="45" t="s">
        <v>116</v>
      </c>
      <c r="C25" s="46">
        <f t="shared" si="0"/>
        <v>67.361111111111114</v>
      </c>
      <c r="D25" s="46" t="str">
        <f t="shared" si="1"/>
        <v>59 - 74</v>
      </c>
      <c r="E25" s="46">
        <f t="shared" si="2"/>
        <v>93.055555555555557</v>
      </c>
      <c r="F25" s="46" t="str">
        <f t="shared" si="3"/>
        <v>88 - 96</v>
      </c>
      <c r="G25" s="46">
        <f t="shared" si="4"/>
        <v>97.222222222222214</v>
      </c>
      <c r="H25" s="46" t="str">
        <f t="shared" si="5"/>
        <v>93 - 99</v>
      </c>
      <c r="I25" s="626">
        <f t="shared" si="6"/>
        <v>25.694444444444443</v>
      </c>
      <c r="J25" s="625">
        <f t="shared" si="7"/>
        <v>4.1666666666666572</v>
      </c>
      <c r="K25" s="624">
        <v>60</v>
      </c>
      <c r="L25" s="623">
        <v>95</v>
      </c>
      <c r="M25" s="427">
        <v>97</v>
      </c>
      <c r="N25" s="427">
        <v>144</v>
      </c>
      <c r="O25" s="427">
        <v>37</v>
      </c>
      <c r="P25" s="427">
        <v>144</v>
      </c>
      <c r="Q25" s="427">
        <v>6</v>
      </c>
      <c r="R25" s="427">
        <v>144</v>
      </c>
    </row>
    <row r="26" spans="1:18">
      <c r="A26" s="45" t="s">
        <v>118</v>
      </c>
      <c r="B26" s="45" t="s">
        <v>119</v>
      </c>
      <c r="C26" s="46">
        <f t="shared" si="0"/>
        <v>43.601895734597157</v>
      </c>
      <c r="D26" s="46" t="str">
        <f t="shared" si="1"/>
        <v>37 - 50</v>
      </c>
      <c r="E26" s="46">
        <f t="shared" si="2"/>
        <v>80.568720379146924</v>
      </c>
      <c r="F26" s="46" t="str">
        <f t="shared" si="3"/>
        <v>75 - 85</v>
      </c>
      <c r="G26" s="46">
        <f t="shared" si="4"/>
        <v>87.677725118483409</v>
      </c>
      <c r="H26" s="46" t="str">
        <f t="shared" si="5"/>
        <v>83 - 91</v>
      </c>
      <c r="I26" s="626">
        <f t="shared" si="6"/>
        <v>36.966824644549767</v>
      </c>
      <c r="J26" s="625">
        <f t="shared" si="7"/>
        <v>7.1090047393364841</v>
      </c>
      <c r="K26" s="624">
        <v>60</v>
      </c>
      <c r="L26" s="623">
        <v>95</v>
      </c>
      <c r="M26" s="427">
        <v>92</v>
      </c>
      <c r="N26" s="427">
        <v>211</v>
      </c>
      <c r="O26" s="427">
        <v>78</v>
      </c>
      <c r="P26" s="427">
        <v>211</v>
      </c>
      <c r="Q26" s="427">
        <v>15</v>
      </c>
      <c r="R26" s="427">
        <v>211</v>
      </c>
    </row>
    <row r="27" spans="1:18">
      <c r="A27" s="45" t="s">
        <v>121</v>
      </c>
      <c r="B27" s="45" t="s">
        <v>122</v>
      </c>
      <c r="C27" s="46">
        <f t="shared" si="0"/>
        <v>63.636363636363633</v>
      </c>
      <c r="D27" s="46" t="str">
        <f t="shared" si="1"/>
        <v>43 - 80</v>
      </c>
      <c r="E27" s="46">
        <f t="shared" si="2"/>
        <v>81.818181818181827</v>
      </c>
      <c r="F27" s="46" t="str">
        <f t="shared" si="3"/>
        <v>61 - 93</v>
      </c>
      <c r="G27" s="46">
        <f t="shared" si="4"/>
        <v>86.36363636363636</v>
      </c>
      <c r="H27" s="46" t="str">
        <f t="shared" si="5"/>
        <v>67 - 95</v>
      </c>
      <c r="I27" s="626">
        <f t="shared" si="6"/>
        <v>18.181818181818194</v>
      </c>
      <c r="J27" s="625">
        <f t="shared" si="7"/>
        <v>4.5454545454545325</v>
      </c>
      <c r="K27" s="624">
        <v>60</v>
      </c>
      <c r="L27" s="623">
        <v>95</v>
      </c>
      <c r="M27" s="427">
        <v>14</v>
      </c>
      <c r="N27" s="427">
        <v>22</v>
      </c>
      <c r="O27" s="427">
        <v>4</v>
      </c>
      <c r="P27" s="427">
        <v>22</v>
      </c>
      <c r="Q27" s="427">
        <v>1</v>
      </c>
      <c r="R27" s="427">
        <v>22</v>
      </c>
    </row>
    <row r="28" spans="1:18">
      <c r="A28" s="45" t="s">
        <v>124</v>
      </c>
      <c r="B28" s="45" t="s">
        <v>125</v>
      </c>
      <c r="C28" s="46">
        <f t="shared" si="0"/>
        <v>58.333333333333336</v>
      </c>
      <c r="D28" s="46" t="str">
        <f t="shared" si="1"/>
        <v>39 - 76</v>
      </c>
      <c r="E28" s="46">
        <f t="shared" si="2"/>
        <v>87.5</v>
      </c>
      <c r="F28" s="46" t="str">
        <f t="shared" si="3"/>
        <v>69 - 96</v>
      </c>
      <c r="G28" s="46">
        <f t="shared" si="4"/>
        <v>100</v>
      </c>
      <c r="H28" s="46" t="str">
        <f t="shared" si="5"/>
        <v>86 - 100</v>
      </c>
      <c r="I28" s="626">
        <f t="shared" si="6"/>
        <v>29.166666666666664</v>
      </c>
      <c r="J28" s="625">
        <f t="shared" si="7"/>
        <v>12.5</v>
      </c>
      <c r="K28" s="624">
        <v>60</v>
      </c>
      <c r="L28" s="623">
        <v>95</v>
      </c>
      <c r="M28" s="427">
        <v>14</v>
      </c>
      <c r="N28" s="427">
        <v>24</v>
      </c>
      <c r="O28" s="427">
        <v>7</v>
      </c>
      <c r="P28" s="427">
        <v>24</v>
      </c>
      <c r="Q28" s="427">
        <v>3</v>
      </c>
      <c r="R28" s="427">
        <v>24</v>
      </c>
    </row>
    <row r="29" spans="1:18">
      <c r="A29" s="45" t="s">
        <v>127</v>
      </c>
      <c r="B29" s="45" t="s">
        <v>128</v>
      </c>
      <c r="C29" s="46">
        <f t="shared" si="0"/>
        <v>55.506607929515418</v>
      </c>
      <c r="D29" s="46" t="str">
        <f t="shared" si="1"/>
        <v>49 - 62</v>
      </c>
      <c r="E29" s="46">
        <f t="shared" si="2"/>
        <v>90.308370044052865</v>
      </c>
      <c r="F29" s="46" t="str">
        <f t="shared" si="3"/>
        <v>86 - 94</v>
      </c>
      <c r="G29" s="46">
        <f t="shared" si="4"/>
        <v>95.594713656387668</v>
      </c>
      <c r="H29" s="46" t="str">
        <f t="shared" si="5"/>
        <v>92 - 98</v>
      </c>
      <c r="I29" s="626">
        <f t="shared" si="6"/>
        <v>34.801762114537446</v>
      </c>
      <c r="J29" s="625">
        <f t="shared" si="7"/>
        <v>5.2863436123348038</v>
      </c>
      <c r="K29" s="624">
        <v>60</v>
      </c>
      <c r="L29" s="623">
        <v>95</v>
      </c>
      <c r="M29" s="427">
        <v>126</v>
      </c>
      <c r="N29" s="427">
        <v>227</v>
      </c>
      <c r="O29" s="427">
        <v>79</v>
      </c>
      <c r="P29" s="427">
        <v>227</v>
      </c>
      <c r="Q29" s="427">
        <v>12</v>
      </c>
      <c r="R29" s="427">
        <v>227</v>
      </c>
    </row>
    <row r="30" spans="1:18">
      <c r="A30" s="45" t="s">
        <v>130</v>
      </c>
      <c r="B30" s="45" t="s">
        <v>131</v>
      </c>
      <c r="C30" s="46">
        <f t="shared" si="0"/>
        <v>70.454545454545453</v>
      </c>
      <c r="D30" s="46" t="str">
        <f t="shared" si="1"/>
        <v>62 - 78</v>
      </c>
      <c r="E30" s="46">
        <f t="shared" si="2"/>
        <v>94.696969696969703</v>
      </c>
      <c r="F30" s="46" t="str">
        <f t="shared" si="3"/>
        <v>89 - 97</v>
      </c>
      <c r="G30" s="46">
        <f t="shared" si="4"/>
        <v>97.727272727272734</v>
      </c>
      <c r="H30" s="46" t="str">
        <f t="shared" si="5"/>
        <v>94 - 99</v>
      </c>
      <c r="I30" s="626">
        <f t="shared" si="6"/>
        <v>24.242424242424249</v>
      </c>
      <c r="J30" s="625">
        <f t="shared" si="7"/>
        <v>3.0303030303030312</v>
      </c>
      <c r="K30" s="624">
        <v>60</v>
      </c>
      <c r="L30" s="623">
        <v>95</v>
      </c>
      <c r="M30" s="427">
        <v>93</v>
      </c>
      <c r="N30" s="427">
        <v>132</v>
      </c>
      <c r="O30" s="427">
        <v>32</v>
      </c>
      <c r="P30" s="427">
        <v>132</v>
      </c>
      <c r="Q30" s="427">
        <v>4</v>
      </c>
      <c r="R30" s="427">
        <v>132</v>
      </c>
    </row>
    <row r="31" spans="1:18">
      <c r="A31" s="45" t="s">
        <v>39</v>
      </c>
      <c r="B31" s="45" t="s">
        <v>136</v>
      </c>
      <c r="C31" s="46">
        <f t="shared" si="0"/>
        <v>77.777777777777786</v>
      </c>
      <c r="D31" s="46" t="str">
        <f t="shared" si="1"/>
        <v>45 - 94</v>
      </c>
      <c r="E31" s="46">
        <f t="shared" si="2"/>
        <v>88.888888888888886</v>
      </c>
      <c r="F31" s="46" t="str">
        <f t="shared" si="3"/>
        <v>56 - 98</v>
      </c>
      <c r="G31" s="46">
        <f t="shared" si="4"/>
        <v>100</v>
      </c>
      <c r="H31" s="46" t="str">
        <f t="shared" si="5"/>
        <v>70 - 100</v>
      </c>
      <c r="I31" s="622">
        <f t="shared" si="6"/>
        <v>11.1111111111111</v>
      </c>
      <c r="J31" s="621">
        <f t="shared" si="7"/>
        <v>11.111111111111114</v>
      </c>
      <c r="K31" s="620">
        <v>60</v>
      </c>
      <c r="L31" s="619">
        <v>95</v>
      </c>
      <c r="M31" s="427">
        <v>7</v>
      </c>
      <c r="N31" s="427">
        <v>9</v>
      </c>
      <c r="O31" s="427">
        <v>1</v>
      </c>
      <c r="P31" s="427">
        <v>9</v>
      </c>
      <c r="Q31" s="427">
        <v>1</v>
      </c>
      <c r="R31" s="427">
        <v>9</v>
      </c>
    </row>
    <row r="32" spans="1:18">
      <c r="A32" s="51"/>
      <c r="B32" s="51"/>
      <c r="C32" s="68"/>
      <c r="D32" s="68"/>
      <c r="E32" s="68"/>
      <c r="F32" s="68"/>
      <c r="G32" s="68"/>
      <c r="H32" s="68"/>
      <c r="I32" s="69"/>
      <c r="J32" s="69"/>
      <c r="K32" s="70"/>
      <c r="L32" s="70"/>
      <c r="M32" s="71"/>
      <c r="N32" s="71"/>
      <c r="O32" s="71"/>
      <c r="P32" s="71"/>
      <c r="Q32" s="71"/>
      <c r="R32" s="71"/>
    </row>
    <row r="33" spans="1:18">
      <c r="A33" s="51"/>
      <c r="C33" s="34"/>
      <c r="D33" s="34"/>
      <c r="E33" s="34"/>
      <c r="F33" s="34"/>
      <c r="G33" s="34"/>
      <c r="H33" s="34"/>
      <c r="I33" s="34"/>
      <c r="J33" s="34"/>
    </row>
    <row r="34" spans="1:18" ht="30" customHeight="1">
      <c r="A34" s="839" t="s">
        <v>138</v>
      </c>
      <c r="B34" s="840"/>
      <c r="C34" s="841" t="str">
        <f>C2&amp;" (%)"</f>
        <v>Same Day (%)</v>
      </c>
      <c r="D34" s="842"/>
      <c r="E34" s="841" t="str">
        <f>E2&amp;" (%)"</f>
        <v>Within 1 Day (%)</v>
      </c>
      <c r="F34" s="842"/>
      <c r="G34" s="841" t="str">
        <f>G2&amp;" (%)"</f>
        <v>Within 2 Days (%)</v>
      </c>
      <c r="H34" s="843"/>
      <c r="I34" s="844"/>
      <c r="J34" s="845"/>
      <c r="K34" s="845"/>
      <c r="L34" s="846"/>
      <c r="M34" s="850" t="s">
        <v>51</v>
      </c>
      <c r="N34" s="851"/>
      <c r="O34" s="851" t="s">
        <v>52</v>
      </c>
      <c r="P34" s="851"/>
      <c r="Q34" s="851" t="s">
        <v>139</v>
      </c>
      <c r="R34" s="852"/>
    </row>
    <row r="35" spans="1:18" ht="35.1" customHeight="1">
      <c r="A35" s="52"/>
      <c r="B35" s="53" t="s">
        <v>140</v>
      </c>
      <c r="C35" s="54" t="s">
        <v>141</v>
      </c>
      <c r="D35" s="55" t="s">
        <v>55</v>
      </c>
      <c r="E35" s="54" t="s">
        <v>141</v>
      </c>
      <c r="F35" s="55" t="s">
        <v>55</v>
      </c>
      <c r="G35" s="54" t="s">
        <v>141</v>
      </c>
      <c r="H35" s="56" t="s">
        <v>55</v>
      </c>
      <c r="I35" s="847"/>
      <c r="J35" s="848"/>
      <c r="K35" s="848"/>
      <c r="L35" s="849"/>
      <c r="M35" s="57" t="s">
        <v>28</v>
      </c>
      <c r="N35" s="58" t="s">
        <v>29</v>
      </c>
      <c r="O35" s="58" t="s">
        <v>28</v>
      </c>
      <c r="P35" s="58" t="s">
        <v>29</v>
      </c>
      <c r="Q35" s="58" t="s">
        <v>28</v>
      </c>
      <c r="R35" s="59" t="s">
        <v>29</v>
      </c>
    </row>
    <row r="36" spans="1:18">
      <c r="A36" s="858"/>
      <c r="B36" s="60" t="s">
        <v>35</v>
      </c>
      <c r="C36" s="46">
        <f t="shared" ref="C36:C49" si="9">M36/N36*100</f>
        <v>32.017543859649123</v>
      </c>
      <c r="D36" s="46" t="str">
        <f t="shared" ref="D36:D49" si="10">IF(AND(N36&gt;0,ROUND(SUM(100*((2*M36+1.96^2)-(1.96*(SQRT(1.96^2+4*M36*(1-(M36/N36))))))/(2*(N36+1.96^2))),0)&lt;0),CONCATENATE(SUM(1*0)," - ",ROUND(SUM(100*((2*M36+1.96^2)+(1.96*(SQRT(1.96^2+4*M36*(1-(M36/N36))))))/(2*(N36+1.96^2))),0)),IF(AND(N36&gt;0,ROUND(SUM(100*((2*M36+1.96^2)-(1.96*(SQRT(1.96^2+4*M36*(1-(M36/N36))))))/(2*(N36+1.96^2))),0)&gt;=0),CONCATENATE(ROUND(SUM(100*((2*M36+1.96^2)-(1.96*(SQRT(1.96^2+4*M36*(1-(M36/N36))))))/(2*(N36+1.96^2))),0)," - ",ROUND(SUM(100*((2*M36+1.96^2)+(1.96*(SQRT(1.96^2+4*M36*(1-(M36/N36))))))/(2*(N36+1.96^2))),0)),""))</f>
        <v>28 - 36</v>
      </c>
      <c r="E36" s="46">
        <f t="shared" ref="E36:E49" si="11">(M36+O36)/P36*100</f>
        <v>81.359649122807014</v>
      </c>
      <c r="F36" s="46" t="str">
        <f t="shared" ref="F36:F49" si="12">IF(AND(P36&gt;0,ROUND(SUM(100*((2*(M36+O36)+1.96^2)-(1.96*(SQRT(1.96^2+4*(M36+O36)*(1-((M36+O36)/P36))))))/(2*(P36+1.96^2))),0)&lt;0),CONCATENATE(SUM(1*0)," - ",ROUND(SUM(100*((2*(M36+O36)+1.96^2)+(1.96*(SQRT(1.96^2+4*(M36+O36)*(1-((M36+O36)/P36))))))/(2*(P36+1.96^2))),0)),IF(AND(P36&gt;0,ROUND(SUM(100*((2*(M36+O36)+1.96^2)-(1.96*(SQRT(1.96^2+4*(M36+O36)*(1-((M36+O36)/P36))))))/(2*(P36+1.96^2))),0)&gt;=0),CONCATENATE(ROUND(SUM(100*((2*(M36+O36)+1.96^2)-(1.96*(SQRT(1.96^2+4*(M36+O36)*(1-((M36+O36)/P36))))))/(2*(P36+1.96^2))),0)," - ",ROUND(SUM(100*((2*(M36+O36)+1.96^2)+(1.96*(SQRT(1.96^2+4*(M36+O36)*(1-((M36+O36)/P36))))))/(2*(P36+1.96^2))),0)),""))</f>
        <v>78 - 85</v>
      </c>
      <c r="G36" s="46">
        <f t="shared" ref="G36:G49" si="13">(M36+O36+Q36)/R36*100</f>
        <v>88.596491228070178</v>
      </c>
      <c r="H36" s="46" t="str">
        <f t="shared" ref="H36:H49" si="14">IF(AND(R36&gt;0,ROUND(SUM(100*((2*(M36+O36+Q36)+1.96^2)-(1.96*(SQRT(1.96^2+4*(M36+O36+Q36)*(1-((M36+O36+Q36)/R36))))))/(2*(R36+1.96^2))),0)&lt;0),CONCATENATE(SUM(1*0)," - ",ROUND(SUM(100*((2*(M36+O36+Q36)+1.96^2)+(1.96*(SQRT(1.96^2+4*(M36+O36+Q36)*(1-((M36+O36+Q36)/R36))))))/(2*(R36+1.96^2))),0)),IF(AND(R36&gt;0,ROUND(SUM(100*((2*(M36+O36+Q36)+1.96^2)-(1.96*(SQRT(1.96^2+4*(M36+O36+Q36)*(1-((M36+O36+Q36)/R36))))))/(2*(R36+1.96^2))),0)&gt;=0),CONCATENATE(ROUND(SUM(100*((2*(M36+O36+Q36)+1.96^2)-(1.96*(SQRT(1.96^2+4*(M36+O36+Q36)*(1-((M36+O36+Q36)/R36))))))/(2*(R36+1.96^2))),0)," - ",ROUND(SUM(100*((2*(M36+O36+Q36)+1.96^2)+(1.96*(SQRT(1.96^2+4*(M36+O36+Q36)*(1-((M36+O36+Q36)/R36))))))/(2*(R36+1.96^2))),0)),""))</f>
        <v>85 - 91</v>
      </c>
      <c r="I36" s="861"/>
      <c r="J36" s="862"/>
      <c r="K36" s="862"/>
      <c r="L36" s="863"/>
      <c r="M36" s="428">
        <v>146</v>
      </c>
      <c r="N36" s="428">
        <v>456</v>
      </c>
      <c r="O36" s="590">
        <v>225</v>
      </c>
      <c r="P36" s="590">
        <v>456</v>
      </c>
      <c r="Q36" s="429">
        <v>33</v>
      </c>
      <c r="R36" s="429">
        <v>456</v>
      </c>
    </row>
    <row r="37" spans="1:18">
      <c r="A37" s="859"/>
      <c r="B37" s="60" t="s">
        <v>30</v>
      </c>
      <c r="C37" s="46">
        <f t="shared" si="9"/>
        <v>71.724137931034477</v>
      </c>
      <c r="D37" s="46" t="str">
        <f t="shared" si="10"/>
        <v>64 - 78</v>
      </c>
      <c r="E37" s="46">
        <f t="shared" si="11"/>
        <v>95.862068965517238</v>
      </c>
      <c r="F37" s="46" t="str">
        <f t="shared" si="12"/>
        <v>91 - 98</v>
      </c>
      <c r="G37" s="46">
        <f t="shared" si="13"/>
        <v>99.310344827586206</v>
      </c>
      <c r="H37" s="46" t="str">
        <f t="shared" si="14"/>
        <v>96 - 100</v>
      </c>
      <c r="I37" s="861"/>
      <c r="J37" s="862"/>
      <c r="K37" s="862"/>
      <c r="L37" s="863"/>
      <c r="M37" s="428">
        <v>104</v>
      </c>
      <c r="N37" s="428">
        <v>145</v>
      </c>
      <c r="O37" s="428">
        <v>35</v>
      </c>
      <c r="P37" s="428">
        <v>145</v>
      </c>
      <c r="Q37" s="429">
        <v>5</v>
      </c>
      <c r="R37" s="429">
        <v>145</v>
      </c>
    </row>
    <row r="38" spans="1:18">
      <c r="A38" s="859"/>
      <c r="B38" s="60" t="s">
        <v>33</v>
      </c>
      <c r="C38" s="46">
        <f t="shared" si="9"/>
        <v>53.125</v>
      </c>
      <c r="D38" s="46" t="str">
        <f t="shared" si="10"/>
        <v>45 - 61</v>
      </c>
      <c r="E38" s="46">
        <f t="shared" si="11"/>
        <v>93.125</v>
      </c>
      <c r="F38" s="46" t="str">
        <f t="shared" si="12"/>
        <v>88 - 96</v>
      </c>
      <c r="G38" s="46">
        <f t="shared" si="13"/>
        <v>98.125</v>
      </c>
      <c r="H38" s="46" t="str">
        <f t="shared" si="14"/>
        <v>95 - 99</v>
      </c>
      <c r="I38" s="861"/>
      <c r="J38" s="862"/>
      <c r="K38" s="862"/>
      <c r="L38" s="863"/>
      <c r="M38" s="428">
        <v>85</v>
      </c>
      <c r="N38" s="428">
        <v>160</v>
      </c>
      <c r="O38" s="428">
        <v>64</v>
      </c>
      <c r="P38" s="428">
        <v>160</v>
      </c>
      <c r="Q38" s="429">
        <v>8</v>
      </c>
      <c r="R38" s="429">
        <v>160</v>
      </c>
    </row>
    <row r="39" spans="1:18">
      <c r="A39" s="859"/>
      <c r="B39" s="60" t="s">
        <v>32</v>
      </c>
      <c r="C39" s="46">
        <f t="shared" si="9"/>
        <v>57.83898305084746</v>
      </c>
      <c r="D39" s="46" t="str">
        <f t="shared" si="10"/>
        <v>53 - 62</v>
      </c>
      <c r="E39" s="46">
        <f t="shared" si="11"/>
        <v>89.618644067796609</v>
      </c>
      <c r="F39" s="46" t="str">
        <f t="shared" si="12"/>
        <v>87 - 92</v>
      </c>
      <c r="G39" s="46">
        <f t="shared" si="13"/>
        <v>93.220338983050837</v>
      </c>
      <c r="H39" s="46" t="str">
        <f t="shared" si="14"/>
        <v>91 - 95</v>
      </c>
      <c r="I39" s="861"/>
      <c r="J39" s="862"/>
      <c r="K39" s="862"/>
      <c r="L39" s="863"/>
      <c r="M39" s="428">
        <v>273</v>
      </c>
      <c r="N39" s="428">
        <v>472</v>
      </c>
      <c r="O39" s="428">
        <v>150</v>
      </c>
      <c r="P39" s="428">
        <v>472</v>
      </c>
      <c r="Q39" s="429">
        <v>17</v>
      </c>
      <c r="R39" s="429">
        <v>472</v>
      </c>
    </row>
    <row r="40" spans="1:18">
      <c r="A40" s="859"/>
      <c r="B40" s="60" t="s">
        <v>37</v>
      </c>
      <c r="C40" s="46">
        <f t="shared" si="9"/>
        <v>47.745358090185675</v>
      </c>
      <c r="D40" s="46" t="str">
        <f t="shared" si="10"/>
        <v>43 - 53</v>
      </c>
      <c r="E40" s="46">
        <f t="shared" si="11"/>
        <v>93.633952254641912</v>
      </c>
      <c r="F40" s="46" t="str">
        <f t="shared" si="12"/>
        <v>91 - 96</v>
      </c>
      <c r="G40" s="46">
        <f t="shared" si="13"/>
        <v>97.08222811671088</v>
      </c>
      <c r="H40" s="46" t="str">
        <f t="shared" si="14"/>
        <v>95 - 98</v>
      </c>
      <c r="I40" s="861"/>
      <c r="J40" s="862"/>
      <c r="K40" s="862"/>
      <c r="L40" s="863"/>
      <c r="M40" s="428">
        <v>180</v>
      </c>
      <c r="N40" s="428">
        <v>377</v>
      </c>
      <c r="O40" s="428">
        <v>173</v>
      </c>
      <c r="P40" s="428">
        <v>377</v>
      </c>
      <c r="Q40" s="429">
        <v>13</v>
      </c>
      <c r="R40" s="429">
        <v>377</v>
      </c>
    </row>
    <row r="41" spans="1:18">
      <c r="A41" s="859"/>
      <c r="B41" s="60" t="s">
        <v>36</v>
      </c>
      <c r="C41" s="46">
        <f t="shared" si="9"/>
        <v>70.900692840646656</v>
      </c>
      <c r="D41" s="46" t="str">
        <f t="shared" si="10"/>
        <v>66 - 75</v>
      </c>
      <c r="E41" s="46">
        <f t="shared" si="11"/>
        <v>88.914549653579684</v>
      </c>
      <c r="F41" s="46" t="str">
        <f t="shared" si="12"/>
        <v>86 - 92</v>
      </c>
      <c r="G41" s="46">
        <f t="shared" si="13"/>
        <v>93.071593533487302</v>
      </c>
      <c r="H41" s="46" t="str">
        <f t="shared" si="14"/>
        <v>90 - 95</v>
      </c>
      <c r="I41" s="861"/>
      <c r="J41" s="862"/>
      <c r="K41" s="862"/>
      <c r="L41" s="863"/>
      <c r="M41" s="428">
        <v>307</v>
      </c>
      <c r="N41" s="428">
        <v>433</v>
      </c>
      <c r="O41" s="428">
        <v>78</v>
      </c>
      <c r="P41" s="428">
        <v>433</v>
      </c>
      <c r="Q41" s="429">
        <v>18</v>
      </c>
      <c r="R41" s="429">
        <v>433</v>
      </c>
    </row>
    <row r="42" spans="1:18">
      <c r="A42" s="859"/>
      <c r="B42" s="60" t="s">
        <v>42</v>
      </c>
      <c r="C42" s="46">
        <f t="shared" si="9"/>
        <v>48.96291640477687</v>
      </c>
      <c r="D42" s="46" t="str">
        <f t="shared" si="10"/>
        <v>47 - 51</v>
      </c>
      <c r="E42" s="46">
        <f t="shared" si="11"/>
        <v>83.846637335009433</v>
      </c>
      <c r="F42" s="46" t="str">
        <f t="shared" si="12"/>
        <v>82 - 86</v>
      </c>
      <c r="G42" s="46">
        <f t="shared" si="13"/>
        <v>90.383406662476432</v>
      </c>
      <c r="H42" s="46" t="str">
        <f t="shared" si="14"/>
        <v>89 - 92</v>
      </c>
      <c r="I42" s="861"/>
      <c r="J42" s="862"/>
      <c r="K42" s="862"/>
      <c r="L42" s="863"/>
      <c r="M42" s="428">
        <v>779</v>
      </c>
      <c r="N42" s="428">
        <v>1591</v>
      </c>
      <c r="O42" s="428">
        <v>555</v>
      </c>
      <c r="P42" s="428">
        <v>1591</v>
      </c>
      <c r="Q42" s="429">
        <v>104</v>
      </c>
      <c r="R42" s="429">
        <v>1591</v>
      </c>
    </row>
    <row r="43" spans="1:18">
      <c r="A43" s="859"/>
      <c r="B43" s="60" t="s">
        <v>38</v>
      </c>
      <c r="C43" s="46">
        <f t="shared" si="9"/>
        <v>52.068965517241381</v>
      </c>
      <c r="D43" s="46" t="str">
        <f t="shared" si="10"/>
        <v>46 - 58</v>
      </c>
      <c r="E43" s="46">
        <f t="shared" si="11"/>
        <v>86.896551724137922</v>
      </c>
      <c r="F43" s="46" t="str">
        <f t="shared" si="12"/>
        <v>83 - 90</v>
      </c>
      <c r="G43" s="46">
        <f t="shared" si="13"/>
        <v>92.068965517241381</v>
      </c>
      <c r="H43" s="46" t="str">
        <f t="shared" si="14"/>
        <v>88 - 95</v>
      </c>
      <c r="I43" s="861"/>
      <c r="J43" s="862"/>
      <c r="K43" s="862"/>
      <c r="L43" s="863"/>
      <c r="M43" s="428">
        <v>151</v>
      </c>
      <c r="N43" s="428">
        <v>290</v>
      </c>
      <c r="O43" s="428">
        <v>101</v>
      </c>
      <c r="P43" s="428">
        <v>290</v>
      </c>
      <c r="Q43" s="429">
        <v>15</v>
      </c>
      <c r="R43" s="429">
        <v>290</v>
      </c>
    </row>
    <row r="44" spans="1:18">
      <c r="A44" s="859"/>
      <c r="B44" s="60" t="s">
        <v>31</v>
      </c>
      <c r="C44" s="46">
        <f t="shared" si="9"/>
        <v>49.374130737134905</v>
      </c>
      <c r="D44" s="46" t="str">
        <f t="shared" si="10"/>
        <v>46 - 53</v>
      </c>
      <c r="E44" s="46">
        <f t="shared" si="11"/>
        <v>93.880389429763554</v>
      </c>
      <c r="F44" s="46" t="str">
        <f t="shared" si="12"/>
        <v>92 - 95</v>
      </c>
      <c r="G44" s="46">
        <f t="shared" si="13"/>
        <v>98.191933240611959</v>
      </c>
      <c r="H44" s="46" t="str">
        <f t="shared" si="14"/>
        <v>97 - 99</v>
      </c>
      <c r="I44" s="861"/>
      <c r="J44" s="862"/>
      <c r="K44" s="862"/>
      <c r="L44" s="863"/>
      <c r="M44" s="428">
        <v>355</v>
      </c>
      <c r="N44" s="428">
        <v>719</v>
      </c>
      <c r="O44" s="428">
        <v>320</v>
      </c>
      <c r="P44" s="428">
        <v>719</v>
      </c>
      <c r="Q44" s="429">
        <v>31</v>
      </c>
      <c r="R44" s="429">
        <v>719</v>
      </c>
    </row>
    <row r="45" spans="1:18">
      <c r="A45" s="859"/>
      <c r="B45" s="60" t="s">
        <v>40</v>
      </c>
      <c r="C45" s="46">
        <f t="shared" si="9"/>
        <v>57.575757575757578</v>
      </c>
      <c r="D45" s="46" t="str">
        <f t="shared" si="10"/>
        <v>54 - 61</v>
      </c>
      <c r="E45" s="46">
        <f t="shared" si="11"/>
        <v>86.531986531986533</v>
      </c>
      <c r="F45" s="46" t="str">
        <f t="shared" si="12"/>
        <v>84 - 89</v>
      </c>
      <c r="G45" s="46">
        <f t="shared" si="13"/>
        <v>91.582491582491585</v>
      </c>
      <c r="H45" s="46" t="str">
        <f t="shared" si="14"/>
        <v>90 - 93</v>
      </c>
      <c r="I45" s="861"/>
      <c r="J45" s="862"/>
      <c r="K45" s="862"/>
      <c r="L45" s="863"/>
      <c r="M45" s="428">
        <v>513</v>
      </c>
      <c r="N45" s="428">
        <v>891</v>
      </c>
      <c r="O45" s="428">
        <v>258</v>
      </c>
      <c r="P45" s="428">
        <v>891</v>
      </c>
      <c r="Q45" s="429">
        <v>45</v>
      </c>
      <c r="R45" s="429">
        <v>891</v>
      </c>
    </row>
    <row r="46" spans="1:18">
      <c r="A46" s="859"/>
      <c r="B46" s="60" t="s">
        <v>43</v>
      </c>
      <c r="C46" s="46">
        <f t="shared" si="9"/>
        <v>63.636363636363633</v>
      </c>
      <c r="D46" s="46" t="str">
        <f t="shared" si="10"/>
        <v>43 - 80</v>
      </c>
      <c r="E46" s="46">
        <f t="shared" si="11"/>
        <v>81.818181818181827</v>
      </c>
      <c r="F46" s="46" t="str">
        <f t="shared" si="12"/>
        <v>61 - 93</v>
      </c>
      <c r="G46" s="46">
        <f t="shared" si="13"/>
        <v>86.36363636363636</v>
      </c>
      <c r="H46" s="46" t="str">
        <f t="shared" si="14"/>
        <v>67 - 95</v>
      </c>
      <c r="I46" s="861"/>
      <c r="J46" s="862"/>
      <c r="K46" s="862"/>
      <c r="L46" s="863"/>
      <c r="M46" s="428">
        <v>14</v>
      </c>
      <c r="N46" s="428">
        <v>22</v>
      </c>
      <c r="O46" s="428">
        <v>4</v>
      </c>
      <c r="P46" s="428">
        <v>22</v>
      </c>
      <c r="Q46" s="429">
        <v>1</v>
      </c>
      <c r="R46" s="429">
        <v>22</v>
      </c>
    </row>
    <row r="47" spans="1:18">
      <c r="A47" s="859"/>
      <c r="B47" s="60" t="s">
        <v>41</v>
      </c>
      <c r="C47" s="46">
        <f t="shared" si="9"/>
        <v>58.333333333333336</v>
      </c>
      <c r="D47" s="46" t="str">
        <f t="shared" si="10"/>
        <v>39 - 76</v>
      </c>
      <c r="E47" s="46">
        <f t="shared" si="11"/>
        <v>87.5</v>
      </c>
      <c r="F47" s="46" t="str">
        <f t="shared" si="12"/>
        <v>69 - 96</v>
      </c>
      <c r="G47" s="46">
        <f t="shared" si="13"/>
        <v>100</v>
      </c>
      <c r="H47" s="46" t="str">
        <f t="shared" si="14"/>
        <v>86 - 100</v>
      </c>
      <c r="I47" s="861"/>
      <c r="J47" s="862"/>
      <c r="K47" s="862"/>
      <c r="L47" s="863"/>
      <c r="M47" s="428">
        <v>14</v>
      </c>
      <c r="N47" s="428">
        <v>24</v>
      </c>
      <c r="O47" s="428">
        <v>7</v>
      </c>
      <c r="P47" s="428">
        <v>24</v>
      </c>
      <c r="Q47" s="429">
        <v>3</v>
      </c>
      <c r="R47" s="429">
        <v>24</v>
      </c>
    </row>
    <row r="48" spans="1:18">
      <c r="A48" s="859"/>
      <c r="B48" s="60" t="s">
        <v>34</v>
      </c>
      <c r="C48" s="46">
        <f t="shared" si="9"/>
        <v>61.002785515320333</v>
      </c>
      <c r="D48" s="46" t="str">
        <f t="shared" si="10"/>
        <v>56 - 66</v>
      </c>
      <c r="E48" s="46">
        <f t="shared" si="11"/>
        <v>91.922005571030638</v>
      </c>
      <c r="F48" s="46" t="str">
        <f t="shared" si="12"/>
        <v>89 - 94</v>
      </c>
      <c r="G48" s="46">
        <f t="shared" si="13"/>
        <v>96.378830083565461</v>
      </c>
      <c r="H48" s="46" t="str">
        <f t="shared" si="14"/>
        <v>94 - 98</v>
      </c>
      <c r="I48" s="861"/>
      <c r="J48" s="862"/>
      <c r="K48" s="862"/>
      <c r="L48" s="863"/>
      <c r="M48" s="428">
        <v>219</v>
      </c>
      <c r="N48" s="428">
        <v>359</v>
      </c>
      <c r="O48" s="428">
        <v>111</v>
      </c>
      <c r="P48" s="428">
        <v>359</v>
      </c>
      <c r="Q48" s="429">
        <v>16</v>
      </c>
      <c r="R48" s="429">
        <v>359</v>
      </c>
    </row>
    <row r="49" spans="1:18">
      <c r="A49" s="860"/>
      <c r="B49" s="60" t="s">
        <v>39</v>
      </c>
      <c r="C49" s="46">
        <f t="shared" si="9"/>
        <v>77.777777777777786</v>
      </c>
      <c r="D49" s="46" t="str">
        <f t="shared" si="10"/>
        <v>45 - 94</v>
      </c>
      <c r="E49" s="46">
        <f t="shared" si="11"/>
        <v>88.888888888888886</v>
      </c>
      <c r="F49" s="46" t="str">
        <f t="shared" si="12"/>
        <v>56 - 98</v>
      </c>
      <c r="G49" s="46">
        <f t="shared" si="13"/>
        <v>100</v>
      </c>
      <c r="H49" s="46" t="str">
        <f t="shared" si="14"/>
        <v>70 - 100</v>
      </c>
      <c r="I49" s="864"/>
      <c r="J49" s="865"/>
      <c r="K49" s="865"/>
      <c r="L49" s="866"/>
      <c r="M49" s="428">
        <v>7</v>
      </c>
      <c r="N49" s="428">
        <v>9</v>
      </c>
      <c r="O49" s="428">
        <v>1</v>
      </c>
      <c r="P49" s="428">
        <v>9</v>
      </c>
      <c r="Q49" s="429">
        <v>1</v>
      </c>
      <c r="R49" s="429">
        <v>9</v>
      </c>
    </row>
    <row r="50" spans="1:18" s="642" customFormat="1">
      <c r="A50" s="51"/>
      <c r="B50" s="648"/>
      <c r="C50" s="34"/>
      <c r="D50" s="34"/>
      <c r="E50" s="34"/>
      <c r="F50" s="34"/>
      <c r="G50" s="34"/>
      <c r="H50" s="34"/>
      <c r="I50" s="34"/>
      <c r="J50" s="34"/>
      <c r="M50" s="648"/>
      <c r="N50" s="648"/>
      <c r="O50" s="648"/>
      <c r="P50" s="648"/>
      <c r="Q50" s="648"/>
      <c r="R50" s="648"/>
    </row>
    <row r="51" spans="1:18" s="642" customFormat="1">
      <c r="A51" s="51"/>
      <c r="B51" s="648"/>
      <c r="C51" s="34"/>
      <c r="D51" s="34"/>
      <c r="E51" s="34"/>
      <c r="F51" s="34"/>
      <c r="G51" s="34"/>
      <c r="H51" s="34"/>
      <c r="I51" s="34"/>
      <c r="J51" s="34"/>
      <c r="M51" s="648"/>
      <c r="N51" s="648"/>
      <c r="O51" s="648"/>
      <c r="P51" s="648"/>
      <c r="Q51" s="648"/>
      <c r="R51" s="648"/>
    </row>
    <row r="52" spans="1:18" s="642" customFormat="1">
      <c r="A52" s="51"/>
      <c r="B52" s="648"/>
      <c r="C52" s="34"/>
      <c r="D52" s="34"/>
      <c r="E52" s="34"/>
      <c r="F52" s="34"/>
      <c r="G52" s="34"/>
      <c r="H52" s="34"/>
      <c r="I52" s="34"/>
      <c r="J52" s="34"/>
      <c r="M52" s="648"/>
      <c r="N52" s="648"/>
      <c r="O52" s="648"/>
      <c r="P52" s="648"/>
      <c r="Q52" s="648"/>
      <c r="R52" s="648"/>
    </row>
  </sheetData>
  <sheetProtection password="B8D9" sheet="1" objects="1" scenarios="1"/>
  <mergeCells count="15">
    <mergeCell ref="A1:B1"/>
    <mergeCell ref="C1:H1"/>
    <mergeCell ref="M1:N1"/>
    <mergeCell ref="O1:P1"/>
    <mergeCell ref="Q1:R1"/>
    <mergeCell ref="M34:N34"/>
    <mergeCell ref="O34:P34"/>
    <mergeCell ref="Q34:R34"/>
    <mergeCell ref="A36:A49"/>
    <mergeCell ref="I36:L49"/>
    <mergeCell ref="A34:B34"/>
    <mergeCell ref="C34:D34"/>
    <mergeCell ref="E34:F34"/>
    <mergeCell ref="G34:H34"/>
    <mergeCell ref="I34:L35"/>
  </mergeCells>
  <printOptions horizontalCentered="1"/>
  <pageMargins left="0" right="0" top="0.27559055118110237" bottom="0.51181102362204722" header="0.15748031496062992" footer="0.19685039370078741"/>
  <pageSetup paperSize="9" scale="77"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43.xml><?xml version="1.0" encoding="utf-8"?>
<worksheet xmlns="http://schemas.openxmlformats.org/spreadsheetml/2006/main" xmlns:r="http://schemas.openxmlformats.org/officeDocument/2006/relationships">
  <sheetPr codeName="Sheet20">
    <pageSetUpPr fitToPage="1"/>
  </sheetPr>
  <dimension ref="A1:T37"/>
  <sheetViews>
    <sheetView workbookViewId="0"/>
  </sheetViews>
  <sheetFormatPr defaultRowHeight="12.75"/>
  <cols>
    <col min="1" max="1" width="1.7109375" style="2" customWidth="1"/>
    <col min="2" max="16384" width="9.140625" style="2"/>
  </cols>
  <sheetData>
    <row r="1" spans="1:20" ht="12.75" customHeight="1">
      <c r="A1" s="1"/>
      <c r="B1" s="798" t="s">
        <v>676</v>
      </c>
      <c r="C1" s="798"/>
      <c r="D1" s="798"/>
      <c r="E1" s="798"/>
      <c r="F1" s="798"/>
      <c r="G1" s="798"/>
      <c r="H1" s="798"/>
      <c r="I1" s="798"/>
      <c r="J1" s="798"/>
      <c r="K1" s="798"/>
      <c r="L1" s="798"/>
      <c r="M1" s="798"/>
      <c r="N1" s="798"/>
      <c r="O1" s="802" t="s">
        <v>48</v>
      </c>
    </row>
    <row r="2" spans="1:20">
      <c r="B2" s="798"/>
      <c r="C2" s="798"/>
      <c r="D2" s="798"/>
      <c r="E2" s="798"/>
      <c r="F2" s="798"/>
      <c r="G2" s="798"/>
      <c r="H2" s="798"/>
      <c r="I2" s="798"/>
      <c r="J2" s="798"/>
      <c r="K2" s="798"/>
      <c r="L2" s="798"/>
      <c r="M2" s="798"/>
      <c r="N2" s="798"/>
      <c r="O2" s="802"/>
    </row>
    <row r="3" spans="1:20">
      <c r="B3" s="891" t="s">
        <v>447</v>
      </c>
      <c r="C3" s="891"/>
      <c r="D3" s="891"/>
      <c r="E3" s="891"/>
      <c r="F3" s="891"/>
      <c r="G3" s="891"/>
      <c r="H3" s="891"/>
      <c r="I3" s="891"/>
      <c r="J3" s="891"/>
      <c r="K3" s="891"/>
      <c r="L3" s="891"/>
      <c r="M3" s="891"/>
      <c r="N3" s="891"/>
      <c r="O3" s="802"/>
    </row>
    <row r="4" spans="1:20">
      <c r="B4" s="891"/>
      <c r="C4" s="891"/>
      <c r="D4" s="891"/>
      <c r="E4" s="891"/>
      <c r="F4" s="891"/>
      <c r="G4" s="891"/>
      <c r="H4" s="891"/>
      <c r="I4" s="891"/>
      <c r="J4" s="891"/>
      <c r="K4" s="891"/>
      <c r="L4" s="891"/>
      <c r="M4" s="891"/>
      <c r="N4" s="891"/>
      <c r="O4" s="802"/>
    </row>
    <row r="6" spans="1:20">
      <c r="O6" s="803" t="s">
        <v>726</v>
      </c>
      <c r="P6" s="803"/>
    </row>
    <row r="14" spans="1:20" ht="15">
      <c r="O14" s="199"/>
      <c r="P14" t="s">
        <v>298</v>
      </c>
      <c r="Q14"/>
      <c r="R14"/>
      <c r="S14"/>
      <c r="T14"/>
    </row>
    <row r="15" spans="1:20" ht="15">
      <c r="O15" s="200"/>
      <c r="P15" t="s">
        <v>507</v>
      </c>
      <c r="Q15"/>
      <c r="R15"/>
      <c r="S15"/>
      <c r="T15"/>
    </row>
    <row r="16" spans="1:20" ht="15">
      <c r="O16" s="201"/>
      <c r="P16" t="s">
        <v>508</v>
      </c>
      <c r="Q16"/>
      <c r="R16"/>
      <c r="S16"/>
      <c r="T16"/>
    </row>
    <row r="17" spans="2:20" ht="15">
      <c r="O17" s="283"/>
      <c r="P17" t="s">
        <v>509</v>
      </c>
      <c r="Q17"/>
      <c r="R17"/>
      <c r="S17"/>
      <c r="T17"/>
    </row>
    <row r="18" spans="2:20" ht="15">
      <c r="O18"/>
      <c r="P18" t="s">
        <v>280</v>
      </c>
      <c r="Q18"/>
      <c r="R18"/>
      <c r="S18"/>
      <c r="T18"/>
    </row>
    <row r="31" spans="2:20">
      <c r="B31" s="210" t="s">
        <v>456</v>
      </c>
      <c r="C31" s="211"/>
      <c r="D31" s="211"/>
      <c r="E31" s="211"/>
      <c r="F31" s="211"/>
      <c r="G31" s="211"/>
      <c r="H31" s="211"/>
      <c r="I31" s="211"/>
      <c r="J31" s="211"/>
      <c r="K31" s="211"/>
      <c r="L31" s="211"/>
      <c r="M31" s="211"/>
    </row>
    <row r="32" spans="2:20" ht="24.75" customHeight="1">
      <c r="B32" s="890" t="s">
        <v>10</v>
      </c>
      <c r="C32" s="890"/>
      <c r="D32" s="890"/>
      <c r="E32" s="890"/>
      <c r="F32" s="890"/>
      <c r="G32" s="890"/>
      <c r="H32" s="890"/>
      <c r="I32" s="890"/>
      <c r="J32" s="890"/>
      <c r="K32" s="890"/>
      <c r="L32" s="890"/>
      <c r="M32" s="890"/>
    </row>
    <row r="33" spans="2:13" ht="25.5" customHeight="1">
      <c r="B33" s="889" t="s">
        <v>675</v>
      </c>
      <c r="C33" s="889"/>
      <c r="D33" s="889"/>
      <c r="E33" s="889"/>
      <c r="F33" s="889"/>
      <c r="G33" s="889"/>
      <c r="H33" s="889"/>
      <c r="I33" s="889"/>
      <c r="J33" s="889"/>
      <c r="K33" s="889"/>
      <c r="L33" s="889"/>
      <c r="M33" s="889"/>
    </row>
    <row r="34" spans="2:13">
      <c r="B34" s="889"/>
      <c r="C34" s="889"/>
      <c r="D34" s="889"/>
      <c r="E34" s="889"/>
      <c r="F34" s="889"/>
      <c r="G34" s="889"/>
      <c r="H34" s="889"/>
      <c r="I34" s="889"/>
      <c r="J34" s="889"/>
      <c r="K34" s="889"/>
      <c r="L34" s="889"/>
      <c r="M34" s="889"/>
    </row>
    <row r="35" spans="2:13" ht="12.75" customHeight="1">
      <c r="B35" s="889" t="s">
        <v>528</v>
      </c>
      <c r="C35" s="889"/>
      <c r="D35" s="889"/>
      <c r="E35" s="889"/>
      <c r="F35" s="889"/>
      <c r="G35" s="889"/>
      <c r="H35" s="889"/>
      <c r="I35" s="889"/>
      <c r="J35" s="889"/>
      <c r="K35" s="889"/>
      <c r="L35" s="889"/>
      <c r="M35" s="889"/>
    </row>
    <row r="36" spans="2:13">
      <c r="B36" s="889"/>
      <c r="C36" s="889"/>
      <c r="D36" s="889"/>
      <c r="E36" s="889"/>
      <c r="F36" s="889"/>
      <c r="G36" s="889"/>
      <c r="H36" s="889"/>
      <c r="I36" s="889"/>
      <c r="J36" s="889"/>
      <c r="K36" s="889"/>
      <c r="L36" s="889"/>
      <c r="M36" s="889"/>
    </row>
    <row r="37" spans="2:13">
      <c r="B37" s="889"/>
      <c r="C37" s="889"/>
      <c r="D37" s="889"/>
      <c r="E37" s="889"/>
      <c r="F37" s="889"/>
      <c r="G37" s="889"/>
      <c r="H37" s="889"/>
      <c r="I37" s="889"/>
      <c r="J37" s="889"/>
      <c r="K37" s="889"/>
      <c r="L37" s="889"/>
      <c r="M37" s="889"/>
    </row>
  </sheetData>
  <sheetProtection password="B8D9" sheet="1" objects="1" scenarios="1"/>
  <mergeCells count="7">
    <mergeCell ref="B35:M37"/>
    <mergeCell ref="O1:O4"/>
    <mergeCell ref="B32:M32"/>
    <mergeCell ref="B33:M34"/>
    <mergeCell ref="B3:N4"/>
    <mergeCell ref="B1:N2"/>
    <mergeCell ref="O6:P6"/>
  </mergeCells>
  <phoneticPr fontId="0" type="noConversion"/>
  <hyperlinks>
    <hyperlink ref="O1" location="'List of Tables &amp; Charts'!A1" display="return to List of Tables &amp; Charts"/>
    <hyperlink ref="O6:P6" location="'Chart 6 DATA'!A1" display="view Chart 6 data"/>
  </hyperlinks>
  <pageMargins left="0" right="0" top="0.74803149606299213" bottom="0.74803149606299213" header="0.31496062992125984" footer="0.31496062992125984"/>
  <pageSetup paperSize="9" scale="82"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44.xml><?xml version="1.0" encoding="utf-8"?>
<worksheet xmlns="http://schemas.openxmlformats.org/spreadsheetml/2006/main" xmlns:r="http://schemas.openxmlformats.org/officeDocument/2006/relationships">
  <sheetPr codeName="Sheet21">
    <pageSetUpPr fitToPage="1"/>
  </sheetPr>
  <dimension ref="A1:W54"/>
  <sheetViews>
    <sheetView zoomScaleNormal="100" workbookViewId="0">
      <selection sqref="A1:A2"/>
    </sheetView>
  </sheetViews>
  <sheetFormatPr defaultRowHeight="11.25"/>
  <cols>
    <col min="1" max="1" width="15.7109375" style="5" customWidth="1"/>
    <col min="2" max="8" width="9.140625" style="5"/>
    <col min="9" max="14" width="9.7109375" style="5" customWidth="1"/>
    <col min="15" max="15" width="10.42578125" style="5" bestFit="1" customWidth="1"/>
    <col min="16" max="16" width="45.7109375" style="5" customWidth="1"/>
    <col min="17" max="20" width="11.7109375" style="22" customWidth="1"/>
    <col min="21" max="16384" width="9.140625" style="5"/>
  </cols>
  <sheetData>
    <row r="1" spans="1:20" ht="15" customHeight="1">
      <c r="A1" s="895" t="s">
        <v>27</v>
      </c>
      <c r="B1" s="897" t="s">
        <v>44</v>
      </c>
      <c r="C1" s="898"/>
      <c r="D1" s="898"/>
      <c r="E1" s="898"/>
      <c r="F1" s="898"/>
      <c r="G1" s="898"/>
      <c r="H1" s="898"/>
      <c r="I1" s="3"/>
      <c r="J1" s="4"/>
      <c r="K1" s="4"/>
      <c r="L1" s="4"/>
      <c r="M1" s="4"/>
      <c r="N1" s="4"/>
      <c r="O1" s="892" t="s">
        <v>20</v>
      </c>
      <c r="P1" s="899"/>
      <c r="Q1" s="892">
        <v>2014</v>
      </c>
      <c r="R1" s="892"/>
      <c r="S1" s="892">
        <v>2015</v>
      </c>
      <c r="T1" s="892"/>
    </row>
    <row r="2" spans="1:20" ht="23.25" customHeight="1">
      <c r="A2" s="896"/>
      <c r="B2" s="6" t="s">
        <v>298</v>
      </c>
      <c r="C2" s="6" t="s">
        <v>491</v>
      </c>
      <c r="D2" s="7" t="s">
        <v>21</v>
      </c>
      <c r="E2" s="893" t="s">
        <v>492</v>
      </c>
      <c r="F2" s="893"/>
      <c r="G2" s="893" t="s">
        <v>493</v>
      </c>
      <c r="H2" s="894"/>
      <c r="I2" s="8" t="s">
        <v>23</v>
      </c>
      <c r="J2" s="9" t="s">
        <v>300</v>
      </c>
      <c r="K2" s="10" t="s">
        <v>24</v>
      </c>
      <c r="L2" s="24" t="s">
        <v>16</v>
      </c>
      <c r="M2" s="24" t="s">
        <v>15</v>
      </c>
      <c r="N2" s="11" t="s">
        <v>25</v>
      </c>
      <c r="O2" s="12" t="s">
        <v>26</v>
      </c>
      <c r="P2" s="13" t="s">
        <v>27</v>
      </c>
      <c r="Q2" s="13" t="s">
        <v>28</v>
      </c>
      <c r="R2" s="13" t="s">
        <v>29</v>
      </c>
      <c r="S2" s="13" t="s">
        <v>28</v>
      </c>
      <c r="T2" s="13" t="s">
        <v>29</v>
      </c>
    </row>
    <row r="3" spans="1:20" ht="12">
      <c r="A3" s="14" t="str">
        <f>O3</f>
        <v>Scotland</v>
      </c>
      <c r="B3" s="15">
        <f t="shared" ref="B3:B23" si="0">Q3/R3*100</f>
        <v>82.746848739495789</v>
      </c>
      <c r="C3" s="15">
        <f t="shared" ref="C3:C23" si="1">S3/T3*100</f>
        <v>83.173946756267767</v>
      </c>
      <c r="D3" s="15">
        <f>80</f>
        <v>80</v>
      </c>
      <c r="E3" s="16">
        <f t="shared" ref="E3:E23" si="2">SUM(1*MID(I3,1,FIND(" - ",I3)-1))</f>
        <v>82</v>
      </c>
      <c r="F3" s="17">
        <f t="shared" ref="F3:F23" si="3">SUM(1*MID(I3,FIND(" - ",I3)+2,LEN(I3)))</f>
        <v>84</v>
      </c>
      <c r="G3" s="17">
        <f t="shared" ref="G3:G23" si="4">SUM(1*MID(J3,1,FIND(" - ",J3)-1))</f>
        <v>82</v>
      </c>
      <c r="H3" s="17">
        <f t="shared" ref="H3:H23" si="5">SUM(1*MID(J3,FIND(" - ",J3)+2,LEN(J3)))</f>
        <v>84</v>
      </c>
      <c r="I3" s="18" t="str">
        <f t="shared" ref="I3:I23" si="6">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82 - 84</v>
      </c>
      <c r="J3" s="19" t="str">
        <f t="shared" ref="J3:J23" si="7">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82 - 84</v>
      </c>
      <c r="K3" s="258">
        <f t="shared" ref="K3:K23" si="8">C3-B3</f>
        <v>0.42709801677197845</v>
      </c>
      <c r="L3" s="259">
        <f t="shared" ref="L3:L23" si="9">((S3/T3)-(Q3/R3))-(NORMSINV(1-(0.05/COUNTA($O$3:$O$34)))*(SQRT((((Q3/R3)*(1-(Q3/R3)))/R3)+(((S3/T3)*(1-(S3/T3)))/T3))))</f>
        <v>-2.0204760230100306E-2</v>
      </c>
      <c r="M3" s="259">
        <f t="shared" ref="M3:M23" si="10">((S3/T3)-(Q3/R3))+(NORMSINV(1-(0.05/COUNTA($O$3:$O$34)))*(SQRT((((Q3/R3)*(1-(Q3/R3)))/R3)+(((S3/T3)*(1-(S3/T3)))/T3))))</f>
        <v>2.874672056553983E-2</v>
      </c>
      <c r="N3" s="20">
        <f t="shared" ref="N3" si="11">IF(ISERR(IF(AND(((S3/T3)-(Q3/R3))-(NORMSINV(1-(0.05/COUNTA($P$3:$P$21)))*(SQRT((((Q3/R3)*(1-(Q3/R3)))/R3)+(((S3/T3)*(1-(S3/T3)))/T3))))&gt;0,((S3/T3)-(Q3/R3))+(NORMSINV(1-(0.05/COUNTA($P$3:$P$21)))*(SQRT((((Q3/R3)*(1-(Q3/R3)))/R3)+(((S3/T3)*(1-(S3/T3)))/T3))))&gt;0),1,IF(AND(((S3/T3)-(Q3/R3))-(NORMSINV(1-(0.05/COUNTA($P$3:$P$21)))*(SQRT((((Q3/R3)*(1-(Q3/R3)))/R3)+(((S3/T3)*(1-(S3/T3)))/T3))))&lt;0,((S3/T3)-(Q3/R3))+(NORMSINV(1-(0.05/COUNTA($P$3:$P$21)))*(SQRT((((Q3/R3)*(1-(Q3/R3)))/R3)+(((S3/T3)*(1-(S3/T3)))/T3))))&lt;0),-1,0))),"",IF(AND(((S3/T3)-(Q3/R3))-(NORMSINV(1-(0.05/COUNTA($P$3:$P$21)))*(SQRT((((Q3/R3)*(1-(Q3/R3)))/R3)+(((S3/T3)*(1-(S3/T3)))/T3))))&gt;0,((S3/T3)-(Q3/R3))+(NORMSINV(1-(0.05/COUNTA($P$3:$P$21)))*(SQRT((((Q3/R3)*(1-(Q3/R3)))/R3)+(((S3/T3)*(1-(S3/T3)))/T3))))&gt;0),1,IF(AND(((S3/T3)-(Q3/R3))-(NORMSINV(1-(0.05/COUNTA($P$3:$P$21)))*(SQRT((((Q3/R3)*(1-(Q3/R3)))/R3)+(((S3/T3)*(1-(S3/T3)))/T3))))&lt;0,((S3/T3)-(Q3/R3))+(NORMSINV(1-(0.05/COUNTA($P$3:$P$21)))*(SQRT((((Q3/R3)*(1-(Q3/R3)))/R3)+(((S3/T3)*(1-(S3/T3)))/T3))))&lt;0),-1,0)))</f>
        <v>0</v>
      </c>
      <c r="O3" s="14" t="str">
        <f t="shared" ref="O3:O24" si="12">VLOOKUP(P3,Hospitals,2,FALSE)</f>
        <v>Scotland</v>
      </c>
      <c r="P3" s="14" t="s">
        <v>515</v>
      </c>
      <c r="Q3" s="430">
        <v>3151</v>
      </c>
      <c r="R3" s="430">
        <v>3808</v>
      </c>
      <c r="S3" s="430">
        <v>3218</v>
      </c>
      <c r="T3" s="430">
        <v>3869</v>
      </c>
    </row>
    <row r="4" spans="1:20" ht="12">
      <c r="A4" s="14" t="str">
        <f t="shared" ref="A4:A24" si="13">O4</f>
        <v>Ayr</v>
      </c>
      <c r="B4" s="15">
        <f t="shared" si="0"/>
        <v>93.793103448275858</v>
      </c>
      <c r="C4" s="15">
        <f t="shared" si="1"/>
        <v>96.581196581196579</v>
      </c>
      <c r="D4" s="17">
        <f>80</f>
        <v>80</v>
      </c>
      <c r="E4" s="17">
        <f t="shared" si="2"/>
        <v>89</v>
      </c>
      <c r="F4" s="17">
        <f t="shared" si="3"/>
        <v>97</v>
      </c>
      <c r="G4" s="17">
        <f t="shared" si="4"/>
        <v>92</v>
      </c>
      <c r="H4" s="17">
        <f t="shared" si="5"/>
        <v>99</v>
      </c>
      <c r="I4" s="21" t="str">
        <f t="shared" si="6"/>
        <v>89 - 97</v>
      </c>
      <c r="J4" s="19" t="str">
        <f t="shared" si="7"/>
        <v>92 - 99</v>
      </c>
      <c r="K4" s="258">
        <f t="shared" si="8"/>
        <v>2.7880931329207215</v>
      </c>
      <c r="L4" s="259">
        <f t="shared" si="9"/>
        <v>-4.6686280907174096E-2</v>
      </c>
      <c r="M4" s="259">
        <f t="shared" si="10"/>
        <v>0.10244814356558853</v>
      </c>
      <c r="N4" s="20">
        <f t="shared" ref="N4:N23" si="14">IF(ISERR(IF(AND(((S4/T4)-(Q4/R4))-(NORMSINV(1-(0.05/COUNTA($P$3:$P$21)))*(SQRT((((Q4/R4)*(1-(Q4/R4)))/R4)+(((S4/T4)*(1-(S4/T4)))/T4))))&gt;0,((S4/T4)-(Q4/R4))+(NORMSINV(1-(0.05/COUNTA($P$3:$P$21)))*(SQRT((((Q4/R4)*(1-(Q4/R4)))/R4)+(((S4/T4)*(1-(S4/T4)))/T4))))&gt;0),1,IF(AND(((S4/T4)-(Q4/R4))-(NORMSINV(1-(0.05/COUNTA($P$3:$P$21)))*(SQRT((((Q4/R4)*(1-(Q4/R4)))/R4)+(((S4/T4)*(1-(S4/T4)))/T4))))&lt;0,((S4/T4)-(Q4/R4))+(NORMSINV(1-(0.05/COUNTA($P$3:$P$21)))*(SQRT((((Q4/R4)*(1-(Q4/R4)))/R4)+(((S4/T4)*(1-(S4/T4)))/T4))))&lt;0),-1,0))),"",IF(AND(((S4/T4)-(Q4/R4))-(NORMSINV(1-(0.05/COUNTA($P$3:$P$21)))*(SQRT((((Q4/R4)*(1-(Q4/R4)))/R4)+(((S4/T4)*(1-(S4/T4)))/T4))))&gt;0,((S4/T4)-(Q4/R4))+(NORMSINV(1-(0.05/COUNTA($P$3:$P$21)))*(SQRT((((Q4/R4)*(1-(Q4/R4)))/R4)+(((S4/T4)*(1-(S4/T4)))/T4))))&gt;0),1,IF(AND(((S4/T4)-(Q4/R4))-(NORMSINV(1-(0.05/COUNTA($P$3:$P$21)))*(SQRT((((Q4/R4)*(1-(Q4/R4)))/R4)+(((S4/T4)*(1-(S4/T4)))/T4))))&lt;0,((S4/T4)-(Q4/R4))+(NORMSINV(1-(0.05/COUNTA($P$3:$P$21)))*(SQRT((((Q4/R4)*(1-(Q4/R4)))/R4)+(((S4/T4)*(1-(S4/T4)))/T4))))&lt;0),-1,0)))</f>
        <v>0</v>
      </c>
      <c r="O4" s="14" t="str">
        <f t="shared" si="12"/>
        <v>Ayr</v>
      </c>
      <c r="P4" s="14" t="s">
        <v>60</v>
      </c>
      <c r="Q4" s="430">
        <v>136</v>
      </c>
      <c r="R4" s="430">
        <v>145</v>
      </c>
      <c r="S4" s="430">
        <v>113</v>
      </c>
      <c r="T4" s="430">
        <v>117</v>
      </c>
    </row>
    <row r="5" spans="1:20" ht="12">
      <c r="A5" s="14" t="str">
        <f t="shared" si="13"/>
        <v>WGH</v>
      </c>
      <c r="B5" s="15">
        <f t="shared" si="0"/>
        <v>93.934142114384741</v>
      </c>
      <c r="C5" s="15">
        <f t="shared" si="1"/>
        <v>94.677419354838705</v>
      </c>
      <c r="D5" s="17">
        <f>80</f>
        <v>80</v>
      </c>
      <c r="E5" s="17">
        <f t="shared" si="2"/>
        <v>92</v>
      </c>
      <c r="F5" s="17">
        <f t="shared" si="3"/>
        <v>96</v>
      </c>
      <c r="G5" s="17">
        <f t="shared" si="4"/>
        <v>93</v>
      </c>
      <c r="H5" s="17">
        <f t="shared" si="5"/>
        <v>96</v>
      </c>
      <c r="I5" s="21" t="str">
        <f t="shared" si="6"/>
        <v>92 - 96</v>
      </c>
      <c r="J5" s="19" t="str">
        <f t="shared" si="7"/>
        <v>93 - 96</v>
      </c>
      <c r="K5" s="258">
        <f t="shared" si="8"/>
        <v>0.74327724045396337</v>
      </c>
      <c r="L5" s="259">
        <f t="shared" si="9"/>
        <v>-3.0830690697178871E-2</v>
      </c>
      <c r="M5" s="259">
        <f t="shared" si="10"/>
        <v>4.5696235506258183E-2</v>
      </c>
      <c r="N5" s="20">
        <f t="shared" si="14"/>
        <v>0</v>
      </c>
      <c r="O5" s="14" t="str">
        <f t="shared" si="12"/>
        <v>WGH</v>
      </c>
      <c r="P5" s="14" t="s">
        <v>117</v>
      </c>
      <c r="Q5" s="430">
        <v>542</v>
      </c>
      <c r="R5" s="430">
        <v>577</v>
      </c>
      <c r="S5" s="430">
        <v>587</v>
      </c>
      <c r="T5" s="430">
        <v>620</v>
      </c>
    </row>
    <row r="6" spans="1:20" ht="12">
      <c r="A6" s="14" t="str">
        <f t="shared" si="13"/>
        <v>FVRH</v>
      </c>
      <c r="B6" s="15">
        <f t="shared" si="0"/>
        <v>91.497975708502025</v>
      </c>
      <c r="C6" s="15">
        <f t="shared" si="1"/>
        <v>93.288590604026851</v>
      </c>
      <c r="D6" s="17">
        <f>80</f>
        <v>80</v>
      </c>
      <c r="E6" s="17">
        <f t="shared" si="2"/>
        <v>87</v>
      </c>
      <c r="F6" s="17">
        <f t="shared" si="3"/>
        <v>94</v>
      </c>
      <c r="G6" s="17">
        <f t="shared" si="4"/>
        <v>90</v>
      </c>
      <c r="H6" s="17">
        <f t="shared" si="5"/>
        <v>96</v>
      </c>
      <c r="I6" s="21" t="str">
        <f t="shared" si="6"/>
        <v>87 - 94</v>
      </c>
      <c r="J6" s="19" t="str">
        <f t="shared" si="7"/>
        <v>90 - 96</v>
      </c>
      <c r="K6" s="258">
        <f t="shared" si="8"/>
        <v>1.7906148955248256</v>
      </c>
      <c r="L6" s="259">
        <f t="shared" si="9"/>
        <v>-4.7438719191485748E-2</v>
      </c>
      <c r="M6" s="259">
        <f t="shared" si="10"/>
        <v>8.3251017101982197E-2</v>
      </c>
      <c r="N6" s="20">
        <f t="shared" si="14"/>
        <v>0</v>
      </c>
      <c r="O6" s="14" t="str">
        <f t="shared" si="12"/>
        <v>FVRH</v>
      </c>
      <c r="P6" s="14" t="s">
        <v>75</v>
      </c>
      <c r="Q6" s="430">
        <v>226</v>
      </c>
      <c r="R6" s="430">
        <v>247</v>
      </c>
      <c r="S6" s="430">
        <v>278</v>
      </c>
      <c r="T6" s="430">
        <v>298</v>
      </c>
    </row>
    <row r="7" spans="1:20" ht="12">
      <c r="A7" s="14" t="str">
        <f t="shared" si="13"/>
        <v>Ninewells</v>
      </c>
      <c r="B7" s="15">
        <f t="shared" si="0"/>
        <v>89.705882352941174</v>
      </c>
      <c r="C7" s="15">
        <f t="shared" si="1"/>
        <v>92.178770949720672</v>
      </c>
      <c r="D7" s="17">
        <f>80</f>
        <v>80</v>
      </c>
      <c r="E7" s="17">
        <f t="shared" si="2"/>
        <v>83</v>
      </c>
      <c r="F7" s="17">
        <f t="shared" si="3"/>
        <v>94</v>
      </c>
      <c r="G7" s="17">
        <f t="shared" si="4"/>
        <v>87</v>
      </c>
      <c r="H7" s="17">
        <f t="shared" si="5"/>
        <v>95</v>
      </c>
      <c r="I7" s="21" t="str">
        <f t="shared" si="6"/>
        <v>83 - 94</v>
      </c>
      <c r="J7" s="19" t="str">
        <f t="shared" si="7"/>
        <v>87 - 95</v>
      </c>
      <c r="K7" s="258">
        <f t="shared" si="8"/>
        <v>2.472888596779498</v>
      </c>
      <c r="L7" s="259">
        <f t="shared" si="9"/>
        <v>-6.9066115587199772E-2</v>
      </c>
      <c r="M7" s="259">
        <f t="shared" si="10"/>
        <v>0.11852388752278953</v>
      </c>
      <c r="N7" s="20">
        <f t="shared" si="14"/>
        <v>0</v>
      </c>
      <c r="O7" s="14" t="str">
        <f t="shared" si="12"/>
        <v>Ninewells</v>
      </c>
      <c r="P7" s="14" t="s">
        <v>126</v>
      </c>
      <c r="Q7" s="430">
        <v>122</v>
      </c>
      <c r="R7" s="430">
        <v>136</v>
      </c>
      <c r="S7" s="430">
        <v>165</v>
      </c>
      <c r="T7" s="430">
        <v>179</v>
      </c>
    </row>
    <row r="8" spans="1:20" ht="12">
      <c r="A8" s="14" t="str">
        <f t="shared" si="13"/>
        <v>Crosshouse</v>
      </c>
      <c r="B8" s="15">
        <f t="shared" si="0"/>
        <v>85.549132947976886</v>
      </c>
      <c r="C8" s="15">
        <f t="shared" si="1"/>
        <v>87.356321839080465</v>
      </c>
      <c r="D8" s="17">
        <f>80</f>
        <v>80</v>
      </c>
      <c r="E8" s="17">
        <f t="shared" si="2"/>
        <v>80</v>
      </c>
      <c r="F8" s="17">
        <f t="shared" si="3"/>
        <v>90</v>
      </c>
      <c r="G8" s="17">
        <f t="shared" si="4"/>
        <v>82</v>
      </c>
      <c r="H8" s="17">
        <f t="shared" si="5"/>
        <v>92</v>
      </c>
      <c r="I8" s="21" t="str">
        <f t="shared" si="6"/>
        <v>80 - 90</v>
      </c>
      <c r="J8" s="19" t="str">
        <f t="shared" si="7"/>
        <v>82 - 92</v>
      </c>
      <c r="K8" s="258">
        <f t="shared" si="8"/>
        <v>1.8071888911035785</v>
      </c>
      <c r="L8" s="259">
        <f t="shared" si="9"/>
        <v>-8.668406584717972E-2</v>
      </c>
      <c r="M8" s="259">
        <f t="shared" si="10"/>
        <v>0.1228278436692514</v>
      </c>
      <c r="N8" s="20">
        <f t="shared" si="14"/>
        <v>0</v>
      </c>
      <c r="O8" s="14" t="str">
        <f t="shared" si="12"/>
        <v>Crosshouse</v>
      </c>
      <c r="P8" s="14" t="s">
        <v>62</v>
      </c>
      <c r="Q8" s="430">
        <v>148</v>
      </c>
      <c r="R8" s="430">
        <v>173</v>
      </c>
      <c r="S8" s="430">
        <v>152</v>
      </c>
      <c r="T8" s="430">
        <v>174</v>
      </c>
    </row>
    <row r="9" spans="1:20" ht="12">
      <c r="A9" s="14" t="str">
        <f t="shared" si="13"/>
        <v>Borders</v>
      </c>
      <c r="B9" s="15">
        <f t="shared" si="0"/>
        <v>89.87341772151899</v>
      </c>
      <c r="C9" s="15">
        <f t="shared" si="1"/>
        <v>86.956521739130437</v>
      </c>
      <c r="D9" s="17">
        <f>80</f>
        <v>80</v>
      </c>
      <c r="E9" s="17">
        <f t="shared" si="2"/>
        <v>84</v>
      </c>
      <c r="F9" s="17">
        <f t="shared" si="3"/>
        <v>94</v>
      </c>
      <c r="G9" s="17">
        <f t="shared" si="4"/>
        <v>80</v>
      </c>
      <c r="H9" s="17">
        <f t="shared" si="5"/>
        <v>92</v>
      </c>
      <c r="I9" s="21" t="str">
        <f t="shared" si="6"/>
        <v>84 - 94</v>
      </c>
      <c r="J9" s="19" t="str">
        <f t="shared" si="7"/>
        <v>80 - 92</v>
      </c>
      <c r="K9" s="258">
        <f t="shared" si="8"/>
        <v>-2.916895982388553</v>
      </c>
      <c r="L9" s="259">
        <f t="shared" si="9"/>
        <v>-0.13579245423247405</v>
      </c>
      <c r="M9" s="259">
        <f t="shared" si="10"/>
        <v>7.745453458470293E-2</v>
      </c>
      <c r="N9" s="20">
        <f t="shared" si="14"/>
        <v>0</v>
      </c>
      <c r="O9" s="14" t="str">
        <f t="shared" si="12"/>
        <v>Borders</v>
      </c>
      <c r="P9" s="14" t="s">
        <v>65</v>
      </c>
      <c r="Q9" s="430">
        <v>142</v>
      </c>
      <c r="R9" s="430">
        <v>158</v>
      </c>
      <c r="S9" s="430">
        <v>120</v>
      </c>
      <c r="T9" s="430">
        <v>138</v>
      </c>
    </row>
    <row r="10" spans="1:20" ht="12">
      <c r="A10" s="14" t="str">
        <f t="shared" si="13"/>
        <v>Wishaw</v>
      </c>
      <c r="B10" s="15">
        <f t="shared" si="0"/>
        <v>93.233082706766908</v>
      </c>
      <c r="C10" s="15">
        <f t="shared" si="1"/>
        <v>86.470588235294116</v>
      </c>
      <c r="D10" s="17">
        <f>80</f>
        <v>80</v>
      </c>
      <c r="E10" s="17">
        <f t="shared" si="2"/>
        <v>88</v>
      </c>
      <c r="F10" s="17">
        <f t="shared" si="3"/>
        <v>96</v>
      </c>
      <c r="G10" s="17">
        <f t="shared" si="4"/>
        <v>81</v>
      </c>
      <c r="H10" s="17">
        <f t="shared" si="5"/>
        <v>91</v>
      </c>
      <c r="I10" s="21" t="str">
        <f t="shared" si="6"/>
        <v>88 - 96</v>
      </c>
      <c r="J10" s="19" t="str">
        <f t="shared" si="7"/>
        <v>81 - 91</v>
      </c>
      <c r="K10" s="258">
        <f t="shared" si="8"/>
        <v>-6.7624944714727917</v>
      </c>
      <c r="L10" s="259">
        <f t="shared" si="9"/>
        <v>-0.16485839761602833</v>
      </c>
      <c r="M10" s="259">
        <f t="shared" si="10"/>
        <v>2.9608508186572527E-2</v>
      </c>
      <c r="N10" s="20">
        <f t="shared" si="14"/>
        <v>0</v>
      </c>
      <c r="O10" s="14" t="str">
        <f t="shared" si="12"/>
        <v>Wishaw</v>
      </c>
      <c r="P10" s="14" t="s">
        <v>109</v>
      </c>
      <c r="Q10" s="430">
        <v>124</v>
      </c>
      <c r="R10" s="430">
        <v>133</v>
      </c>
      <c r="S10" s="430">
        <v>147</v>
      </c>
      <c r="T10" s="430">
        <v>170</v>
      </c>
    </row>
    <row r="11" spans="1:20" ht="12">
      <c r="A11" s="14" t="str">
        <f t="shared" si="13"/>
        <v>Hairmyres</v>
      </c>
      <c r="B11" s="15">
        <f t="shared" si="0"/>
        <v>86.757990867579906</v>
      </c>
      <c r="C11" s="15">
        <f t="shared" si="1"/>
        <v>85.520361990950221</v>
      </c>
      <c r="D11" s="17">
        <f>80</f>
        <v>80</v>
      </c>
      <c r="E11" s="17">
        <f t="shared" si="2"/>
        <v>82</v>
      </c>
      <c r="F11" s="17">
        <f t="shared" si="3"/>
        <v>91</v>
      </c>
      <c r="G11" s="17">
        <f t="shared" si="4"/>
        <v>80</v>
      </c>
      <c r="H11" s="17">
        <f t="shared" si="5"/>
        <v>90</v>
      </c>
      <c r="I11" s="21" t="str">
        <f t="shared" si="6"/>
        <v>82 - 91</v>
      </c>
      <c r="J11" s="19" t="str">
        <f t="shared" si="7"/>
        <v>80 - 90</v>
      </c>
      <c r="K11" s="258">
        <f t="shared" si="8"/>
        <v>-1.2376288766296852</v>
      </c>
      <c r="L11" s="259">
        <f t="shared" si="9"/>
        <v>-0.10630729183508902</v>
      </c>
      <c r="M11" s="259">
        <f t="shared" si="10"/>
        <v>8.155471430249539E-2</v>
      </c>
      <c r="N11" s="20">
        <f t="shared" si="14"/>
        <v>0</v>
      </c>
      <c r="O11" s="14" t="str">
        <f t="shared" si="12"/>
        <v>Hairmyres</v>
      </c>
      <c r="P11" s="14" t="s">
        <v>103</v>
      </c>
      <c r="Q11" s="430">
        <v>190</v>
      </c>
      <c r="R11" s="430">
        <v>219</v>
      </c>
      <c r="S11" s="430">
        <v>189</v>
      </c>
      <c r="T11" s="430">
        <v>221</v>
      </c>
    </row>
    <row r="12" spans="1:20" ht="12">
      <c r="A12" s="14" t="str">
        <f t="shared" si="13"/>
        <v>VHK</v>
      </c>
      <c r="B12" s="15">
        <f t="shared" si="0"/>
        <v>88.212927756653997</v>
      </c>
      <c r="C12" s="15">
        <f t="shared" si="1"/>
        <v>85.304659498207883</v>
      </c>
      <c r="D12" s="17">
        <f>80</f>
        <v>80</v>
      </c>
      <c r="E12" s="17">
        <f t="shared" si="2"/>
        <v>84</v>
      </c>
      <c r="F12" s="17">
        <f t="shared" si="3"/>
        <v>92</v>
      </c>
      <c r="G12" s="17">
        <f t="shared" si="4"/>
        <v>81</v>
      </c>
      <c r="H12" s="17">
        <f t="shared" si="5"/>
        <v>89</v>
      </c>
      <c r="I12" s="21" t="str">
        <f t="shared" si="6"/>
        <v>84 - 92</v>
      </c>
      <c r="J12" s="19" t="str">
        <f t="shared" si="7"/>
        <v>81 - 89</v>
      </c>
      <c r="K12" s="258">
        <f t="shared" si="8"/>
        <v>-2.9082682584461139</v>
      </c>
      <c r="L12" s="259">
        <f t="shared" si="9"/>
        <v>-0.11196354770696174</v>
      </c>
      <c r="M12" s="259">
        <f t="shared" si="10"/>
        <v>5.3798182538039502E-2</v>
      </c>
      <c r="N12" s="20">
        <f t="shared" si="14"/>
        <v>0</v>
      </c>
      <c r="O12" s="14" t="str">
        <f t="shared" si="12"/>
        <v>VHK</v>
      </c>
      <c r="P12" s="14" t="s">
        <v>287</v>
      </c>
      <c r="Q12" s="430">
        <v>232</v>
      </c>
      <c r="R12" s="430">
        <v>263</v>
      </c>
      <c r="S12" s="430">
        <v>238</v>
      </c>
      <c r="T12" s="430">
        <v>279</v>
      </c>
    </row>
    <row r="13" spans="1:20" ht="12">
      <c r="A13" s="14" t="str">
        <f t="shared" si="13"/>
        <v>DGRI</v>
      </c>
      <c r="B13" s="15">
        <f t="shared" si="0"/>
        <v>84.659090909090907</v>
      </c>
      <c r="C13" s="15">
        <f t="shared" si="1"/>
        <v>84.816753926701566</v>
      </c>
      <c r="D13" s="17">
        <f>80</f>
        <v>80</v>
      </c>
      <c r="E13" s="17">
        <f t="shared" si="2"/>
        <v>79</v>
      </c>
      <c r="F13" s="17">
        <f t="shared" si="3"/>
        <v>89</v>
      </c>
      <c r="G13" s="17">
        <f t="shared" si="4"/>
        <v>79</v>
      </c>
      <c r="H13" s="17">
        <f t="shared" si="5"/>
        <v>89</v>
      </c>
      <c r="I13" s="21" t="str">
        <f t="shared" si="6"/>
        <v>79 - 89</v>
      </c>
      <c r="J13" s="19" t="str">
        <f t="shared" si="7"/>
        <v>79 - 89</v>
      </c>
      <c r="K13" s="258">
        <f t="shared" si="8"/>
        <v>0.15766301761065904</v>
      </c>
      <c r="L13" s="259">
        <f t="shared" si="9"/>
        <v>-0.10558884019032638</v>
      </c>
      <c r="M13" s="259">
        <f t="shared" si="10"/>
        <v>0.10874210054253969</v>
      </c>
      <c r="N13" s="20">
        <f t="shared" si="14"/>
        <v>0</v>
      </c>
      <c r="O13" s="14" t="str">
        <f t="shared" si="12"/>
        <v>DGRI</v>
      </c>
      <c r="P13" s="14" t="s">
        <v>67</v>
      </c>
      <c r="Q13" s="430">
        <v>149</v>
      </c>
      <c r="R13" s="430">
        <v>176</v>
      </c>
      <c r="S13" s="430">
        <v>162</v>
      </c>
      <c r="T13" s="430">
        <v>191</v>
      </c>
    </row>
    <row r="14" spans="1:20" ht="12">
      <c r="A14" s="14" t="str">
        <f t="shared" si="13"/>
        <v>Monklands</v>
      </c>
      <c r="B14" s="15">
        <f t="shared" si="0"/>
        <v>83.333333333333343</v>
      </c>
      <c r="C14" s="15">
        <f t="shared" si="1"/>
        <v>84.615384615384613</v>
      </c>
      <c r="D14" s="17">
        <f>80</f>
        <v>80</v>
      </c>
      <c r="E14" s="17">
        <f t="shared" si="2"/>
        <v>77</v>
      </c>
      <c r="F14" s="17">
        <f t="shared" si="3"/>
        <v>88</v>
      </c>
      <c r="G14" s="17">
        <f t="shared" si="4"/>
        <v>78</v>
      </c>
      <c r="H14" s="17">
        <f t="shared" si="5"/>
        <v>90</v>
      </c>
      <c r="I14" s="21" t="str">
        <f t="shared" si="6"/>
        <v>77 - 88</v>
      </c>
      <c r="J14" s="19" t="str">
        <f t="shared" si="7"/>
        <v>78 - 90</v>
      </c>
      <c r="K14" s="258">
        <f t="shared" si="8"/>
        <v>1.2820512820512704</v>
      </c>
      <c r="L14" s="259">
        <f t="shared" si="9"/>
        <v>-0.10707786744868453</v>
      </c>
      <c r="M14" s="259">
        <f t="shared" si="10"/>
        <v>0.13271889308971008</v>
      </c>
      <c r="N14" s="20">
        <f t="shared" si="14"/>
        <v>0</v>
      </c>
      <c r="O14" s="14" t="str">
        <f t="shared" si="12"/>
        <v>Monklands</v>
      </c>
      <c r="P14" s="14" t="s">
        <v>106</v>
      </c>
      <c r="Q14" s="430">
        <v>135</v>
      </c>
      <c r="R14" s="430">
        <v>162</v>
      </c>
      <c r="S14" s="430">
        <v>121</v>
      </c>
      <c r="T14" s="430">
        <v>143</v>
      </c>
    </row>
    <row r="15" spans="1:20" ht="12">
      <c r="A15" s="14" t="str">
        <f t="shared" si="13"/>
        <v>SJH</v>
      </c>
      <c r="B15" s="15">
        <f t="shared" si="0"/>
        <v>79.464285714285708</v>
      </c>
      <c r="C15" s="15">
        <f t="shared" si="1"/>
        <v>81.097560975609767</v>
      </c>
      <c r="D15" s="17">
        <f>80</f>
        <v>80</v>
      </c>
      <c r="E15" s="17">
        <f t="shared" si="2"/>
        <v>74</v>
      </c>
      <c r="F15" s="17">
        <f t="shared" si="3"/>
        <v>84</v>
      </c>
      <c r="G15" s="17">
        <f t="shared" si="4"/>
        <v>74</v>
      </c>
      <c r="H15" s="17">
        <f t="shared" si="5"/>
        <v>86</v>
      </c>
      <c r="I15" s="21" t="str">
        <f t="shared" si="6"/>
        <v>74 - 84</v>
      </c>
      <c r="J15" s="19" t="str">
        <f t="shared" si="7"/>
        <v>74 - 86</v>
      </c>
      <c r="K15" s="258">
        <f t="shared" si="8"/>
        <v>1.6332752613240586</v>
      </c>
      <c r="L15" s="259">
        <f t="shared" si="9"/>
        <v>-9.9969581900352433E-2</v>
      </c>
      <c r="M15" s="259">
        <f t="shared" si="10"/>
        <v>0.13263508712683347</v>
      </c>
      <c r="N15" s="20">
        <f t="shared" si="14"/>
        <v>0</v>
      </c>
      <c r="O15" s="14" t="str">
        <f t="shared" si="12"/>
        <v>SJH</v>
      </c>
      <c r="P15" s="14" t="s">
        <v>114</v>
      </c>
      <c r="Q15" s="430">
        <v>178</v>
      </c>
      <c r="R15" s="430">
        <v>224</v>
      </c>
      <c r="S15" s="430">
        <v>133</v>
      </c>
      <c r="T15" s="430">
        <v>164</v>
      </c>
    </row>
    <row r="16" spans="1:20" ht="12">
      <c r="A16" s="14" t="str">
        <f t="shared" si="13"/>
        <v>L&amp;I</v>
      </c>
      <c r="B16" s="15">
        <f t="shared" si="0"/>
        <v>67.391304347826093</v>
      </c>
      <c r="C16" s="15">
        <f t="shared" si="1"/>
        <v>78.378378378378372</v>
      </c>
      <c r="D16" s="17">
        <f>80</f>
        <v>80</v>
      </c>
      <c r="E16" s="17">
        <f t="shared" si="2"/>
        <v>53</v>
      </c>
      <c r="F16" s="17">
        <f t="shared" si="3"/>
        <v>79</v>
      </c>
      <c r="G16" s="17">
        <f t="shared" si="4"/>
        <v>63</v>
      </c>
      <c r="H16" s="17">
        <f t="shared" si="5"/>
        <v>89</v>
      </c>
      <c r="I16" s="21" t="str">
        <f t="shared" si="6"/>
        <v>53 - 79</v>
      </c>
      <c r="J16" s="19" t="str">
        <f t="shared" si="7"/>
        <v>63 - 89</v>
      </c>
      <c r="K16" s="258">
        <f t="shared" si="8"/>
        <v>10.987074030552279</v>
      </c>
      <c r="L16" s="259">
        <f t="shared" si="9"/>
        <v>-0.16599090694266783</v>
      </c>
      <c r="M16" s="259">
        <f t="shared" si="10"/>
        <v>0.38573238755371364</v>
      </c>
      <c r="N16" s="20">
        <f t="shared" si="14"/>
        <v>0</v>
      </c>
      <c r="O16" s="14" t="str">
        <f t="shared" si="12"/>
        <v>L&amp;I</v>
      </c>
      <c r="P16" s="14" t="s">
        <v>97</v>
      </c>
      <c r="Q16" s="430">
        <v>31</v>
      </c>
      <c r="R16" s="430">
        <v>46</v>
      </c>
      <c r="S16" s="430">
        <v>29</v>
      </c>
      <c r="T16" s="430">
        <v>37</v>
      </c>
    </row>
    <row r="17" spans="1:23" ht="12">
      <c r="A17" s="14" t="str">
        <f t="shared" si="13"/>
        <v>Raigmore</v>
      </c>
      <c r="B17" s="15">
        <f t="shared" si="0"/>
        <v>89.00709219858156</v>
      </c>
      <c r="C17" s="15">
        <f t="shared" si="1"/>
        <v>75.925925925925924</v>
      </c>
      <c r="D17" s="17">
        <f>80</f>
        <v>80</v>
      </c>
      <c r="E17" s="17">
        <f t="shared" si="2"/>
        <v>85</v>
      </c>
      <c r="F17" s="17">
        <f t="shared" si="3"/>
        <v>92</v>
      </c>
      <c r="G17" s="17">
        <f t="shared" si="4"/>
        <v>71</v>
      </c>
      <c r="H17" s="17">
        <f t="shared" si="5"/>
        <v>80</v>
      </c>
      <c r="I17" s="21" t="str">
        <f t="shared" si="6"/>
        <v>85 - 92</v>
      </c>
      <c r="J17" s="19" t="str">
        <f t="shared" si="7"/>
        <v>71 - 80</v>
      </c>
      <c r="K17" s="258">
        <f t="shared" si="8"/>
        <v>-13.081166272655636</v>
      </c>
      <c r="L17" s="259">
        <f t="shared" si="9"/>
        <v>-0.21689115027118305</v>
      </c>
      <c r="M17" s="259">
        <f t="shared" si="10"/>
        <v>-4.4732175181929554E-2</v>
      </c>
      <c r="N17" s="20">
        <f t="shared" si="14"/>
        <v>-1</v>
      </c>
      <c r="O17" s="14" t="str">
        <f t="shared" si="12"/>
        <v>Raigmore</v>
      </c>
      <c r="P17" s="14" t="s">
        <v>100</v>
      </c>
      <c r="Q17" s="430">
        <v>251</v>
      </c>
      <c r="R17" s="430">
        <v>282</v>
      </c>
      <c r="S17" s="430">
        <v>246</v>
      </c>
      <c r="T17" s="430">
        <v>324</v>
      </c>
    </row>
    <row r="18" spans="1:23" ht="12">
      <c r="A18" s="14" t="str">
        <f t="shared" si="13"/>
        <v>ARI</v>
      </c>
      <c r="B18" s="15">
        <f t="shared" si="0"/>
        <v>62.5</v>
      </c>
      <c r="C18" s="15">
        <f t="shared" si="1"/>
        <v>69.742489270386272</v>
      </c>
      <c r="D18" s="17">
        <f>80</f>
        <v>80</v>
      </c>
      <c r="E18" s="17">
        <f t="shared" si="2"/>
        <v>58</v>
      </c>
      <c r="F18" s="17">
        <f t="shared" si="3"/>
        <v>67</v>
      </c>
      <c r="G18" s="17">
        <f t="shared" si="4"/>
        <v>65</v>
      </c>
      <c r="H18" s="17">
        <f t="shared" si="5"/>
        <v>74</v>
      </c>
      <c r="I18" s="21" t="str">
        <f t="shared" si="6"/>
        <v>58 - 67</v>
      </c>
      <c r="J18" s="19" t="str">
        <f t="shared" si="7"/>
        <v>65 - 74</v>
      </c>
      <c r="K18" s="258">
        <f t="shared" si="8"/>
        <v>7.2424892703862724</v>
      </c>
      <c r="L18" s="259">
        <f t="shared" si="9"/>
        <v>-1.6246891010354217E-2</v>
      </c>
      <c r="M18" s="259">
        <f t="shared" si="10"/>
        <v>0.16109667641807951</v>
      </c>
      <c r="N18" s="20">
        <f t="shared" si="14"/>
        <v>0</v>
      </c>
      <c r="O18" s="14" t="str">
        <f t="shared" si="12"/>
        <v>ARI</v>
      </c>
      <c r="P18" s="14" t="s">
        <v>77</v>
      </c>
      <c r="Q18" s="430">
        <v>285</v>
      </c>
      <c r="R18" s="430">
        <v>456</v>
      </c>
      <c r="S18" s="430">
        <v>325</v>
      </c>
      <c r="T18" s="430">
        <v>466</v>
      </c>
    </row>
    <row r="19" spans="1:23" ht="12">
      <c r="A19" s="14" t="str">
        <f t="shared" si="13"/>
        <v>PRI</v>
      </c>
      <c r="B19" s="15">
        <f t="shared" si="0"/>
        <v>75</v>
      </c>
      <c r="C19" s="15">
        <f t="shared" si="1"/>
        <v>67.32673267326733</v>
      </c>
      <c r="D19" s="17">
        <f>80</f>
        <v>80</v>
      </c>
      <c r="E19" s="17">
        <f t="shared" si="2"/>
        <v>66</v>
      </c>
      <c r="F19" s="17">
        <f t="shared" si="3"/>
        <v>82</v>
      </c>
      <c r="G19" s="17">
        <f t="shared" si="4"/>
        <v>58</v>
      </c>
      <c r="H19" s="17">
        <f t="shared" si="5"/>
        <v>76</v>
      </c>
      <c r="I19" s="21" t="str">
        <f t="shared" si="6"/>
        <v>66 - 82</v>
      </c>
      <c r="J19" s="19" t="str">
        <f t="shared" si="7"/>
        <v>58 - 76</v>
      </c>
      <c r="K19" s="258">
        <f t="shared" si="8"/>
        <v>-7.6732673267326703</v>
      </c>
      <c r="L19" s="259">
        <f t="shared" si="9"/>
        <v>-0.25239684964757247</v>
      </c>
      <c r="M19" s="259">
        <f t="shared" si="10"/>
        <v>9.8931503112919122E-2</v>
      </c>
      <c r="N19" s="20">
        <f t="shared" si="14"/>
        <v>0</v>
      </c>
      <c r="O19" s="14" t="str">
        <f t="shared" si="12"/>
        <v>PRI</v>
      </c>
      <c r="P19" s="14" t="s">
        <v>129</v>
      </c>
      <c r="Q19" s="430">
        <v>87</v>
      </c>
      <c r="R19" s="430">
        <v>116</v>
      </c>
      <c r="S19" s="430">
        <v>68</v>
      </c>
      <c r="T19" s="430">
        <v>101</v>
      </c>
    </row>
    <row r="20" spans="1:23" ht="12">
      <c r="A20" s="14" t="str">
        <f t="shared" si="13"/>
        <v>Dr Grays</v>
      </c>
      <c r="B20" s="15">
        <f t="shared" si="0"/>
        <v>60.526315789473685</v>
      </c>
      <c r="C20" s="15">
        <f t="shared" si="1"/>
        <v>67.307692307692307</v>
      </c>
      <c r="D20" s="17">
        <f>80</f>
        <v>80</v>
      </c>
      <c r="E20" s="17">
        <f t="shared" si="2"/>
        <v>45</v>
      </c>
      <c r="F20" s="17">
        <f t="shared" si="3"/>
        <v>74</v>
      </c>
      <c r="G20" s="17">
        <f t="shared" si="4"/>
        <v>54</v>
      </c>
      <c r="H20" s="17">
        <f t="shared" si="5"/>
        <v>78</v>
      </c>
      <c r="I20" s="21" t="str">
        <f t="shared" si="6"/>
        <v>45 - 74</v>
      </c>
      <c r="J20" s="19" t="str">
        <f t="shared" si="7"/>
        <v>54 - 78</v>
      </c>
      <c r="K20" s="258">
        <f t="shared" si="8"/>
        <v>6.7813765182186216</v>
      </c>
      <c r="L20" s="259">
        <f t="shared" si="9"/>
        <v>-0.22466844064364933</v>
      </c>
      <c r="M20" s="259">
        <f t="shared" si="10"/>
        <v>0.36029597100802191</v>
      </c>
      <c r="N20" s="20">
        <f t="shared" si="14"/>
        <v>0</v>
      </c>
      <c r="O20" s="14" t="str">
        <f t="shared" si="12"/>
        <v>Dr Grays</v>
      </c>
      <c r="P20" s="14" t="s">
        <v>79</v>
      </c>
      <c r="Q20" s="430">
        <v>23</v>
      </c>
      <c r="R20" s="430">
        <v>38</v>
      </c>
      <c r="S20" s="430">
        <v>35</v>
      </c>
      <c r="T20" s="430">
        <v>52</v>
      </c>
    </row>
    <row r="21" spans="1:23" ht="12">
      <c r="A21" s="14" t="str">
        <f t="shared" si="13"/>
        <v>Western Isles</v>
      </c>
      <c r="B21" s="15">
        <f t="shared" si="0"/>
        <v>85.714285714285708</v>
      </c>
      <c r="C21" s="15">
        <f t="shared" si="1"/>
        <v>66.666666666666657</v>
      </c>
      <c r="D21" s="17">
        <f>80</f>
        <v>80</v>
      </c>
      <c r="E21" s="17">
        <f t="shared" si="2"/>
        <v>49</v>
      </c>
      <c r="F21" s="17">
        <f t="shared" si="3"/>
        <v>97</v>
      </c>
      <c r="G21" s="17">
        <f t="shared" si="4"/>
        <v>42</v>
      </c>
      <c r="H21" s="17">
        <f t="shared" si="5"/>
        <v>85</v>
      </c>
      <c r="I21" s="21" t="str">
        <f t="shared" si="6"/>
        <v>49 - 97</v>
      </c>
      <c r="J21" s="19" t="str">
        <f t="shared" si="7"/>
        <v>42 - 85</v>
      </c>
      <c r="K21" s="258">
        <f t="shared" si="8"/>
        <v>-19.047619047619051</v>
      </c>
      <c r="L21" s="259">
        <f t="shared" si="9"/>
        <v>-0.70305947413822811</v>
      </c>
      <c r="M21" s="259">
        <f t="shared" si="10"/>
        <v>0.32210709318584718</v>
      </c>
      <c r="N21" s="20">
        <f t="shared" si="14"/>
        <v>0</v>
      </c>
      <c r="O21" s="14" t="str">
        <f t="shared" si="12"/>
        <v>Western Isles</v>
      </c>
      <c r="P21" s="14" t="s">
        <v>135</v>
      </c>
      <c r="Q21" s="430">
        <v>6</v>
      </c>
      <c r="R21" s="430">
        <v>7</v>
      </c>
      <c r="S21" s="430">
        <v>10</v>
      </c>
      <c r="T21" s="430">
        <v>15</v>
      </c>
    </row>
    <row r="22" spans="1:23" ht="12">
      <c r="A22" s="14" t="str">
        <f t="shared" si="13"/>
        <v>QMH</v>
      </c>
      <c r="B22" s="15">
        <f t="shared" si="0"/>
        <v>61.748633879781423</v>
      </c>
      <c r="C22" s="15">
        <f t="shared" si="1"/>
        <v>55.865921787709496</v>
      </c>
      <c r="D22" s="17">
        <f>80</f>
        <v>80</v>
      </c>
      <c r="E22" s="17">
        <f t="shared" si="2"/>
        <v>55</v>
      </c>
      <c r="F22" s="17">
        <f t="shared" si="3"/>
        <v>68</v>
      </c>
      <c r="G22" s="17">
        <f t="shared" si="4"/>
        <v>49</v>
      </c>
      <c r="H22" s="17">
        <f t="shared" si="5"/>
        <v>63</v>
      </c>
      <c r="I22" s="21" t="str">
        <f t="shared" si="6"/>
        <v>55 - 68</v>
      </c>
      <c r="J22" s="19" t="str">
        <f t="shared" si="7"/>
        <v>49 - 63</v>
      </c>
      <c r="K22" s="258">
        <f t="shared" si="8"/>
        <v>-5.8827120920719267</v>
      </c>
      <c r="L22" s="259">
        <f t="shared" si="9"/>
        <v>-0.20613133631115835</v>
      </c>
      <c r="M22" s="259">
        <f t="shared" si="10"/>
        <v>8.8477094469719769E-2</v>
      </c>
      <c r="N22" s="20">
        <f t="shared" si="14"/>
        <v>0</v>
      </c>
      <c r="O22" s="14" t="str">
        <f t="shared" si="12"/>
        <v>QMH</v>
      </c>
      <c r="P22" s="14" t="s">
        <v>174</v>
      </c>
      <c r="Q22" s="430">
        <v>113</v>
      </c>
      <c r="R22" s="430">
        <v>183</v>
      </c>
      <c r="S22" s="430">
        <v>100</v>
      </c>
      <c r="T22" s="430">
        <v>179</v>
      </c>
    </row>
    <row r="23" spans="1:23" ht="12">
      <c r="A23" s="14" t="str">
        <f t="shared" si="13"/>
        <v>Balfour</v>
      </c>
      <c r="B23" s="15" t="e">
        <f t="shared" si="0"/>
        <v>#DIV/0!</v>
      </c>
      <c r="C23" s="15">
        <f t="shared" si="1"/>
        <v>0</v>
      </c>
      <c r="D23" s="17">
        <f>80</f>
        <v>80</v>
      </c>
      <c r="E23" s="17" t="e">
        <f t="shared" si="2"/>
        <v>#DIV/0!</v>
      </c>
      <c r="F23" s="17" t="e">
        <f t="shared" si="3"/>
        <v>#DIV/0!</v>
      </c>
      <c r="G23" s="17">
        <f t="shared" si="4"/>
        <v>0</v>
      </c>
      <c r="H23" s="17">
        <f t="shared" si="5"/>
        <v>79</v>
      </c>
      <c r="I23" s="21" t="e">
        <f t="shared" si="6"/>
        <v>#DIV/0!</v>
      </c>
      <c r="J23" s="19" t="str">
        <f t="shared" si="7"/>
        <v>0 - 79</v>
      </c>
      <c r="K23" s="258" t="e">
        <f t="shared" si="8"/>
        <v>#DIV/0!</v>
      </c>
      <c r="L23" s="259" t="e">
        <f t="shared" si="9"/>
        <v>#DIV/0!</v>
      </c>
      <c r="M23" s="259" t="e">
        <f t="shared" si="10"/>
        <v>#DIV/0!</v>
      </c>
      <c r="N23" s="20" t="str">
        <f t="shared" si="14"/>
        <v/>
      </c>
      <c r="O23" s="14" t="str">
        <f t="shared" si="12"/>
        <v>Balfour</v>
      </c>
      <c r="P23" s="14" t="s">
        <v>120</v>
      </c>
      <c r="Q23" s="430"/>
      <c r="R23" s="430"/>
      <c r="S23" s="430">
        <v>0</v>
      </c>
      <c r="T23" s="430">
        <v>1</v>
      </c>
    </row>
    <row r="24" spans="1:23" ht="12">
      <c r="A24" s="14" t="str">
        <f t="shared" si="13"/>
        <v>Stracathro</v>
      </c>
      <c r="B24" s="15">
        <f t="shared" ref="B24" si="15">Q24/R24*100</f>
        <v>46.268656716417908</v>
      </c>
      <c r="C24" s="15" t="e">
        <f t="shared" ref="C24" si="16">S24/T24*100</f>
        <v>#DIV/0!</v>
      </c>
      <c r="D24" s="17">
        <f>80</f>
        <v>80</v>
      </c>
      <c r="E24" s="17">
        <f t="shared" ref="E24" si="17">SUM(1*MID(I24,1,FIND(" - ",I24)-1))</f>
        <v>35</v>
      </c>
      <c r="F24" s="17">
        <f t="shared" ref="F24" si="18">SUM(1*MID(I24,FIND(" - ",I24)+2,LEN(I24)))</f>
        <v>58</v>
      </c>
      <c r="G24" s="17" t="e">
        <f t="shared" ref="G24" si="19">SUM(1*MID(J24,1,FIND(" - ",J24)-1))</f>
        <v>#DIV/0!</v>
      </c>
      <c r="H24" s="17" t="e">
        <f t="shared" ref="H24" si="20">SUM(1*MID(J24,FIND(" - ",J24)+2,LEN(J24)))</f>
        <v>#DIV/0!</v>
      </c>
      <c r="I24" s="21" t="str">
        <f t="shared" ref="I24" si="21">IF(AND(R24&gt;0,ROUND(SUM(100*((2*Q24+1.96^2)-(1.96*(SQRT(1.96^2+4*Q24*(1-(Q24/R24))))))/(2*(R24+1.96^2))),0)&lt;0),CONCATENATE(SUM(1*0)," - ",ROUND(SUM(100*((2*Q24+1.96^2)+(1.96*(SQRT(1.96^2+4*Q24*(1-(Q24/R24))))))/(2*(R24+1.96^2))),0)),IF(AND(R24&gt;0,ROUND(SUM(100*((2*Q24+1.96^2)-(1.96*(SQRT(1.96^2+4*Q24*(1-(Q24/R24))))))/(2*(R24+1.96^2))),0)&gt;=0),CONCATENATE(ROUND(SUM(100*((2*Q24+1.96^2)-(1.96*(SQRT(1.96^2+4*Q24*(1-(Q24/R24))))))/(2*(R24+1.96^2))),0)," - ",ROUND(SUM(100*((2*Q24+1.96^2)+(1.96*(SQRT(1.96^2+4*Q24*(1-(Q24/R24))))))/(2*(R24+1.96^2))),0)),""))</f>
        <v>35 - 58</v>
      </c>
      <c r="J24" s="19" t="e">
        <f t="shared" ref="J24" si="22">IF(AND(T24&gt;0,ROUND(SUM(100*((2*S24+1.96^2)-(1.96*(SQRT(1.96^2+4*S24*(1-(S24/T24))))))/(2*(T24+1.96^2))),0)&lt;0),CONCATENATE(SUM(1*0)," - ",ROUND(SUM(100*((2*S24+1.96^2)+(1.96*(SQRT(1.96^2+4*S24*(1-(S24/T24))))))/(2*(T24+1.96^2))),0)),IF(AND(T24&gt;0,ROUND(SUM(100*((2*S24+1.96^2)-(1.96*(SQRT(1.96^2+4*S24*(1-(S24/T24))))))/(2*(T24+1.96^2))),0)&gt;=0),CONCATENATE(ROUND(SUM(100*((2*S24+1.96^2)-(1.96*(SQRT(1.96^2+4*S24*(1-(S24/T24))))))/(2*(T24+1.96^2))),0)," - ",ROUND(SUM(100*((2*S24+1.96^2)+(1.96*(SQRT(1.96^2+4*S24*(1-(S24/T24))))))/(2*(T24+1.96^2))),0)),""))</f>
        <v>#DIV/0!</v>
      </c>
      <c r="K24" s="258" t="e">
        <f t="shared" ref="K24" si="23">C24-B24</f>
        <v>#DIV/0!</v>
      </c>
      <c r="L24" s="259" t="e">
        <f t="shared" ref="L24" si="24">((S24/T24)-(Q24/R24))-(NORMSINV(1-(0.05/COUNTA($O$3:$O$34)))*(SQRT((((Q24/R24)*(1-(Q24/R24)))/R24)+(((S24/T24)*(1-(S24/T24)))/T24))))</f>
        <v>#DIV/0!</v>
      </c>
      <c r="M24" s="259" t="e">
        <f t="shared" ref="M24" si="25">((S24/T24)-(Q24/R24))+(NORMSINV(1-(0.05/COUNTA($O$3:$O$34)))*(SQRT((((Q24/R24)*(1-(Q24/R24)))/R24)+(((S24/T24)*(1-(S24/T24)))/T24))))</f>
        <v>#DIV/0!</v>
      </c>
      <c r="N24" s="20" t="str">
        <f t="shared" ref="N24" si="26">IF(ISERR(IF(AND(((S24/T24)-(Q24/R24))-(NORMSINV(1-(0.05/COUNTA($P$3:$P$21)))*(SQRT((((Q24/R24)*(1-(Q24/R24)))/R24)+(((S24/T24)*(1-(S24/T24)))/T24))))&gt;0,((S24/T24)-(Q24/R24))+(NORMSINV(1-(0.05/COUNTA($P$3:$P$21)))*(SQRT((((Q24/R24)*(1-(Q24/R24)))/R24)+(((S24/T24)*(1-(S24/T24)))/T24))))&gt;0),1,IF(AND(((S24/T24)-(Q24/R24))-(NORMSINV(1-(0.05/COUNTA($P$3:$P$21)))*(SQRT((((Q24/R24)*(1-(Q24/R24)))/R24)+(((S24/T24)*(1-(S24/T24)))/T24))))&lt;0,((S24/T24)-(Q24/R24))+(NORMSINV(1-(0.05/COUNTA($P$3:$P$21)))*(SQRT((((Q24/R24)*(1-(Q24/R24)))/R24)+(((S24/T24)*(1-(S24/T24)))/T24))))&lt;0),-1,0))),"",IF(AND(((S24/T24)-(Q24/R24))-(NORMSINV(1-(0.05/COUNTA($P$3:$P$21)))*(SQRT((((Q24/R24)*(1-(Q24/R24)))/R24)+(((S24/T24)*(1-(S24/T24)))/T24))))&gt;0,((S24/T24)-(Q24/R24))+(NORMSINV(1-(0.05/COUNTA($P$3:$P$21)))*(SQRT((((Q24/R24)*(1-(Q24/R24)))/R24)+(((S24/T24)*(1-(S24/T24)))/T24))))&gt;0),1,IF(AND(((S24/T24)-(Q24/R24))-(NORMSINV(1-(0.05/COUNTA($P$3:$P$21)))*(SQRT((((Q24/R24)*(1-(Q24/R24)))/R24)+(((S24/T24)*(1-(S24/T24)))/T24))))&lt;0,((S24/T24)-(Q24/R24))+(NORMSINV(1-(0.05/COUNTA($P$3:$P$21)))*(SQRT((((Q24/R24)*(1-(Q24/R24)))/R24)+(((S24/T24)*(1-(S24/T24)))/T24))))&lt;0),-1,0)))</f>
        <v/>
      </c>
      <c r="O24" s="14" t="str">
        <f t="shared" si="12"/>
        <v>Stracathro</v>
      </c>
      <c r="P24" s="14" t="s">
        <v>179</v>
      </c>
      <c r="Q24" s="430">
        <v>31</v>
      </c>
      <c r="R24" s="430">
        <v>67</v>
      </c>
      <c r="S24" s="430"/>
      <c r="T24" s="430"/>
    </row>
    <row r="25" spans="1:23" ht="12">
      <c r="L25" s="25"/>
      <c r="M25" s="25"/>
    </row>
    <row r="26" spans="1:23" ht="15">
      <c r="L26" s="25"/>
      <c r="M26" s="25"/>
      <c r="O26" t="s">
        <v>527</v>
      </c>
      <c r="P26"/>
      <c r="Q26" s="469">
        <f>Q22+Q12</f>
        <v>345</v>
      </c>
      <c r="R26" s="469">
        <f>R22+R12</f>
        <v>446</v>
      </c>
      <c r="S26" s="469">
        <f>S22+S12</f>
        <v>338</v>
      </c>
      <c r="T26" s="469">
        <f t="shared" ref="T26" si="27">T22+T12</f>
        <v>458</v>
      </c>
      <c r="U26"/>
      <c r="V26"/>
      <c r="W26"/>
    </row>
    <row r="27" spans="1:23" ht="15">
      <c r="L27" s="25"/>
      <c r="M27" s="25"/>
      <c r="O27"/>
      <c r="P27"/>
      <c r="Q27" s="470">
        <f>Q26/R26</f>
        <v>0.773542600896861</v>
      </c>
      <c r="R27"/>
      <c r="S27" s="470">
        <f>S26/T26</f>
        <v>0.73799126637554591</v>
      </c>
      <c r="T27"/>
      <c r="U27"/>
      <c r="V27"/>
      <c r="W27"/>
    </row>
    <row r="28" spans="1:23" ht="15">
      <c r="L28" s="25"/>
      <c r="M28" s="25"/>
      <c r="O28"/>
      <c r="P28"/>
      <c r="Q28"/>
      <c r="R28"/>
      <c r="S28"/>
      <c r="T28"/>
      <c r="U28"/>
      <c r="V28"/>
      <c r="W28"/>
    </row>
    <row r="29" spans="1:23" ht="15">
      <c r="L29" s="25"/>
      <c r="M29" s="25"/>
      <c r="O29"/>
      <c r="P29"/>
      <c r="Q29"/>
      <c r="R29"/>
      <c r="S29"/>
      <c r="T29"/>
      <c r="U29"/>
      <c r="V29"/>
      <c r="W29"/>
    </row>
    <row r="30" spans="1:23" ht="15">
      <c r="L30" s="25"/>
      <c r="M30" s="25"/>
      <c r="O30"/>
      <c r="P30"/>
      <c r="Q30"/>
      <c r="R30"/>
      <c r="S30"/>
      <c r="T30"/>
      <c r="U30"/>
      <c r="V30"/>
      <c r="W30"/>
    </row>
    <row r="31" spans="1:23" ht="15">
      <c r="L31" s="25"/>
      <c r="M31" s="25"/>
      <c r="O31"/>
      <c r="P31"/>
      <c r="Q31"/>
      <c r="R31"/>
      <c r="S31"/>
      <c r="T31"/>
      <c r="U31"/>
      <c r="V31"/>
      <c r="W31"/>
    </row>
    <row r="32" spans="1:23" ht="15">
      <c r="L32" s="25"/>
      <c r="M32" s="25"/>
      <c r="O32"/>
      <c r="P32"/>
      <c r="Q32"/>
      <c r="R32"/>
      <c r="S32"/>
      <c r="T32"/>
      <c r="U32"/>
      <c r="V32"/>
      <c r="W32"/>
    </row>
    <row r="33" spans="12:23" ht="15">
      <c r="L33" s="25"/>
      <c r="M33" s="25"/>
      <c r="O33"/>
      <c r="P33"/>
      <c r="Q33"/>
      <c r="R33"/>
      <c r="S33"/>
      <c r="T33"/>
      <c r="U33"/>
      <c r="V33"/>
      <c r="W33"/>
    </row>
    <row r="34" spans="12:23" ht="15">
      <c r="L34" s="25"/>
      <c r="M34" s="25"/>
      <c r="O34"/>
      <c r="P34"/>
      <c r="Q34"/>
      <c r="R34"/>
      <c r="S34"/>
      <c r="T34"/>
      <c r="U34"/>
      <c r="V34"/>
      <c r="W34"/>
    </row>
    <row r="35" spans="12:23" ht="15">
      <c r="O35"/>
      <c r="P35"/>
      <c r="Q35"/>
      <c r="R35"/>
      <c r="S35"/>
      <c r="T35"/>
      <c r="U35"/>
      <c r="V35"/>
      <c r="W35"/>
    </row>
    <row r="36" spans="12:23" ht="15">
      <c r="O36"/>
      <c r="P36"/>
      <c r="Q36"/>
      <c r="R36"/>
      <c r="S36"/>
      <c r="T36"/>
      <c r="U36"/>
      <c r="V36"/>
      <c r="W36"/>
    </row>
    <row r="37" spans="12:23" ht="15">
      <c r="O37"/>
      <c r="P37"/>
      <c r="Q37"/>
      <c r="R37"/>
      <c r="S37"/>
      <c r="T37"/>
      <c r="U37"/>
      <c r="V37"/>
      <c r="W37"/>
    </row>
    <row r="38" spans="12:23" ht="15">
      <c r="O38"/>
      <c r="P38"/>
      <c r="Q38"/>
      <c r="R38"/>
      <c r="S38"/>
      <c r="T38"/>
      <c r="U38"/>
      <c r="V38"/>
      <c r="W38"/>
    </row>
    <row r="39" spans="12:23" ht="15">
      <c r="O39"/>
      <c r="P39"/>
      <c r="Q39"/>
      <c r="R39"/>
      <c r="S39"/>
      <c r="T39"/>
      <c r="U39"/>
      <c r="V39"/>
      <c r="W39"/>
    </row>
    <row r="40" spans="12:23" ht="15">
      <c r="O40"/>
      <c r="P40"/>
      <c r="Q40"/>
      <c r="R40"/>
      <c r="S40"/>
      <c r="T40"/>
      <c r="U40"/>
      <c r="V40"/>
      <c r="W40"/>
    </row>
    <row r="41" spans="12:23" ht="15">
      <c r="O41"/>
      <c r="P41"/>
      <c r="Q41"/>
      <c r="R41"/>
      <c r="S41"/>
      <c r="T41"/>
      <c r="U41"/>
      <c r="V41"/>
      <c r="W41"/>
    </row>
    <row r="42" spans="12:23" ht="15">
      <c r="O42"/>
      <c r="P42"/>
      <c r="Q42"/>
      <c r="R42"/>
      <c r="S42"/>
      <c r="T42"/>
      <c r="U42"/>
      <c r="V42"/>
      <c r="W42"/>
    </row>
    <row r="43" spans="12:23" ht="15">
      <c r="O43"/>
      <c r="P43"/>
      <c r="Q43"/>
      <c r="R43"/>
      <c r="S43"/>
      <c r="T43"/>
      <c r="U43"/>
      <c r="V43"/>
      <c r="W43"/>
    </row>
    <row r="44" spans="12:23" ht="15">
      <c r="O44"/>
      <c r="P44"/>
      <c r="Q44"/>
      <c r="R44"/>
      <c r="S44"/>
      <c r="T44"/>
      <c r="U44"/>
      <c r="V44"/>
      <c r="W44"/>
    </row>
    <row r="45" spans="12:23" ht="15">
      <c r="O45"/>
      <c r="P45"/>
      <c r="Q45"/>
      <c r="R45"/>
      <c r="S45"/>
      <c r="T45"/>
      <c r="U45"/>
      <c r="V45"/>
      <c r="W45"/>
    </row>
    <row r="46" spans="12:23" ht="15">
      <c r="O46"/>
      <c r="P46"/>
      <c r="Q46"/>
      <c r="R46"/>
      <c r="S46"/>
      <c r="T46"/>
      <c r="U46"/>
      <c r="V46"/>
      <c r="W46"/>
    </row>
    <row r="47" spans="12:23" ht="15">
      <c r="O47"/>
      <c r="P47"/>
      <c r="Q47"/>
      <c r="R47"/>
      <c r="S47"/>
      <c r="T47"/>
      <c r="U47"/>
      <c r="V47"/>
      <c r="W47"/>
    </row>
    <row r="48" spans="12: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sheetData>
  <sheetProtection password="B8D9" sheet="1" objects="1" scenarios="1"/>
  <sortState ref="A4:T23">
    <sortCondition descending="1" ref="C4:C23"/>
  </sortState>
  <mergeCells count="7">
    <mergeCell ref="S1:T1"/>
    <mergeCell ref="E2:F2"/>
    <mergeCell ref="G2:H2"/>
    <mergeCell ref="A1:A2"/>
    <mergeCell ref="B1:H1"/>
    <mergeCell ref="O1:P1"/>
    <mergeCell ref="Q1:R1"/>
  </mergeCells>
  <phoneticPr fontId="0" type="noConversion"/>
  <conditionalFormatting sqref="A3:A24">
    <cfRule type="expression" dxfId="12" priority="3">
      <formula>$N3=1</formula>
    </cfRule>
    <cfRule type="expression" dxfId="11" priority="2">
      <formula>$N3=0</formula>
    </cfRule>
    <cfRule type="expression" dxfId="10" priority="1">
      <formula>$N3=-1</formula>
    </cfRule>
  </conditionalFormatting>
  <printOptions horizontalCentered="1"/>
  <pageMargins left="0" right="0" top="0.74803149606299213" bottom="0.74803149606299213" header="0.31496062992125984" footer="0.31496062992125984"/>
  <pageSetup paperSize="9" scale="59" orientation="landscape" r:id="rId1"/>
  <headerFooter alignWithMargins="0">
    <oddHeader>&amp;LChart 6 DATA
Percentage of patients with definite cerebrovascular diagnosis seen in neurovascular clinic with referral to examination time within 4 days, 2014 and 2015 data.</oddHeader>
    <oddFooter>&amp;L&amp;8Scottish Stroke Care Audit 2016 National Report
Stroke Services in Scottish Hospitals, Data relating to 2015&amp;R&amp;8© NHS National Services Scotland/Crown Copyright</oddFooter>
  </headerFooter>
</worksheet>
</file>

<file path=xl/worksheets/sheet45.xml><?xml version="1.0" encoding="utf-8"?>
<worksheet xmlns="http://schemas.openxmlformats.org/spreadsheetml/2006/main" xmlns:r="http://schemas.openxmlformats.org/officeDocument/2006/relationships">
  <sheetPr codeName="Sheet47">
    <pageSetUpPr fitToPage="1"/>
  </sheetPr>
  <dimension ref="B1:T45"/>
  <sheetViews>
    <sheetView workbookViewId="0"/>
  </sheetViews>
  <sheetFormatPr defaultRowHeight="12.75"/>
  <cols>
    <col min="1" max="1" width="2.7109375" style="336" customWidth="1"/>
    <col min="2" max="16384" width="9.140625" style="336"/>
  </cols>
  <sheetData>
    <row r="1" spans="2:20" s="579" customFormat="1" ht="24.95" customHeight="1">
      <c r="B1" s="795" t="s">
        <v>677</v>
      </c>
      <c r="C1" s="795"/>
      <c r="D1" s="795"/>
      <c r="E1" s="795"/>
      <c r="F1" s="795"/>
      <c r="G1" s="795"/>
      <c r="H1" s="795"/>
      <c r="I1" s="795"/>
      <c r="J1" s="795"/>
      <c r="K1" s="795"/>
      <c r="L1" s="795"/>
      <c r="M1" s="795"/>
      <c r="N1" s="795"/>
      <c r="O1" s="26"/>
      <c r="P1" s="802" t="s">
        <v>48</v>
      </c>
      <c r="Q1" s="26"/>
      <c r="R1" s="26"/>
      <c r="S1" s="26"/>
      <c r="T1" s="26"/>
    </row>
    <row r="2" spans="2:20" s="579" customFormat="1" ht="12.75" customHeight="1">
      <c r="B2" s="835" t="s">
        <v>447</v>
      </c>
      <c r="C2" s="835"/>
      <c r="D2" s="835"/>
      <c r="E2" s="835"/>
      <c r="F2" s="835"/>
      <c r="G2" s="835"/>
      <c r="H2" s="835"/>
      <c r="I2" s="835"/>
      <c r="J2" s="835"/>
      <c r="K2" s="835"/>
      <c r="L2" s="835"/>
      <c r="M2" s="835"/>
      <c r="O2" s="27"/>
      <c r="P2" s="802"/>
      <c r="Q2" s="28"/>
      <c r="R2" s="803"/>
      <c r="S2" s="803"/>
      <c r="T2" s="803"/>
    </row>
    <row r="3" spans="2:20" s="579" customFormat="1" ht="12.75" customHeight="1">
      <c r="B3" s="835"/>
      <c r="C3" s="835"/>
      <c r="D3" s="835"/>
      <c r="E3" s="835"/>
      <c r="F3" s="835"/>
      <c r="G3" s="835"/>
      <c r="H3" s="835"/>
      <c r="I3" s="835"/>
      <c r="J3" s="835"/>
      <c r="K3" s="835"/>
      <c r="L3" s="835"/>
      <c r="M3" s="835"/>
      <c r="O3" s="589"/>
      <c r="P3" s="802"/>
      <c r="Q3" s="29"/>
      <c r="R3" s="572"/>
      <c r="S3" s="572"/>
      <c r="T3" s="572"/>
    </row>
    <row r="4" spans="2:20" s="579" customFormat="1" ht="12.75" customHeight="1">
      <c r="B4" s="836" t="s">
        <v>341</v>
      </c>
      <c r="C4" s="836"/>
      <c r="D4" s="836"/>
      <c r="E4" s="836"/>
      <c r="F4" s="836"/>
      <c r="G4" s="836"/>
      <c r="H4" s="836"/>
      <c r="I4" s="836"/>
      <c r="J4" s="836"/>
      <c r="K4" s="836"/>
      <c r="L4" s="836"/>
      <c r="M4" s="836"/>
      <c r="O4" s="30"/>
      <c r="P4" s="802"/>
      <c r="Q4" s="570"/>
      <c r="R4" s="29"/>
      <c r="S4" s="72"/>
    </row>
    <row r="5" spans="2:20" s="579" customFormat="1" ht="12.75" customHeight="1">
      <c r="B5" s="836"/>
      <c r="C5" s="836"/>
      <c r="D5" s="836"/>
      <c r="E5" s="836"/>
      <c r="F5" s="836"/>
      <c r="G5" s="836"/>
      <c r="H5" s="836"/>
      <c r="I5" s="836"/>
      <c r="J5" s="836"/>
      <c r="K5" s="836"/>
      <c r="L5" s="836"/>
      <c r="M5" s="836"/>
      <c r="N5" s="571"/>
      <c r="O5" s="30"/>
      <c r="P5" s="30"/>
      <c r="Q5" s="570"/>
      <c r="R5" s="29"/>
      <c r="S5" s="72"/>
    </row>
    <row r="6" spans="2:20" s="579" customFormat="1" ht="12.75" customHeight="1">
      <c r="B6" s="836"/>
      <c r="C6" s="836"/>
      <c r="D6" s="836"/>
      <c r="E6" s="836"/>
      <c r="F6" s="836"/>
      <c r="G6" s="836"/>
      <c r="H6" s="836"/>
      <c r="I6" s="836"/>
      <c r="J6" s="836"/>
      <c r="K6" s="836"/>
      <c r="L6" s="836"/>
      <c r="M6" s="836"/>
      <c r="N6" s="571"/>
      <c r="O6" s="30"/>
      <c r="P6" s="727" t="s">
        <v>747</v>
      </c>
      <c r="Q6" s="570"/>
      <c r="R6" s="29"/>
      <c r="S6" s="72"/>
    </row>
    <row r="7" spans="2:20" s="579" customFormat="1">
      <c r="B7" s="836"/>
      <c r="C7" s="836"/>
      <c r="D7" s="836"/>
      <c r="E7" s="836"/>
      <c r="F7" s="836"/>
      <c r="G7" s="836"/>
      <c r="H7" s="836"/>
      <c r="I7" s="836"/>
      <c r="J7" s="836"/>
      <c r="K7" s="836"/>
      <c r="L7" s="836"/>
      <c r="M7" s="836"/>
      <c r="N7" s="576"/>
      <c r="O7" s="30"/>
      <c r="P7" s="30"/>
      <c r="Q7" s="570"/>
      <c r="R7" s="29"/>
      <c r="S7" s="72"/>
    </row>
    <row r="41" spans="2:14">
      <c r="B41" s="577"/>
      <c r="C41" s="577"/>
      <c r="D41" s="577"/>
      <c r="E41" s="577"/>
      <c r="F41" s="577"/>
      <c r="G41" s="577"/>
      <c r="H41" s="577"/>
      <c r="I41" s="577"/>
      <c r="J41" s="577"/>
      <c r="K41" s="577"/>
      <c r="L41" s="577"/>
      <c r="M41" s="577"/>
    </row>
    <row r="42" spans="2:14" s="579" customFormat="1">
      <c r="B42" s="77" t="s">
        <v>457</v>
      </c>
      <c r="D42" s="34"/>
      <c r="E42" s="34"/>
      <c r="F42" s="34"/>
      <c r="G42" s="34"/>
      <c r="H42" s="34"/>
      <c r="I42" s="34"/>
      <c r="J42" s="569"/>
      <c r="K42" s="569"/>
      <c r="L42" s="569"/>
      <c r="M42" s="569"/>
      <c r="N42" s="569"/>
    </row>
    <row r="43" spans="2:14" s="582" customFormat="1" ht="24.95" customHeight="1">
      <c r="B43" s="801" t="s">
        <v>0</v>
      </c>
      <c r="C43" s="801"/>
      <c r="D43" s="801"/>
      <c r="E43" s="801"/>
      <c r="F43" s="801"/>
      <c r="G43" s="801"/>
      <c r="H43" s="801"/>
      <c r="I43" s="801"/>
      <c r="J43" s="801"/>
      <c r="K43" s="801"/>
      <c r="L43" s="801"/>
      <c r="M43" s="801"/>
      <c r="N43" s="256"/>
    </row>
    <row r="44" spans="2:14" s="579" customFormat="1" ht="31.5" customHeight="1">
      <c r="B44" s="900" t="s">
        <v>675</v>
      </c>
      <c r="C44" s="900"/>
      <c r="D44" s="900"/>
      <c r="E44" s="900"/>
      <c r="F44" s="900"/>
      <c r="G44" s="900"/>
      <c r="H44" s="900"/>
      <c r="I44" s="900"/>
      <c r="J44" s="900"/>
      <c r="K44" s="900"/>
      <c r="L44" s="900"/>
      <c r="M44" s="900"/>
      <c r="N44" s="900"/>
    </row>
    <row r="45" spans="2:14" s="579" customFormat="1">
      <c r="B45" s="50"/>
      <c r="D45" s="34"/>
      <c r="E45" s="34"/>
      <c r="F45" s="34"/>
      <c r="G45" s="34"/>
      <c r="H45" s="34"/>
      <c r="I45" s="34"/>
      <c r="J45" s="569"/>
      <c r="K45" s="569"/>
      <c r="L45" s="569"/>
      <c r="M45" s="569"/>
      <c r="N45" s="569"/>
    </row>
  </sheetData>
  <sheetProtection password="B8D9" sheet="1" objects="1" scenarios="1"/>
  <mergeCells count="7">
    <mergeCell ref="B43:M43"/>
    <mergeCell ref="B44:N44"/>
    <mergeCell ref="B1:N1"/>
    <mergeCell ref="B2:M3"/>
    <mergeCell ref="R2:T2"/>
    <mergeCell ref="B4:M7"/>
    <mergeCell ref="P1:P4"/>
  </mergeCells>
  <hyperlinks>
    <hyperlink ref="N4" location="'List of Tables &amp; Charts'!A1" display="return to List of Tables &amp; Charts"/>
    <hyperlink ref="P1" location="'List of Tables &amp; Charts'!A1" display="return to List of Tables &amp; Charts"/>
    <hyperlink ref="P6" location="'Chart 7 (2015) DATA'!A1" display="view chart 7 data"/>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46.xml><?xml version="1.0" encoding="utf-8"?>
<worksheet xmlns="http://schemas.openxmlformats.org/spreadsheetml/2006/main" xmlns:r="http://schemas.openxmlformats.org/officeDocument/2006/relationships">
  <sheetPr codeName="Sheet48">
    <pageSetUpPr fitToPage="1"/>
  </sheetPr>
  <dimension ref="A1:V48"/>
  <sheetViews>
    <sheetView showGridLines="0" workbookViewId="0">
      <selection sqref="A1:B1"/>
    </sheetView>
  </sheetViews>
  <sheetFormatPr defaultRowHeight="12.75"/>
  <cols>
    <col min="1" max="1" width="16.7109375" style="579" customWidth="1"/>
    <col min="2" max="2" width="40.7109375" style="579" customWidth="1"/>
    <col min="3" max="7" width="10.7109375" style="569" customWidth="1"/>
    <col min="8" max="12" width="2.7109375" style="569" customWidth="1"/>
    <col min="13" max="13" width="9.28515625" style="569" customWidth="1"/>
    <col min="14" max="14" width="11.28515625" style="579" customWidth="1"/>
    <col min="15" max="15" width="9.28515625" style="579" customWidth="1"/>
    <col min="16" max="16" width="11.28515625" style="579" customWidth="1"/>
    <col min="17" max="17" width="9.28515625" style="579" customWidth="1"/>
    <col min="18" max="18" width="11.28515625" style="579" customWidth="1"/>
    <col min="19" max="19" width="9.28515625" style="579" customWidth="1"/>
    <col min="20" max="20" width="11.28515625" style="579" customWidth="1"/>
    <col min="21" max="21" width="9.28515625" style="579" customWidth="1"/>
    <col min="22" max="22" width="11.28515625" style="579" customWidth="1"/>
    <col min="23" max="16384" width="9.140625" style="579"/>
  </cols>
  <sheetData>
    <row r="1" spans="1:22" ht="25.5" customHeight="1">
      <c r="A1" s="908">
        <v>2015</v>
      </c>
      <c r="B1" s="851"/>
      <c r="C1" s="854" t="s">
        <v>44</v>
      </c>
      <c r="D1" s="855"/>
      <c r="E1" s="855"/>
      <c r="F1" s="855"/>
      <c r="G1" s="856"/>
      <c r="H1" s="79"/>
      <c r="I1" s="79"/>
      <c r="J1" s="79"/>
      <c r="K1" s="79"/>
      <c r="L1" s="79"/>
      <c r="M1" s="881" t="s">
        <v>51</v>
      </c>
      <c r="N1" s="883"/>
      <c r="O1" s="881" t="s">
        <v>52</v>
      </c>
      <c r="P1" s="883"/>
      <c r="Q1" s="881" t="s">
        <v>166</v>
      </c>
      <c r="R1" s="883"/>
      <c r="S1" s="881" t="s">
        <v>167</v>
      </c>
      <c r="T1" s="883"/>
      <c r="U1" s="882" t="s">
        <v>168</v>
      </c>
      <c r="V1" s="901"/>
    </row>
    <row r="2" spans="1:22" ht="45" customHeight="1">
      <c r="A2" s="80" t="s">
        <v>26</v>
      </c>
      <c r="B2" s="53" t="s">
        <v>27</v>
      </c>
      <c r="C2" s="40" t="s">
        <v>54</v>
      </c>
      <c r="D2" s="40" t="s">
        <v>56</v>
      </c>
      <c r="E2" s="40" t="s">
        <v>169</v>
      </c>
      <c r="F2" s="81" t="s">
        <v>170</v>
      </c>
      <c r="G2" s="40" t="s">
        <v>18</v>
      </c>
      <c r="H2" s="82" t="s">
        <v>58</v>
      </c>
      <c r="I2" s="82" t="s">
        <v>171</v>
      </c>
      <c r="J2" s="82" t="s">
        <v>172</v>
      </c>
      <c r="K2" s="82" t="s">
        <v>173</v>
      </c>
      <c r="L2" s="82" t="s">
        <v>280</v>
      </c>
      <c r="M2" s="43" t="s">
        <v>28</v>
      </c>
      <c r="N2" s="43" t="s">
        <v>29</v>
      </c>
      <c r="O2" s="43" t="s">
        <v>28</v>
      </c>
      <c r="P2" s="43" t="s">
        <v>29</v>
      </c>
      <c r="Q2" s="43" t="s">
        <v>28</v>
      </c>
      <c r="R2" s="43" t="s">
        <v>29</v>
      </c>
      <c r="S2" s="43" t="s">
        <v>28</v>
      </c>
      <c r="T2" s="43" t="s">
        <v>29</v>
      </c>
      <c r="U2" s="83" t="s">
        <v>28</v>
      </c>
      <c r="V2" s="65" t="s">
        <v>29</v>
      </c>
    </row>
    <row r="3" spans="1:22">
      <c r="A3" s="45" t="s">
        <v>137</v>
      </c>
      <c r="B3" s="45" t="s">
        <v>181</v>
      </c>
      <c r="C3" s="46">
        <f t="shared" ref="C3:C22" si="0">M3/N3*100</f>
        <v>14.710444674250258</v>
      </c>
      <c r="D3" s="46">
        <f t="shared" ref="D3:D22" si="1">(M3+O3)/P3*100</f>
        <v>39.37435367114788</v>
      </c>
      <c r="E3" s="46">
        <f t="shared" ref="E3:E22" si="2">(M3+O3+Q3)/R3*100</f>
        <v>83.195449844881068</v>
      </c>
      <c r="F3" s="46">
        <f t="shared" ref="F3:F22" si="3">U3/V3*100</f>
        <v>95.604963805584291</v>
      </c>
      <c r="G3" s="46" t="str">
        <f t="shared" ref="G3:G22" si="4">IF(AND(AND(V3&gt;0,(M3+O3+Q3)&gt;0),ROUND(SUM(100*((2*(M3+O3+Q3)+1.96^2)-(1.96*(SQRT(1.96^2+4*(M3+O3+Q3)*(1-((M3+O3+Q3)/V3))))))/(2*(V3+1.96^2))),0)&lt;0),CONCATENATE(SUM(1*0)," - ",ROUND(SUM(100*((2*(M3+O3+Q3)+1.96^2)+(1.96*(SQRT(1.96^2+4*(M3+O3+Q3)*(1-((M3+O3+Q3)/V3))))))/(2*(V3+1.96^2))),0)),IF(AND(AND(V3&gt;0,(M3+O3+Q3)&gt;0),ROUND(SUM(100*((2*(M3+O3+Q3)+1.96^2)-(1.96*(SQRT(1.96^2+4*(M3+O3+Q3)*(1-((M3+O3+Q3)/V3))))))/(2*(V3+1.96^2))),0)&gt;=0),CONCATENATE(ROUND(SUM(100*((2*(M3+O3+Q3)+1.96^2)-(1.96*(SQRT(1.96^2+4*(M3+O3+Q3)*(1-((M3+O3+Q3)/V3))))))/(2*(V3+1.96^2))),0)," - ",ROUND(SUM(100*((2*(M3+O3+Q3)+1.96^2)+(1.96*(SQRT(1.96^2+4*(M3+O3+Q3)*(1-((M3+O3+Q3)/V3))))))/(2*(V3+1.96^2))),0)),""))</f>
        <v>82 - 84</v>
      </c>
      <c r="H3" s="614">
        <f t="shared" ref="H3:H22" si="5">D3-C3</f>
        <v>24.663908996897622</v>
      </c>
      <c r="I3" s="641">
        <f t="shared" ref="I3:I22" si="6">E3-D3</f>
        <v>43.821096173733189</v>
      </c>
      <c r="J3" s="640">
        <f t="shared" ref="J3:J22" si="7">F3-E3</f>
        <v>12.409513960703222</v>
      </c>
      <c r="K3" s="640">
        <f t="shared" ref="K3:K22" si="8">F3</f>
        <v>95.604963805584291</v>
      </c>
      <c r="L3" s="639">
        <v>80</v>
      </c>
      <c r="M3" s="427">
        <f t="shared" ref="M3:V3" si="9">SUM(M4:M22)</f>
        <v>569</v>
      </c>
      <c r="N3" s="427">
        <f t="shared" si="9"/>
        <v>3868</v>
      </c>
      <c r="O3" s="427">
        <f t="shared" si="9"/>
        <v>954</v>
      </c>
      <c r="P3" s="427">
        <f t="shared" si="9"/>
        <v>3868</v>
      </c>
      <c r="Q3" s="427">
        <f t="shared" si="9"/>
        <v>1695</v>
      </c>
      <c r="R3" s="427">
        <f t="shared" si="9"/>
        <v>3868</v>
      </c>
      <c r="S3" s="427">
        <f t="shared" si="9"/>
        <v>480</v>
      </c>
      <c r="T3" s="427">
        <f t="shared" si="9"/>
        <v>3868</v>
      </c>
      <c r="U3" s="427">
        <f t="shared" si="9"/>
        <v>3698</v>
      </c>
      <c r="V3" s="427">
        <f t="shared" si="9"/>
        <v>3868</v>
      </c>
    </row>
    <row r="4" spans="1:22">
      <c r="A4" s="45" t="s">
        <v>61</v>
      </c>
      <c r="B4" s="45" t="s">
        <v>60</v>
      </c>
      <c r="C4" s="46">
        <f t="shared" si="0"/>
        <v>9.4017094017094021</v>
      </c>
      <c r="D4" s="46">
        <f t="shared" si="1"/>
        <v>62.393162393162392</v>
      </c>
      <c r="E4" s="46">
        <f t="shared" si="2"/>
        <v>96.581196581196579</v>
      </c>
      <c r="F4" s="46">
        <f t="shared" si="3"/>
        <v>100</v>
      </c>
      <c r="G4" s="46" t="str">
        <f t="shared" si="4"/>
        <v>92 - 99</v>
      </c>
      <c r="H4" s="594">
        <f t="shared" si="5"/>
        <v>52.991452991452988</v>
      </c>
      <c r="I4" s="638">
        <f t="shared" si="6"/>
        <v>34.188034188034187</v>
      </c>
      <c r="J4" s="637">
        <f t="shared" si="7"/>
        <v>3.4188034188034209</v>
      </c>
      <c r="K4" s="637">
        <f t="shared" si="8"/>
        <v>100</v>
      </c>
      <c r="L4" s="637">
        <v>80</v>
      </c>
      <c r="M4" s="427">
        <v>11</v>
      </c>
      <c r="N4" s="427">
        <v>117</v>
      </c>
      <c r="O4" s="427">
        <v>62</v>
      </c>
      <c r="P4" s="427">
        <v>117</v>
      </c>
      <c r="Q4" s="427">
        <v>40</v>
      </c>
      <c r="R4" s="427">
        <v>117</v>
      </c>
      <c r="S4" s="427">
        <v>4</v>
      </c>
      <c r="T4" s="427">
        <v>117</v>
      </c>
      <c r="U4" s="427">
        <v>117</v>
      </c>
      <c r="V4" s="427">
        <v>117</v>
      </c>
    </row>
    <row r="5" spans="1:22">
      <c r="A5" s="45" t="s">
        <v>63</v>
      </c>
      <c r="B5" s="45" t="s">
        <v>64</v>
      </c>
      <c r="C5" s="46">
        <f t="shared" si="0"/>
        <v>9.1954022988505741</v>
      </c>
      <c r="D5" s="46">
        <f t="shared" si="1"/>
        <v>44.827586206896555</v>
      </c>
      <c r="E5" s="46">
        <f t="shared" si="2"/>
        <v>87.356321839080465</v>
      </c>
      <c r="F5" s="46">
        <f t="shared" si="3"/>
        <v>95.977011494252878</v>
      </c>
      <c r="G5" s="46" t="str">
        <f t="shared" si="4"/>
        <v>82 - 92</v>
      </c>
      <c r="H5" s="594">
        <f t="shared" si="5"/>
        <v>35.632183908045981</v>
      </c>
      <c r="I5" s="638">
        <f t="shared" si="6"/>
        <v>42.52873563218391</v>
      </c>
      <c r="J5" s="637">
        <f t="shared" si="7"/>
        <v>8.6206896551724128</v>
      </c>
      <c r="K5" s="637">
        <f t="shared" si="8"/>
        <v>95.977011494252878</v>
      </c>
      <c r="L5" s="635">
        <v>80</v>
      </c>
      <c r="M5" s="427">
        <v>16</v>
      </c>
      <c r="N5" s="427">
        <v>174</v>
      </c>
      <c r="O5" s="427">
        <v>62</v>
      </c>
      <c r="P5" s="427">
        <v>174</v>
      </c>
      <c r="Q5" s="427">
        <v>74</v>
      </c>
      <c r="R5" s="427">
        <v>174</v>
      </c>
      <c r="S5" s="427">
        <v>15</v>
      </c>
      <c r="T5" s="427">
        <v>174</v>
      </c>
      <c r="U5" s="427">
        <v>167</v>
      </c>
      <c r="V5" s="427">
        <v>174</v>
      </c>
    </row>
    <row r="6" spans="1:22">
      <c r="A6" s="45" t="s">
        <v>30</v>
      </c>
      <c r="B6" s="45" t="s">
        <v>66</v>
      </c>
      <c r="C6" s="46">
        <f t="shared" si="0"/>
        <v>4.3478260869565215</v>
      </c>
      <c r="D6" s="46">
        <f t="shared" si="1"/>
        <v>18.840579710144929</v>
      </c>
      <c r="E6" s="46">
        <f t="shared" si="2"/>
        <v>86.956521739130437</v>
      </c>
      <c r="F6" s="46">
        <f t="shared" si="3"/>
        <v>96.376811594202891</v>
      </c>
      <c r="G6" s="46" t="str">
        <f t="shared" si="4"/>
        <v>80 - 92</v>
      </c>
      <c r="H6" s="602">
        <f t="shared" si="5"/>
        <v>14.492753623188408</v>
      </c>
      <c r="I6" s="636">
        <f t="shared" si="6"/>
        <v>68.115942028985501</v>
      </c>
      <c r="J6" s="635">
        <f t="shared" si="7"/>
        <v>9.4202898550724541</v>
      </c>
      <c r="K6" s="635">
        <f t="shared" si="8"/>
        <v>96.376811594202891</v>
      </c>
      <c r="L6" s="635">
        <v>80</v>
      </c>
      <c r="M6" s="427">
        <v>6</v>
      </c>
      <c r="N6" s="427">
        <v>138</v>
      </c>
      <c r="O6" s="427">
        <v>20</v>
      </c>
      <c r="P6" s="427">
        <v>138</v>
      </c>
      <c r="Q6" s="427">
        <v>94</v>
      </c>
      <c r="R6" s="427">
        <v>138</v>
      </c>
      <c r="S6" s="427">
        <v>13</v>
      </c>
      <c r="T6" s="427">
        <v>138</v>
      </c>
      <c r="U6" s="427">
        <v>133</v>
      </c>
      <c r="V6" s="427">
        <v>138</v>
      </c>
    </row>
    <row r="7" spans="1:22">
      <c r="A7" s="45" t="s">
        <v>68</v>
      </c>
      <c r="B7" s="45" t="s">
        <v>69</v>
      </c>
      <c r="C7" s="46">
        <f t="shared" si="0"/>
        <v>3.1413612565445024</v>
      </c>
      <c r="D7" s="46">
        <f t="shared" si="1"/>
        <v>39.267015706806284</v>
      </c>
      <c r="E7" s="46">
        <f t="shared" si="2"/>
        <v>84.816753926701566</v>
      </c>
      <c r="F7" s="46">
        <f t="shared" si="3"/>
        <v>97.382198952879577</v>
      </c>
      <c r="G7" s="46" t="str">
        <f t="shared" si="4"/>
        <v>79 - 89</v>
      </c>
      <c r="H7" s="602">
        <f t="shared" si="5"/>
        <v>36.125654450261784</v>
      </c>
      <c r="I7" s="636">
        <f t="shared" si="6"/>
        <v>45.549738219895282</v>
      </c>
      <c r="J7" s="635">
        <f t="shared" si="7"/>
        <v>12.565445026178011</v>
      </c>
      <c r="K7" s="635">
        <f t="shared" si="8"/>
        <v>97.382198952879577</v>
      </c>
      <c r="L7" s="635">
        <v>80</v>
      </c>
      <c r="M7" s="427">
        <v>6</v>
      </c>
      <c r="N7" s="427">
        <v>191</v>
      </c>
      <c r="O7" s="427">
        <v>69</v>
      </c>
      <c r="P7" s="427">
        <v>191</v>
      </c>
      <c r="Q7" s="427">
        <v>87</v>
      </c>
      <c r="R7" s="427">
        <v>191</v>
      </c>
      <c r="S7" s="427">
        <v>24</v>
      </c>
      <c r="T7" s="427">
        <v>191</v>
      </c>
      <c r="U7" s="427">
        <v>186</v>
      </c>
      <c r="V7" s="427">
        <v>191</v>
      </c>
    </row>
    <row r="8" spans="1:22">
      <c r="A8" s="45" t="s">
        <v>175</v>
      </c>
      <c r="B8" s="45" t="s">
        <v>176</v>
      </c>
      <c r="C8" s="46">
        <f t="shared" si="0"/>
        <v>1.1173184357541899</v>
      </c>
      <c r="D8" s="46">
        <f t="shared" si="1"/>
        <v>20.11173184357542</v>
      </c>
      <c r="E8" s="46">
        <f t="shared" si="2"/>
        <v>55.865921787709496</v>
      </c>
      <c r="F8" s="46">
        <f t="shared" si="3"/>
        <v>94.97206703910615</v>
      </c>
      <c r="G8" s="46" t="str">
        <f t="shared" si="4"/>
        <v>49 - 63</v>
      </c>
      <c r="H8" s="602">
        <f t="shared" si="5"/>
        <v>18.994413407821231</v>
      </c>
      <c r="I8" s="636">
        <f t="shared" si="6"/>
        <v>35.754189944134076</v>
      </c>
      <c r="J8" s="635">
        <f t="shared" si="7"/>
        <v>39.106145251396654</v>
      </c>
      <c r="K8" s="635">
        <f t="shared" si="8"/>
        <v>94.97206703910615</v>
      </c>
      <c r="L8" s="635">
        <v>80</v>
      </c>
      <c r="M8" s="427">
        <v>2</v>
      </c>
      <c r="N8" s="427">
        <v>179</v>
      </c>
      <c r="O8" s="427">
        <v>34</v>
      </c>
      <c r="P8" s="427">
        <v>179</v>
      </c>
      <c r="Q8" s="427">
        <v>64</v>
      </c>
      <c r="R8" s="427">
        <v>179</v>
      </c>
      <c r="S8" s="427">
        <v>70</v>
      </c>
      <c r="T8" s="427">
        <v>179</v>
      </c>
      <c r="U8" s="427">
        <v>170</v>
      </c>
      <c r="V8" s="427">
        <v>179</v>
      </c>
    </row>
    <row r="9" spans="1:22">
      <c r="A9" s="45" t="s">
        <v>177</v>
      </c>
      <c r="B9" s="45" t="s">
        <v>74</v>
      </c>
      <c r="C9" s="46">
        <f t="shared" si="0"/>
        <v>36.200716845878134</v>
      </c>
      <c r="D9" s="46">
        <f t="shared" si="1"/>
        <v>54.838709677419352</v>
      </c>
      <c r="E9" s="46">
        <f t="shared" si="2"/>
        <v>85.304659498207883</v>
      </c>
      <c r="F9" s="46">
        <f t="shared" si="3"/>
        <v>95.340501792114694</v>
      </c>
      <c r="G9" s="46" t="str">
        <f t="shared" si="4"/>
        <v>81 - 89</v>
      </c>
      <c r="H9" s="602">
        <f t="shared" si="5"/>
        <v>18.637992831541219</v>
      </c>
      <c r="I9" s="636">
        <f t="shared" si="6"/>
        <v>30.465949820788531</v>
      </c>
      <c r="J9" s="635">
        <f t="shared" si="7"/>
        <v>10.035842293906811</v>
      </c>
      <c r="K9" s="635">
        <f t="shared" si="8"/>
        <v>95.340501792114694</v>
      </c>
      <c r="L9" s="635">
        <v>80</v>
      </c>
      <c r="M9" s="427">
        <v>101</v>
      </c>
      <c r="N9" s="427">
        <v>279</v>
      </c>
      <c r="O9" s="427">
        <v>52</v>
      </c>
      <c r="P9" s="427">
        <v>279</v>
      </c>
      <c r="Q9" s="427">
        <v>85</v>
      </c>
      <c r="R9" s="427">
        <v>279</v>
      </c>
      <c r="S9" s="427">
        <v>28</v>
      </c>
      <c r="T9" s="427">
        <v>279</v>
      </c>
      <c r="U9" s="427">
        <v>266</v>
      </c>
      <c r="V9" s="427">
        <v>279</v>
      </c>
    </row>
    <row r="10" spans="1:22">
      <c r="A10" s="45" t="s">
        <v>186</v>
      </c>
      <c r="B10" s="45" t="s">
        <v>76</v>
      </c>
      <c r="C10" s="46">
        <f t="shared" si="0"/>
        <v>39.261744966442954</v>
      </c>
      <c r="D10" s="46">
        <f t="shared" si="1"/>
        <v>69.463087248322154</v>
      </c>
      <c r="E10" s="46">
        <f t="shared" si="2"/>
        <v>93.288590604026851</v>
      </c>
      <c r="F10" s="46">
        <f t="shared" si="3"/>
        <v>98.322147651006702</v>
      </c>
      <c r="G10" s="46" t="str">
        <f t="shared" si="4"/>
        <v>90 - 96</v>
      </c>
      <c r="H10" s="602">
        <f t="shared" si="5"/>
        <v>30.201342281879199</v>
      </c>
      <c r="I10" s="636">
        <f t="shared" si="6"/>
        <v>23.825503355704697</v>
      </c>
      <c r="J10" s="635">
        <f t="shared" si="7"/>
        <v>5.0335570469798512</v>
      </c>
      <c r="K10" s="635">
        <f t="shared" si="8"/>
        <v>98.322147651006702</v>
      </c>
      <c r="L10" s="635">
        <v>80</v>
      </c>
      <c r="M10" s="427">
        <v>117</v>
      </c>
      <c r="N10" s="427">
        <v>298</v>
      </c>
      <c r="O10" s="427">
        <v>90</v>
      </c>
      <c r="P10" s="427">
        <v>298</v>
      </c>
      <c r="Q10" s="427">
        <v>71</v>
      </c>
      <c r="R10" s="427">
        <v>298</v>
      </c>
      <c r="S10" s="427">
        <v>15</v>
      </c>
      <c r="T10" s="427">
        <v>298</v>
      </c>
      <c r="U10" s="427">
        <v>293</v>
      </c>
      <c r="V10" s="427">
        <v>298</v>
      </c>
    </row>
    <row r="11" spans="1:22">
      <c r="A11" s="45" t="s">
        <v>178</v>
      </c>
      <c r="B11" s="45" t="s">
        <v>78</v>
      </c>
      <c r="C11" s="46">
        <f t="shared" si="0"/>
        <v>18.025751072961373</v>
      </c>
      <c r="D11" s="46">
        <f t="shared" si="1"/>
        <v>35.836909871244636</v>
      </c>
      <c r="E11" s="46">
        <f t="shared" si="2"/>
        <v>69.742489270386272</v>
      </c>
      <c r="F11" s="46">
        <f t="shared" si="3"/>
        <v>93.776824034334766</v>
      </c>
      <c r="G11" s="46" t="str">
        <f t="shared" si="4"/>
        <v>65 - 74</v>
      </c>
      <c r="H11" s="602">
        <f t="shared" si="5"/>
        <v>17.811158798283262</v>
      </c>
      <c r="I11" s="636">
        <f t="shared" si="6"/>
        <v>33.905579399141637</v>
      </c>
      <c r="J11" s="635">
        <f t="shared" si="7"/>
        <v>24.034334763948493</v>
      </c>
      <c r="K11" s="635">
        <f t="shared" si="8"/>
        <v>93.776824034334766</v>
      </c>
      <c r="L11" s="635">
        <v>80</v>
      </c>
      <c r="M11" s="427">
        <v>84</v>
      </c>
      <c r="N11" s="427">
        <v>466</v>
      </c>
      <c r="O11" s="427">
        <v>83</v>
      </c>
      <c r="P11" s="427">
        <v>466</v>
      </c>
      <c r="Q11" s="427">
        <v>158</v>
      </c>
      <c r="R11" s="427">
        <v>466</v>
      </c>
      <c r="S11" s="427">
        <v>112</v>
      </c>
      <c r="T11" s="427">
        <v>466</v>
      </c>
      <c r="U11" s="427">
        <v>437</v>
      </c>
      <c r="V11" s="427">
        <v>466</v>
      </c>
    </row>
    <row r="12" spans="1:22">
      <c r="A12" s="45" t="s">
        <v>80</v>
      </c>
      <c r="B12" s="45" t="s">
        <v>81</v>
      </c>
      <c r="C12" s="46">
        <f t="shared" si="0"/>
        <v>40.384615384615387</v>
      </c>
      <c r="D12" s="46">
        <f t="shared" si="1"/>
        <v>51.923076923076927</v>
      </c>
      <c r="E12" s="46">
        <f t="shared" si="2"/>
        <v>67.307692307692307</v>
      </c>
      <c r="F12" s="46">
        <f t="shared" si="3"/>
        <v>82.692307692307693</v>
      </c>
      <c r="G12" s="46" t="str">
        <f t="shared" si="4"/>
        <v>54 - 78</v>
      </c>
      <c r="H12" s="602">
        <f t="shared" si="5"/>
        <v>11.53846153846154</v>
      </c>
      <c r="I12" s="636">
        <f t="shared" si="6"/>
        <v>15.38461538461538</v>
      </c>
      <c r="J12" s="635">
        <f t="shared" si="7"/>
        <v>15.384615384615387</v>
      </c>
      <c r="K12" s="635">
        <f t="shared" si="8"/>
        <v>82.692307692307693</v>
      </c>
      <c r="L12" s="635">
        <v>80</v>
      </c>
      <c r="M12" s="427">
        <v>21</v>
      </c>
      <c r="N12" s="427">
        <v>52</v>
      </c>
      <c r="O12" s="427">
        <v>6</v>
      </c>
      <c r="P12" s="427">
        <v>52</v>
      </c>
      <c r="Q12" s="427">
        <v>8</v>
      </c>
      <c r="R12" s="427">
        <v>52</v>
      </c>
      <c r="S12" s="427">
        <v>8</v>
      </c>
      <c r="T12" s="427">
        <v>52</v>
      </c>
      <c r="U12" s="427">
        <v>43</v>
      </c>
      <c r="V12" s="427">
        <v>52</v>
      </c>
    </row>
    <row r="13" spans="1:22">
      <c r="A13" s="45" t="s">
        <v>98</v>
      </c>
      <c r="B13" s="45" t="s">
        <v>99</v>
      </c>
      <c r="C13" s="46">
        <f t="shared" si="0"/>
        <v>32.432432432432435</v>
      </c>
      <c r="D13" s="46">
        <f t="shared" si="1"/>
        <v>37.837837837837839</v>
      </c>
      <c r="E13" s="46">
        <f t="shared" si="2"/>
        <v>78.378378378378372</v>
      </c>
      <c r="F13" s="46">
        <f t="shared" si="3"/>
        <v>94.594594594594597</v>
      </c>
      <c r="G13" s="46" t="str">
        <f t="shared" si="4"/>
        <v>63 - 89</v>
      </c>
      <c r="H13" s="602">
        <f t="shared" si="5"/>
        <v>5.4054054054054035</v>
      </c>
      <c r="I13" s="636">
        <f t="shared" si="6"/>
        <v>40.540540540540533</v>
      </c>
      <c r="J13" s="635">
        <f t="shared" si="7"/>
        <v>16.216216216216225</v>
      </c>
      <c r="K13" s="635">
        <f t="shared" si="8"/>
        <v>94.594594594594597</v>
      </c>
      <c r="L13" s="635">
        <v>80</v>
      </c>
      <c r="M13" s="427">
        <v>12</v>
      </c>
      <c r="N13" s="427">
        <v>37</v>
      </c>
      <c r="O13" s="427">
        <v>2</v>
      </c>
      <c r="P13" s="427">
        <v>37</v>
      </c>
      <c r="Q13" s="427">
        <v>15</v>
      </c>
      <c r="R13" s="427">
        <v>37</v>
      </c>
      <c r="S13" s="427">
        <v>6</v>
      </c>
      <c r="T13" s="427">
        <v>37</v>
      </c>
      <c r="U13" s="427">
        <v>35</v>
      </c>
      <c r="V13" s="427">
        <v>37</v>
      </c>
    </row>
    <row r="14" spans="1:22">
      <c r="A14" s="45" t="s">
        <v>101</v>
      </c>
      <c r="B14" s="45" t="s">
        <v>102</v>
      </c>
      <c r="C14" s="46">
        <f t="shared" si="0"/>
        <v>7.098765432098765</v>
      </c>
      <c r="D14" s="46">
        <f t="shared" si="1"/>
        <v>19.753086419753085</v>
      </c>
      <c r="E14" s="46">
        <f t="shared" si="2"/>
        <v>75.925925925925924</v>
      </c>
      <c r="F14" s="46">
        <f t="shared" si="3"/>
        <v>87.037037037037038</v>
      </c>
      <c r="G14" s="46" t="str">
        <f t="shared" si="4"/>
        <v>71 - 80</v>
      </c>
      <c r="H14" s="602">
        <f t="shared" si="5"/>
        <v>12.654320987654319</v>
      </c>
      <c r="I14" s="636">
        <f t="shared" si="6"/>
        <v>56.172839506172835</v>
      </c>
      <c r="J14" s="635">
        <f t="shared" si="7"/>
        <v>11.111111111111114</v>
      </c>
      <c r="K14" s="635">
        <f t="shared" si="8"/>
        <v>87.037037037037038</v>
      </c>
      <c r="L14" s="635">
        <v>80</v>
      </c>
      <c r="M14" s="427">
        <v>23</v>
      </c>
      <c r="N14" s="427">
        <v>324</v>
      </c>
      <c r="O14" s="427">
        <v>41</v>
      </c>
      <c r="P14" s="427">
        <v>324</v>
      </c>
      <c r="Q14" s="427">
        <v>182</v>
      </c>
      <c r="R14" s="427">
        <v>324</v>
      </c>
      <c r="S14" s="427">
        <v>36</v>
      </c>
      <c r="T14" s="427">
        <v>324</v>
      </c>
      <c r="U14" s="427">
        <v>282</v>
      </c>
      <c r="V14" s="427">
        <v>324</v>
      </c>
    </row>
    <row r="15" spans="1:22">
      <c r="A15" s="45" t="s">
        <v>104</v>
      </c>
      <c r="B15" s="45" t="s">
        <v>105</v>
      </c>
      <c r="C15" s="46">
        <f t="shared" si="0"/>
        <v>0</v>
      </c>
      <c r="D15" s="46">
        <f t="shared" si="1"/>
        <v>20.81447963800905</v>
      </c>
      <c r="E15" s="46">
        <f t="shared" si="2"/>
        <v>85.520361990950221</v>
      </c>
      <c r="F15" s="46">
        <f t="shared" si="3"/>
        <v>96.380090497737555</v>
      </c>
      <c r="G15" s="46" t="str">
        <f t="shared" si="4"/>
        <v>80 - 90</v>
      </c>
      <c r="H15" s="602">
        <f t="shared" si="5"/>
        <v>20.81447963800905</v>
      </c>
      <c r="I15" s="636">
        <f t="shared" si="6"/>
        <v>64.705882352941174</v>
      </c>
      <c r="J15" s="635">
        <f t="shared" si="7"/>
        <v>10.859728506787334</v>
      </c>
      <c r="K15" s="635">
        <f t="shared" si="8"/>
        <v>96.380090497737555</v>
      </c>
      <c r="L15" s="635">
        <v>80</v>
      </c>
      <c r="M15" s="427">
        <v>0</v>
      </c>
      <c r="N15" s="427">
        <v>221</v>
      </c>
      <c r="O15" s="427">
        <v>46</v>
      </c>
      <c r="P15" s="427">
        <v>221</v>
      </c>
      <c r="Q15" s="427">
        <v>143</v>
      </c>
      <c r="R15" s="427">
        <v>221</v>
      </c>
      <c r="S15" s="427">
        <v>24</v>
      </c>
      <c r="T15" s="427">
        <v>221</v>
      </c>
      <c r="U15" s="427">
        <v>213</v>
      </c>
      <c r="V15" s="427">
        <v>221</v>
      </c>
    </row>
    <row r="16" spans="1:22">
      <c r="A16" s="45" t="s">
        <v>107</v>
      </c>
      <c r="B16" s="45" t="s">
        <v>108</v>
      </c>
      <c r="C16" s="46">
        <f t="shared" si="0"/>
        <v>10.48951048951049</v>
      </c>
      <c r="D16" s="46">
        <f t="shared" si="1"/>
        <v>47.552447552447553</v>
      </c>
      <c r="E16" s="46">
        <f t="shared" si="2"/>
        <v>84.615384615384613</v>
      </c>
      <c r="F16" s="46">
        <f t="shared" si="3"/>
        <v>100</v>
      </c>
      <c r="G16" s="46" t="str">
        <f t="shared" si="4"/>
        <v>78 - 90</v>
      </c>
      <c r="H16" s="602">
        <f t="shared" si="5"/>
        <v>37.062937062937067</v>
      </c>
      <c r="I16" s="636">
        <f t="shared" si="6"/>
        <v>37.06293706293706</v>
      </c>
      <c r="J16" s="635">
        <f t="shared" si="7"/>
        <v>15.384615384615387</v>
      </c>
      <c r="K16" s="635">
        <f t="shared" si="8"/>
        <v>100</v>
      </c>
      <c r="L16" s="635">
        <v>80</v>
      </c>
      <c r="M16" s="427">
        <v>15</v>
      </c>
      <c r="N16" s="427">
        <v>143</v>
      </c>
      <c r="O16" s="427">
        <v>53</v>
      </c>
      <c r="P16" s="427">
        <v>143</v>
      </c>
      <c r="Q16" s="427">
        <v>53</v>
      </c>
      <c r="R16" s="427">
        <v>143</v>
      </c>
      <c r="S16" s="427">
        <v>22</v>
      </c>
      <c r="T16" s="427">
        <v>143</v>
      </c>
      <c r="U16" s="427">
        <v>143</v>
      </c>
      <c r="V16" s="427">
        <v>143</v>
      </c>
    </row>
    <row r="17" spans="1:22">
      <c r="A17" s="45" t="s">
        <v>110</v>
      </c>
      <c r="B17" s="45" t="s">
        <v>109</v>
      </c>
      <c r="C17" s="46">
        <f t="shared" si="0"/>
        <v>2.9411764705882351</v>
      </c>
      <c r="D17" s="46">
        <f t="shared" si="1"/>
        <v>35.294117647058826</v>
      </c>
      <c r="E17" s="46">
        <f t="shared" si="2"/>
        <v>86.470588235294116</v>
      </c>
      <c r="F17" s="46">
        <f t="shared" si="3"/>
        <v>98.82352941176471</v>
      </c>
      <c r="G17" s="46" t="str">
        <f t="shared" si="4"/>
        <v>81 - 91</v>
      </c>
      <c r="H17" s="602">
        <f t="shared" si="5"/>
        <v>32.352941176470594</v>
      </c>
      <c r="I17" s="636">
        <f t="shared" si="6"/>
        <v>51.17647058823529</v>
      </c>
      <c r="J17" s="635">
        <f t="shared" si="7"/>
        <v>12.352941176470594</v>
      </c>
      <c r="K17" s="635">
        <f t="shared" si="8"/>
        <v>98.82352941176471</v>
      </c>
      <c r="L17" s="635">
        <v>80</v>
      </c>
      <c r="M17" s="427">
        <v>5</v>
      </c>
      <c r="N17" s="427">
        <v>170</v>
      </c>
      <c r="O17" s="427">
        <v>55</v>
      </c>
      <c r="P17" s="427">
        <v>170</v>
      </c>
      <c r="Q17" s="427">
        <v>87</v>
      </c>
      <c r="R17" s="427">
        <v>170</v>
      </c>
      <c r="S17" s="427">
        <v>21</v>
      </c>
      <c r="T17" s="427">
        <v>170</v>
      </c>
      <c r="U17" s="427">
        <v>168</v>
      </c>
      <c r="V17" s="427">
        <v>170</v>
      </c>
    </row>
    <row r="18" spans="1:22">
      <c r="A18" s="45" t="s">
        <v>115</v>
      </c>
      <c r="B18" s="45" t="s">
        <v>116</v>
      </c>
      <c r="C18" s="46">
        <f t="shared" si="0"/>
        <v>7.3170731707317067</v>
      </c>
      <c r="D18" s="46">
        <f t="shared" si="1"/>
        <v>21.341463414634145</v>
      </c>
      <c r="E18" s="46">
        <f t="shared" si="2"/>
        <v>81.097560975609767</v>
      </c>
      <c r="F18" s="46">
        <f t="shared" si="3"/>
        <v>92.073170731707322</v>
      </c>
      <c r="G18" s="46" t="str">
        <f t="shared" si="4"/>
        <v>74 - 86</v>
      </c>
      <c r="H18" s="602">
        <f t="shared" si="5"/>
        <v>14.024390243902438</v>
      </c>
      <c r="I18" s="636">
        <f t="shared" si="6"/>
        <v>59.756097560975618</v>
      </c>
      <c r="J18" s="635">
        <f t="shared" si="7"/>
        <v>10.975609756097555</v>
      </c>
      <c r="K18" s="635">
        <f t="shared" si="8"/>
        <v>92.073170731707322</v>
      </c>
      <c r="L18" s="635">
        <v>80</v>
      </c>
      <c r="M18" s="427">
        <v>12</v>
      </c>
      <c r="N18" s="427">
        <v>164</v>
      </c>
      <c r="O18" s="427">
        <v>23</v>
      </c>
      <c r="P18" s="427">
        <v>164</v>
      </c>
      <c r="Q18" s="427">
        <v>98</v>
      </c>
      <c r="R18" s="427">
        <v>164</v>
      </c>
      <c r="S18" s="427">
        <v>18</v>
      </c>
      <c r="T18" s="427">
        <v>164</v>
      </c>
      <c r="U18" s="427">
        <v>151</v>
      </c>
      <c r="V18" s="427">
        <v>164</v>
      </c>
    </row>
    <row r="19" spans="1:22">
      <c r="A19" s="45" t="s">
        <v>118</v>
      </c>
      <c r="B19" s="45" t="s">
        <v>119</v>
      </c>
      <c r="C19" s="46">
        <f t="shared" si="0"/>
        <v>20.806451612903228</v>
      </c>
      <c r="D19" s="46">
        <f t="shared" si="1"/>
        <v>48.70967741935484</v>
      </c>
      <c r="E19" s="46">
        <f t="shared" si="2"/>
        <v>94.677419354838705</v>
      </c>
      <c r="F19" s="46">
        <f t="shared" si="3"/>
        <v>99.516129032258064</v>
      </c>
      <c r="G19" s="46" t="str">
        <f t="shared" si="4"/>
        <v>93 - 96</v>
      </c>
      <c r="H19" s="602">
        <f t="shared" si="5"/>
        <v>27.903225806451612</v>
      </c>
      <c r="I19" s="636">
        <f t="shared" si="6"/>
        <v>45.967741935483865</v>
      </c>
      <c r="J19" s="635">
        <f t="shared" si="7"/>
        <v>4.8387096774193594</v>
      </c>
      <c r="K19" s="635">
        <f t="shared" si="8"/>
        <v>99.516129032258064</v>
      </c>
      <c r="L19" s="635">
        <v>80</v>
      </c>
      <c r="M19" s="427">
        <v>129</v>
      </c>
      <c r="N19" s="427">
        <v>620</v>
      </c>
      <c r="O19" s="427">
        <v>173</v>
      </c>
      <c r="P19" s="427">
        <v>620</v>
      </c>
      <c r="Q19" s="427">
        <v>285</v>
      </c>
      <c r="R19" s="427">
        <v>620</v>
      </c>
      <c r="S19" s="427">
        <v>30</v>
      </c>
      <c r="T19" s="427">
        <v>620</v>
      </c>
      <c r="U19" s="427">
        <v>617</v>
      </c>
      <c r="V19" s="427">
        <v>620</v>
      </c>
    </row>
    <row r="20" spans="1:22">
      <c r="A20" s="45" t="s">
        <v>127</v>
      </c>
      <c r="B20" s="45" t="s">
        <v>128</v>
      </c>
      <c r="C20" s="46">
        <f t="shared" si="0"/>
        <v>3.9106145251396649</v>
      </c>
      <c r="D20" s="46">
        <f t="shared" si="1"/>
        <v>40.22346368715084</v>
      </c>
      <c r="E20" s="46">
        <f t="shared" si="2"/>
        <v>92.178770949720672</v>
      </c>
      <c r="F20" s="46">
        <f t="shared" si="3"/>
        <v>98.882681564245814</v>
      </c>
      <c r="G20" s="46" t="str">
        <f t="shared" si="4"/>
        <v>87 - 95</v>
      </c>
      <c r="H20" s="602">
        <f t="shared" si="5"/>
        <v>36.312849162011176</v>
      </c>
      <c r="I20" s="636">
        <f t="shared" si="6"/>
        <v>51.955307262569832</v>
      </c>
      <c r="J20" s="635">
        <f t="shared" si="7"/>
        <v>6.7039106145251424</v>
      </c>
      <c r="K20" s="635">
        <f t="shared" si="8"/>
        <v>98.882681564245814</v>
      </c>
      <c r="L20" s="635">
        <v>80</v>
      </c>
      <c r="M20" s="427">
        <v>7</v>
      </c>
      <c r="N20" s="427">
        <v>179</v>
      </c>
      <c r="O20" s="427">
        <v>65</v>
      </c>
      <c r="P20" s="427">
        <v>179</v>
      </c>
      <c r="Q20" s="427">
        <v>93</v>
      </c>
      <c r="R20" s="427">
        <v>179</v>
      </c>
      <c r="S20" s="427">
        <v>12</v>
      </c>
      <c r="T20" s="427">
        <v>179</v>
      </c>
      <c r="U20" s="427">
        <v>177</v>
      </c>
      <c r="V20" s="427">
        <v>179</v>
      </c>
    </row>
    <row r="21" spans="1:22">
      <c r="A21" s="45" t="s">
        <v>130</v>
      </c>
      <c r="B21" s="45" t="s">
        <v>131</v>
      </c>
      <c r="C21" s="46">
        <f t="shared" si="0"/>
        <v>1.9801980198019802</v>
      </c>
      <c r="D21" s="46">
        <f t="shared" si="1"/>
        <v>17.82178217821782</v>
      </c>
      <c r="E21" s="46">
        <f t="shared" si="2"/>
        <v>67.32673267326733</v>
      </c>
      <c r="F21" s="46">
        <f t="shared" si="3"/>
        <v>88.118811881188122</v>
      </c>
      <c r="G21" s="46" t="str">
        <f t="shared" si="4"/>
        <v>58 - 76</v>
      </c>
      <c r="H21" s="602">
        <f t="shared" si="5"/>
        <v>15.84158415841584</v>
      </c>
      <c r="I21" s="636">
        <f t="shared" si="6"/>
        <v>49.504950495049513</v>
      </c>
      <c r="J21" s="635">
        <f t="shared" si="7"/>
        <v>20.792079207920793</v>
      </c>
      <c r="K21" s="635">
        <f t="shared" si="8"/>
        <v>88.118811881188122</v>
      </c>
      <c r="L21" s="635">
        <v>80</v>
      </c>
      <c r="M21" s="427">
        <v>2</v>
      </c>
      <c r="N21" s="427">
        <v>101</v>
      </c>
      <c r="O21" s="427">
        <v>16</v>
      </c>
      <c r="P21" s="427">
        <v>101</v>
      </c>
      <c r="Q21" s="427">
        <v>50</v>
      </c>
      <c r="R21" s="427">
        <v>101</v>
      </c>
      <c r="S21" s="427">
        <v>21</v>
      </c>
      <c r="T21" s="427">
        <v>101</v>
      </c>
      <c r="U21" s="427">
        <v>89</v>
      </c>
      <c r="V21" s="427">
        <v>101</v>
      </c>
    </row>
    <row r="22" spans="1:22">
      <c r="A22" s="45" t="s">
        <v>39</v>
      </c>
      <c r="B22" s="45" t="s">
        <v>136</v>
      </c>
      <c r="C22" s="46">
        <f t="shared" si="0"/>
        <v>0</v>
      </c>
      <c r="D22" s="46">
        <f t="shared" si="1"/>
        <v>13.333333333333334</v>
      </c>
      <c r="E22" s="46">
        <f t="shared" si="2"/>
        <v>66.666666666666657</v>
      </c>
      <c r="F22" s="46">
        <f t="shared" si="3"/>
        <v>73.333333333333329</v>
      </c>
      <c r="G22" s="46" t="str">
        <f t="shared" si="4"/>
        <v>42 - 85</v>
      </c>
      <c r="H22" s="598">
        <f t="shared" si="5"/>
        <v>13.333333333333334</v>
      </c>
      <c r="I22" s="634">
        <f t="shared" si="6"/>
        <v>53.333333333333321</v>
      </c>
      <c r="J22" s="633">
        <f t="shared" si="7"/>
        <v>6.6666666666666714</v>
      </c>
      <c r="K22" s="633">
        <f t="shared" si="8"/>
        <v>73.333333333333329</v>
      </c>
      <c r="L22" s="632">
        <v>80</v>
      </c>
      <c r="M22" s="427">
        <v>0</v>
      </c>
      <c r="N22" s="427">
        <v>15</v>
      </c>
      <c r="O22" s="427">
        <v>2</v>
      </c>
      <c r="P22" s="427">
        <v>15</v>
      </c>
      <c r="Q22" s="427">
        <v>8</v>
      </c>
      <c r="R22" s="427">
        <v>15</v>
      </c>
      <c r="S22" s="427">
        <v>1</v>
      </c>
      <c r="T22" s="427">
        <v>15</v>
      </c>
      <c r="U22" s="427">
        <v>11</v>
      </c>
      <c r="V22" s="427">
        <v>15</v>
      </c>
    </row>
    <row r="23" spans="1:22">
      <c r="A23" s="51"/>
      <c r="C23" s="34"/>
      <c r="D23" s="34"/>
      <c r="E23" s="34"/>
      <c r="F23" s="34"/>
      <c r="G23" s="34"/>
      <c r="H23" s="34"/>
    </row>
    <row r="24" spans="1:22">
      <c r="A24" s="51"/>
      <c r="C24" s="34"/>
      <c r="D24" s="34"/>
      <c r="E24" s="34"/>
      <c r="F24" s="34"/>
      <c r="G24" s="34"/>
      <c r="H24" s="34"/>
    </row>
    <row r="25" spans="1:22" ht="38.25" customHeight="1">
      <c r="A25" s="902" t="s">
        <v>138</v>
      </c>
      <c r="B25" s="903"/>
      <c r="C25" s="904" t="str">
        <f>E2</f>
        <v>Within 4 Days</v>
      </c>
      <c r="D25" s="904"/>
      <c r="E25" s="904"/>
      <c r="F25" s="904"/>
      <c r="G25" s="904"/>
      <c r="H25" s="904"/>
      <c r="I25" s="904"/>
      <c r="J25" s="904"/>
      <c r="K25" s="904"/>
      <c r="L25" s="905"/>
      <c r="M25" s="906"/>
      <c r="N25" s="907"/>
    </row>
    <row r="26" spans="1:22" ht="30" customHeight="1">
      <c r="A26" s="89"/>
      <c r="B26" s="53" t="s">
        <v>140</v>
      </c>
      <c r="C26" s="90" t="s">
        <v>44</v>
      </c>
      <c r="D26" s="90" t="s">
        <v>182</v>
      </c>
      <c r="E26" s="914" t="str">
        <f>U2</f>
        <v>Numerator</v>
      </c>
      <c r="F26" s="914"/>
      <c r="G26" s="915" t="str">
        <f>V2</f>
        <v>Denominator</v>
      </c>
      <c r="H26" s="915"/>
      <c r="I26" s="915"/>
      <c r="J26" s="915"/>
      <c r="K26" s="915"/>
      <c r="L26" s="916"/>
      <c r="M26" s="580"/>
      <c r="N26" s="581"/>
      <c r="R26" s="1"/>
    </row>
    <row r="27" spans="1:22" ht="15">
      <c r="A27" s="858"/>
      <c r="B27" s="60" t="s">
        <v>35</v>
      </c>
      <c r="C27" s="46">
        <f t="shared" ref="C27:C40" si="10">IF(ISERROR(E27/G27*100),"-",E27/G27*100)</f>
        <v>91.065292096219935</v>
      </c>
      <c r="D27" s="91" t="str">
        <f t="shared" ref="D27:D40" si="11">IF(ISERROR(IF(AND(G27&gt;0,ROUND(SUM(100*((2*E27+1.96^2)-(1.96*(SQRT(1.96^2+4*E27*(1-(E27/G27))))))/(2*(G27+1.96^2))),0)&lt;0),CONCATENATE(SUM(1*0)," - ",ROUND(SUM(100*((2*E27+1.96^2)+(1.96*(SQRT(1.96^2+4*E27*(1-(E27/G27))))))/(2*(G27+1.96^2))),0)),IF(AND(G27&gt;0,ROUND(SUM(100*((2*E27+1.96^2)-(1.96*(SQRT(1.96^2+4*E27*(1-(E27/G27))))))/(2*(G27+1.96^2))),0)&gt;=0),CONCATENATE(ROUND(SUM(100*((2*E27+1.96^2)-(1.96*(SQRT(1.96^2+4*E27*(1-(E27/G27))))))/(2*(G27+1.96^2))),0)," - ",ROUND(SUM(100*((2*E27+1.96^2)+(1.96*(SQRT(1.96^2+4*E27*(1-(E27/G27))))))/(2*(G27+1.96^2))),0)),""))),"-",IF(AND(G27&gt;0,ROUND(SUM(100*((2*E27+1.96^2)-(1.96*(SQRT(1.96^2+4*E27*(1-(E27/G27))))))/(2*(G27+1.96^2))),0)&lt;0),CONCATENATE(SUM(1*0)," - ",ROUND(SUM(100*((2*E27+1.96^2)+(1.96*(SQRT(1.96^2+4*E27*(1-(E27/G27))))))/(2*(G27+1.96^2))),0)),IF(AND(G27&gt;0,ROUND(SUM(100*((2*E27+1.96^2)-(1.96*(SQRT(1.96^2+4*E27*(1-(E27/G27))))))/(2*(G27+1.96^2))),0)&gt;=0),CONCATENATE(ROUND(SUM(100*((2*E27+1.96^2)-(1.96*(SQRT(1.96^2+4*E27*(1-(E27/G27))))))/(2*(G27+1.96^2))),0)," - ",ROUND(SUM(100*((2*E27+1.96^2)+(1.96*(SQRT(1.96^2+4*E27*(1-(E27/G27))))))/(2*(G27+1.96^2))),0)),"")))</f>
        <v>87 - 94</v>
      </c>
      <c r="E27" s="912">
        <v>265</v>
      </c>
      <c r="F27" s="913"/>
      <c r="G27" s="909">
        <v>291</v>
      </c>
      <c r="H27" s="910"/>
      <c r="I27" s="910"/>
      <c r="J27" s="910"/>
      <c r="K27" s="910"/>
      <c r="L27" s="911"/>
      <c r="M27" s="378">
        <f t="shared" ref="M27:M36" si="12">SUM(1*MID(D27,1,FIND(" - ",D27)-1))</f>
        <v>87</v>
      </c>
      <c r="N27" s="377">
        <f t="shared" ref="N27:N36" si="13">SUM(1*MID(D27,FIND(" - ",D27)+2,LEN(D27)))</f>
        <v>94</v>
      </c>
      <c r="R27" s="1"/>
    </row>
    <row r="28" spans="1:22" ht="15">
      <c r="A28" s="859"/>
      <c r="B28" s="60" t="s">
        <v>30</v>
      </c>
      <c r="C28" s="46">
        <f t="shared" si="10"/>
        <v>86.956521739130437</v>
      </c>
      <c r="D28" s="91" t="str">
        <f t="shared" si="11"/>
        <v>80 - 92</v>
      </c>
      <c r="E28" s="912">
        <v>120</v>
      </c>
      <c r="F28" s="913"/>
      <c r="G28" s="909">
        <v>138</v>
      </c>
      <c r="H28" s="910"/>
      <c r="I28" s="910"/>
      <c r="J28" s="910"/>
      <c r="K28" s="910"/>
      <c r="L28" s="911"/>
      <c r="M28" s="373">
        <f t="shared" si="12"/>
        <v>80</v>
      </c>
      <c r="N28" s="372">
        <f t="shared" si="13"/>
        <v>92</v>
      </c>
      <c r="P28" s="376"/>
      <c r="Q28" s="376"/>
      <c r="R28" s="376"/>
    </row>
    <row r="29" spans="1:22" ht="15">
      <c r="A29" s="859"/>
      <c r="B29" s="60" t="s">
        <v>33</v>
      </c>
      <c r="C29" s="46">
        <f t="shared" si="10"/>
        <v>84.816753926701566</v>
      </c>
      <c r="D29" s="91" t="str">
        <f t="shared" si="11"/>
        <v>79 - 89</v>
      </c>
      <c r="E29" s="912">
        <v>162</v>
      </c>
      <c r="F29" s="913"/>
      <c r="G29" s="909">
        <v>191</v>
      </c>
      <c r="H29" s="910"/>
      <c r="I29" s="910"/>
      <c r="J29" s="910"/>
      <c r="K29" s="910"/>
      <c r="L29" s="911"/>
      <c r="M29" s="373">
        <f t="shared" si="12"/>
        <v>79</v>
      </c>
      <c r="N29" s="372">
        <f t="shared" si="13"/>
        <v>89</v>
      </c>
      <c r="R29" s="1"/>
    </row>
    <row r="30" spans="1:22" ht="15">
      <c r="A30" s="859"/>
      <c r="B30" s="60" t="s">
        <v>32</v>
      </c>
      <c r="C30" s="46">
        <f t="shared" si="10"/>
        <v>73.799126637554593</v>
      </c>
      <c r="D30" s="91" t="str">
        <f t="shared" si="11"/>
        <v>70 - 78</v>
      </c>
      <c r="E30" s="912">
        <v>338</v>
      </c>
      <c r="F30" s="913"/>
      <c r="G30" s="909">
        <v>458</v>
      </c>
      <c r="H30" s="910"/>
      <c r="I30" s="910"/>
      <c r="J30" s="910"/>
      <c r="K30" s="910"/>
      <c r="L30" s="911"/>
      <c r="M30" s="373">
        <f t="shared" si="12"/>
        <v>70</v>
      </c>
      <c r="N30" s="372">
        <f t="shared" si="13"/>
        <v>78</v>
      </c>
    </row>
    <row r="31" spans="1:22" ht="15">
      <c r="A31" s="859"/>
      <c r="B31" s="60" t="s">
        <v>37</v>
      </c>
      <c r="C31" s="46">
        <f t="shared" si="10"/>
        <v>93.288590604026851</v>
      </c>
      <c r="D31" s="91" t="str">
        <f t="shared" si="11"/>
        <v>90 - 96</v>
      </c>
      <c r="E31" s="912">
        <v>278</v>
      </c>
      <c r="F31" s="913"/>
      <c r="G31" s="909">
        <v>298</v>
      </c>
      <c r="H31" s="910"/>
      <c r="I31" s="910"/>
      <c r="J31" s="910"/>
      <c r="K31" s="910"/>
      <c r="L31" s="911"/>
      <c r="M31" s="373">
        <f t="shared" si="12"/>
        <v>90</v>
      </c>
      <c r="N31" s="372">
        <f t="shared" si="13"/>
        <v>96</v>
      </c>
    </row>
    <row r="32" spans="1:22" ht="15">
      <c r="A32" s="859"/>
      <c r="B32" s="60" t="s">
        <v>36</v>
      </c>
      <c r="C32" s="46">
        <f t="shared" si="10"/>
        <v>69.498069498069498</v>
      </c>
      <c r="D32" s="91" t="str">
        <f t="shared" si="11"/>
        <v>65 - 73</v>
      </c>
      <c r="E32" s="912">
        <v>360</v>
      </c>
      <c r="F32" s="913"/>
      <c r="G32" s="909">
        <v>518</v>
      </c>
      <c r="H32" s="910"/>
      <c r="I32" s="910"/>
      <c r="J32" s="910"/>
      <c r="K32" s="910"/>
      <c r="L32" s="911"/>
      <c r="M32" s="373">
        <f t="shared" si="12"/>
        <v>65</v>
      </c>
      <c r="N32" s="372">
        <f t="shared" si="13"/>
        <v>73</v>
      </c>
    </row>
    <row r="33" spans="1:14" ht="15">
      <c r="A33" s="859"/>
      <c r="B33" s="60" t="s">
        <v>42</v>
      </c>
      <c r="C33" s="46" t="str">
        <f t="shared" si="10"/>
        <v>-</v>
      </c>
      <c r="D33" s="91" t="str">
        <f t="shared" si="11"/>
        <v>-</v>
      </c>
      <c r="E33" s="912" t="s">
        <v>268</v>
      </c>
      <c r="F33" s="913"/>
      <c r="G33" s="909" t="s">
        <v>268</v>
      </c>
      <c r="H33" s="910"/>
      <c r="I33" s="910"/>
      <c r="J33" s="910"/>
      <c r="K33" s="910"/>
      <c r="L33" s="911"/>
      <c r="M33" s="373" t="e">
        <f t="shared" si="12"/>
        <v>#VALUE!</v>
      </c>
      <c r="N33" s="372" t="e">
        <f t="shared" si="13"/>
        <v>#VALUE!</v>
      </c>
    </row>
    <row r="34" spans="1:14" ht="15">
      <c r="A34" s="859"/>
      <c r="B34" s="60" t="s">
        <v>38</v>
      </c>
      <c r="C34" s="46">
        <f t="shared" si="10"/>
        <v>76.177285318559569</v>
      </c>
      <c r="D34" s="91" t="str">
        <f t="shared" si="11"/>
        <v>72 - 80</v>
      </c>
      <c r="E34" s="912">
        <v>275</v>
      </c>
      <c r="F34" s="913"/>
      <c r="G34" s="909">
        <v>361</v>
      </c>
      <c r="H34" s="910"/>
      <c r="I34" s="910"/>
      <c r="J34" s="910"/>
      <c r="K34" s="910"/>
      <c r="L34" s="911"/>
      <c r="M34" s="373">
        <f t="shared" si="12"/>
        <v>72</v>
      </c>
      <c r="N34" s="372">
        <f t="shared" si="13"/>
        <v>80</v>
      </c>
    </row>
    <row r="35" spans="1:14" ht="15">
      <c r="A35" s="859"/>
      <c r="B35" s="60" t="s">
        <v>31</v>
      </c>
      <c r="C35" s="46">
        <f t="shared" si="10"/>
        <v>85.580524344569284</v>
      </c>
      <c r="D35" s="91" t="str">
        <f t="shared" si="11"/>
        <v>82 - 88</v>
      </c>
      <c r="E35" s="912">
        <v>457</v>
      </c>
      <c r="F35" s="913"/>
      <c r="G35" s="909">
        <v>534</v>
      </c>
      <c r="H35" s="910"/>
      <c r="I35" s="910"/>
      <c r="J35" s="910"/>
      <c r="K35" s="910"/>
      <c r="L35" s="911"/>
      <c r="M35" s="373">
        <f t="shared" si="12"/>
        <v>82</v>
      </c>
      <c r="N35" s="372">
        <f t="shared" si="13"/>
        <v>88</v>
      </c>
    </row>
    <row r="36" spans="1:14" ht="15">
      <c r="A36" s="859"/>
      <c r="B36" s="60" t="s">
        <v>40</v>
      </c>
      <c r="C36" s="46">
        <f t="shared" si="10"/>
        <v>91.83673469387756</v>
      </c>
      <c r="D36" s="91" t="str">
        <f t="shared" si="11"/>
        <v>90 - 94</v>
      </c>
      <c r="E36" s="912">
        <v>720</v>
      </c>
      <c r="F36" s="913"/>
      <c r="G36" s="909">
        <v>784</v>
      </c>
      <c r="H36" s="910"/>
      <c r="I36" s="910"/>
      <c r="J36" s="910"/>
      <c r="K36" s="910"/>
      <c r="L36" s="911"/>
      <c r="M36" s="373">
        <f t="shared" si="12"/>
        <v>90</v>
      </c>
      <c r="N36" s="372">
        <f t="shared" si="13"/>
        <v>94</v>
      </c>
    </row>
    <row r="37" spans="1:14" ht="15">
      <c r="A37" s="859"/>
      <c r="B37" s="60" t="s">
        <v>43</v>
      </c>
      <c r="C37" s="46" t="str">
        <f t="shared" si="10"/>
        <v>-</v>
      </c>
      <c r="D37" s="91" t="str">
        <f t="shared" si="11"/>
        <v>-</v>
      </c>
      <c r="E37" s="912" t="s">
        <v>268</v>
      </c>
      <c r="F37" s="913"/>
      <c r="G37" s="909" t="s">
        <v>268</v>
      </c>
      <c r="H37" s="910"/>
      <c r="I37" s="910"/>
      <c r="J37" s="910"/>
      <c r="K37" s="910"/>
      <c r="L37" s="911"/>
      <c r="M37" s="375"/>
      <c r="N37" s="374"/>
    </row>
    <row r="38" spans="1:14" ht="15">
      <c r="A38" s="859"/>
      <c r="B38" s="60" t="s">
        <v>41</v>
      </c>
      <c r="C38" s="46" t="str">
        <f t="shared" si="10"/>
        <v>-</v>
      </c>
      <c r="D38" s="91" t="str">
        <f t="shared" si="11"/>
        <v>-</v>
      </c>
      <c r="E38" s="912" t="s">
        <v>268</v>
      </c>
      <c r="F38" s="913"/>
      <c r="G38" s="909" t="s">
        <v>268</v>
      </c>
      <c r="H38" s="910"/>
      <c r="I38" s="910"/>
      <c r="J38" s="910"/>
      <c r="K38" s="910"/>
      <c r="L38" s="911"/>
      <c r="M38" s="375"/>
      <c r="N38" s="374"/>
    </row>
    <row r="39" spans="1:14" ht="15">
      <c r="A39" s="859"/>
      <c r="B39" s="60" t="s">
        <v>34</v>
      </c>
      <c r="C39" s="46">
        <f t="shared" si="10"/>
        <v>83.214285714285722</v>
      </c>
      <c r="D39" s="91" t="str">
        <f t="shared" si="11"/>
        <v>78 - 87</v>
      </c>
      <c r="E39" s="912">
        <v>233</v>
      </c>
      <c r="F39" s="913"/>
      <c r="G39" s="909">
        <v>280</v>
      </c>
      <c r="H39" s="910"/>
      <c r="I39" s="910"/>
      <c r="J39" s="910"/>
      <c r="K39" s="910"/>
      <c r="L39" s="911"/>
      <c r="M39" s="373">
        <f>SUM(1*MID(D39,1,FIND(" - ",D39)-1))</f>
        <v>78</v>
      </c>
      <c r="N39" s="372">
        <f>SUM(1*MID(D39,FIND(" - ",D39)+2,LEN(D39)))</f>
        <v>87</v>
      </c>
    </row>
    <row r="40" spans="1:14" ht="15">
      <c r="A40" s="860"/>
      <c r="B40" s="60" t="s">
        <v>39</v>
      </c>
      <c r="C40" s="46">
        <f t="shared" si="10"/>
        <v>66.666666666666657</v>
      </c>
      <c r="D40" s="91" t="str">
        <f t="shared" si="11"/>
        <v>42 - 85</v>
      </c>
      <c r="E40" s="912">
        <v>10</v>
      </c>
      <c r="F40" s="913"/>
      <c r="G40" s="909">
        <v>15</v>
      </c>
      <c r="H40" s="910"/>
      <c r="I40" s="910"/>
      <c r="J40" s="910"/>
      <c r="K40" s="910"/>
      <c r="L40" s="911"/>
      <c r="M40" s="373">
        <f>SUM(1*MID(D40,1,FIND(" - ",D40)-1))</f>
        <v>42</v>
      </c>
      <c r="N40" s="372">
        <f>SUM(1*MID(D40,FIND(" - ",D40)+2,LEN(D40)))</f>
        <v>85</v>
      </c>
    </row>
    <row r="41" spans="1:14">
      <c r="A41" s="51"/>
      <c r="C41" s="34"/>
      <c r="D41" s="34"/>
      <c r="E41" s="34"/>
      <c r="F41" s="34"/>
      <c r="G41" s="34"/>
      <c r="H41" s="34"/>
    </row>
    <row r="42" spans="1:14">
      <c r="A42" s="51"/>
      <c r="C42" s="34"/>
      <c r="D42" s="34"/>
      <c r="E42" s="34"/>
      <c r="F42" s="34"/>
      <c r="G42" s="34"/>
      <c r="H42" s="34"/>
    </row>
    <row r="43" spans="1:14">
      <c r="A43" s="51"/>
      <c r="C43" s="34"/>
      <c r="D43" s="34"/>
      <c r="E43" s="34"/>
      <c r="F43" s="34"/>
      <c r="G43" s="34"/>
      <c r="H43" s="34"/>
    </row>
    <row r="44" spans="1:14">
      <c r="A44" s="51"/>
      <c r="C44" s="34"/>
      <c r="D44" s="34"/>
      <c r="E44" s="34"/>
      <c r="F44" s="34"/>
      <c r="G44" s="34"/>
      <c r="H44" s="34"/>
    </row>
    <row r="45" spans="1:14">
      <c r="A45" s="51"/>
      <c r="C45" s="34"/>
      <c r="D45" s="34"/>
      <c r="E45" s="34"/>
      <c r="F45" s="34"/>
      <c r="G45" s="34"/>
      <c r="H45" s="34"/>
    </row>
    <row r="46" spans="1:14">
      <c r="A46" s="51"/>
      <c r="C46" s="34"/>
      <c r="D46" s="34"/>
      <c r="E46" s="34"/>
      <c r="F46" s="34"/>
      <c r="G46" s="34"/>
      <c r="H46" s="34"/>
    </row>
    <row r="47" spans="1:14">
      <c r="A47" s="51"/>
      <c r="C47" s="34"/>
      <c r="D47" s="34"/>
      <c r="E47" s="34"/>
      <c r="F47" s="34"/>
      <c r="G47" s="34"/>
      <c r="H47" s="34"/>
    </row>
    <row r="48" spans="1:14">
      <c r="A48" s="51"/>
      <c r="C48" s="34"/>
      <c r="D48" s="34"/>
      <c r="E48" s="34"/>
      <c r="F48" s="34"/>
      <c r="G48" s="34"/>
      <c r="H48" s="34"/>
    </row>
  </sheetData>
  <sheetProtection password="B8D9" sheet="1" objects="1" scenarios="1"/>
  <mergeCells count="41">
    <mergeCell ref="G36:L36"/>
    <mergeCell ref="E40:F40"/>
    <mergeCell ref="G40:L40"/>
    <mergeCell ref="E37:F37"/>
    <mergeCell ref="G37:L37"/>
    <mergeCell ref="E38:F38"/>
    <mergeCell ref="G38:L38"/>
    <mergeCell ref="E39:F39"/>
    <mergeCell ref="G39:L39"/>
    <mergeCell ref="A27:A40"/>
    <mergeCell ref="E27:F27"/>
    <mergeCell ref="G27:L27"/>
    <mergeCell ref="E28:F28"/>
    <mergeCell ref="G28:L28"/>
    <mergeCell ref="E29:F29"/>
    <mergeCell ref="G29:L29"/>
    <mergeCell ref="E30:F30"/>
    <mergeCell ref="G32:L32"/>
    <mergeCell ref="E34:F34"/>
    <mergeCell ref="G34:L34"/>
    <mergeCell ref="E35:F35"/>
    <mergeCell ref="G35:L35"/>
    <mergeCell ref="E33:F33"/>
    <mergeCell ref="G33:L33"/>
    <mergeCell ref="E36:F36"/>
    <mergeCell ref="G30:L30"/>
    <mergeCell ref="E31:F31"/>
    <mergeCell ref="G31:L31"/>
    <mergeCell ref="E32:F32"/>
    <mergeCell ref="Q1:R1"/>
    <mergeCell ref="E26:F26"/>
    <mergeCell ref="G26:L26"/>
    <mergeCell ref="U1:V1"/>
    <mergeCell ref="A25:B25"/>
    <mergeCell ref="C25:L25"/>
    <mergeCell ref="M25:N25"/>
    <mergeCell ref="A1:B1"/>
    <mergeCell ref="C1:G1"/>
    <mergeCell ref="M1:N1"/>
    <mergeCell ref="O1:P1"/>
    <mergeCell ref="S1:T1"/>
  </mergeCells>
  <printOptions horizontalCentered="1"/>
  <pageMargins left="0" right="0" top="0.27559055118110237" bottom="0.51181102362204722" header="0.15748031496062992" footer="0.19685039370078741"/>
  <pageSetup paperSize="9" scale="63"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47.xml><?xml version="1.0" encoding="utf-8"?>
<worksheet xmlns="http://schemas.openxmlformats.org/spreadsheetml/2006/main" xmlns:r="http://schemas.openxmlformats.org/officeDocument/2006/relationships">
  <sheetPr codeName="Sheet50">
    <pageSetUpPr fitToPage="1"/>
  </sheetPr>
  <dimension ref="B1:T45"/>
  <sheetViews>
    <sheetView workbookViewId="0"/>
  </sheetViews>
  <sheetFormatPr defaultRowHeight="12.75"/>
  <cols>
    <col min="1" max="1" width="2.7109375" style="336" customWidth="1"/>
    <col min="2" max="16384" width="9.140625" style="336"/>
  </cols>
  <sheetData>
    <row r="1" spans="2:20" s="648" customFormat="1" ht="24.95" customHeight="1">
      <c r="B1" s="795" t="s">
        <v>678</v>
      </c>
      <c r="C1" s="795"/>
      <c r="D1" s="795"/>
      <c r="E1" s="795"/>
      <c r="F1" s="795"/>
      <c r="G1" s="795"/>
      <c r="H1" s="795"/>
      <c r="I1" s="795"/>
      <c r="J1" s="795"/>
      <c r="K1" s="795"/>
      <c r="L1" s="795"/>
      <c r="M1" s="795"/>
      <c r="N1" s="795"/>
      <c r="O1" s="26"/>
      <c r="P1" s="802" t="s">
        <v>48</v>
      </c>
      <c r="Q1" s="26"/>
      <c r="R1" s="26"/>
      <c r="S1" s="26"/>
      <c r="T1" s="26"/>
    </row>
    <row r="2" spans="2:20" s="648" customFormat="1" ht="12.75" customHeight="1">
      <c r="B2" s="835" t="s">
        <v>447</v>
      </c>
      <c r="C2" s="835"/>
      <c r="D2" s="835"/>
      <c r="E2" s="835"/>
      <c r="F2" s="835"/>
      <c r="G2" s="835"/>
      <c r="H2" s="835"/>
      <c r="I2" s="835"/>
      <c r="J2" s="835"/>
      <c r="K2" s="835"/>
      <c r="L2" s="835"/>
      <c r="M2" s="835"/>
      <c r="O2" s="27"/>
      <c r="P2" s="802"/>
      <c r="Q2" s="28"/>
      <c r="R2" s="803"/>
      <c r="S2" s="803"/>
      <c r="T2" s="803"/>
    </row>
    <row r="3" spans="2:20" s="648" customFormat="1" ht="12.75" customHeight="1">
      <c r="B3" s="835"/>
      <c r="C3" s="835"/>
      <c r="D3" s="835"/>
      <c r="E3" s="835"/>
      <c r="F3" s="835"/>
      <c r="G3" s="835"/>
      <c r="H3" s="835"/>
      <c r="I3" s="835"/>
      <c r="J3" s="835"/>
      <c r="K3" s="835"/>
      <c r="L3" s="835"/>
      <c r="M3" s="835"/>
      <c r="O3" s="589"/>
      <c r="P3" s="802"/>
      <c r="Q3" s="29"/>
      <c r="R3" s="645"/>
      <c r="S3" s="645"/>
      <c r="T3" s="645"/>
    </row>
    <row r="4" spans="2:20" s="648" customFormat="1" ht="12.75" customHeight="1">
      <c r="B4" s="836" t="s">
        <v>341</v>
      </c>
      <c r="C4" s="836"/>
      <c r="D4" s="836"/>
      <c r="E4" s="836"/>
      <c r="F4" s="836"/>
      <c r="G4" s="836"/>
      <c r="H4" s="836"/>
      <c r="I4" s="836"/>
      <c r="J4" s="836"/>
      <c r="K4" s="836"/>
      <c r="L4" s="836"/>
      <c r="M4" s="836"/>
      <c r="O4" s="30"/>
      <c r="P4" s="802"/>
      <c r="Q4" s="643"/>
      <c r="R4" s="29"/>
      <c r="S4" s="72"/>
    </row>
    <row r="5" spans="2:20" s="648" customFormat="1" ht="12.75" customHeight="1">
      <c r="B5" s="836"/>
      <c r="C5" s="836"/>
      <c r="D5" s="836"/>
      <c r="E5" s="836"/>
      <c r="F5" s="836"/>
      <c r="G5" s="836"/>
      <c r="H5" s="836"/>
      <c r="I5" s="836"/>
      <c r="J5" s="836"/>
      <c r="K5" s="836"/>
      <c r="L5" s="836"/>
      <c r="M5" s="836"/>
      <c r="N5" s="644"/>
      <c r="O5" s="30"/>
      <c r="P5" s="30"/>
      <c r="Q5" s="643"/>
      <c r="R5" s="29"/>
      <c r="S5" s="72"/>
    </row>
    <row r="6" spans="2:20" s="648" customFormat="1" ht="12.75" customHeight="1">
      <c r="B6" s="836"/>
      <c r="C6" s="836"/>
      <c r="D6" s="836"/>
      <c r="E6" s="836"/>
      <c r="F6" s="836"/>
      <c r="G6" s="836"/>
      <c r="H6" s="836"/>
      <c r="I6" s="836"/>
      <c r="J6" s="836"/>
      <c r="K6" s="836"/>
      <c r="L6" s="836"/>
      <c r="M6" s="836"/>
      <c r="N6" s="644"/>
      <c r="O6" s="30"/>
      <c r="P6" s="30"/>
      <c r="Q6" s="643"/>
      <c r="R6" s="29"/>
      <c r="S6" s="72"/>
    </row>
    <row r="7" spans="2:20" s="648" customFormat="1">
      <c r="B7" s="836"/>
      <c r="C7" s="836"/>
      <c r="D7" s="836"/>
      <c r="E7" s="836"/>
      <c r="F7" s="836"/>
      <c r="G7" s="836"/>
      <c r="H7" s="836"/>
      <c r="I7" s="836"/>
      <c r="J7" s="836"/>
      <c r="K7" s="836"/>
      <c r="L7" s="836"/>
      <c r="M7" s="836"/>
      <c r="N7" s="651"/>
      <c r="O7" s="30"/>
      <c r="P7" s="30"/>
      <c r="Q7" s="643"/>
      <c r="R7" s="29"/>
      <c r="S7" s="72"/>
    </row>
    <row r="41" spans="2:14">
      <c r="B41" s="649"/>
      <c r="C41" s="649"/>
      <c r="D41" s="649"/>
      <c r="E41" s="649"/>
      <c r="F41" s="649"/>
      <c r="G41" s="649"/>
      <c r="H41" s="649"/>
      <c r="I41" s="649"/>
      <c r="J41" s="649"/>
      <c r="K41" s="649"/>
      <c r="L41" s="649"/>
      <c r="M41" s="649"/>
    </row>
    <row r="42" spans="2:14" s="648" customFormat="1">
      <c r="B42" s="77" t="s">
        <v>679</v>
      </c>
      <c r="D42" s="34"/>
      <c r="E42" s="34"/>
      <c r="F42" s="34"/>
      <c r="G42" s="34"/>
      <c r="H42" s="34"/>
      <c r="I42" s="34"/>
      <c r="J42" s="642"/>
      <c r="K42" s="642"/>
      <c r="L42" s="642"/>
      <c r="M42" s="642"/>
      <c r="N42" s="642"/>
    </row>
    <row r="43" spans="2:14" s="654" customFormat="1" ht="24.95" customHeight="1">
      <c r="B43" s="801" t="s">
        <v>0</v>
      </c>
      <c r="C43" s="801"/>
      <c r="D43" s="801"/>
      <c r="E43" s="801"/>
      <c r="F43" s="801"/>
      <c r="G43" s="801"/>
      <c r="H43" s="801"/>
      <c r="I43" s="801"/>
      <c r="J43" s="801"/>
      <c r="K43" s="801"/>
      <c r="L43" s="801"/>
      <c r="M43" s="801"/>
      <c r="N43" s="256"/>
    </row>
    <row r="44" spans="2:14" s="648" customFormat="1" ht="31.5" customHeight="1">
      <c r="B44" s="900" t="s">
        <v>475</v>
      </c>
      <c r="C44" s="900"/>
      <c r="D44" s="900"/>
      <c r="E44" s="900"/>
      <c r="F44" s="900"/>
      <c r="G44" s="900"/>
      <c r="H44" s="900"/>
      <c r="I44" s="900"/>
      <c r="J44" s="900"/>
      <c r="K44" s="900"/>
      <c r="L44" s="900"/>
      <c r="M44" s="900"/>
      <c r="N44" s="900"/>
    </row>
    <row r="45" spans="2:14" s="648" customFormat="1">
      <c r="B45" s="50"/>
      <c r="D45" s="34"/>
      <c r="E45" s="34"/>
      <c r="F45" s="34"/>
      <c r="G45" s="34"/>
      <c r="H45" s="34"/>
      <c r="I45" s="34"/>
      <c r="J45" s="642"/>
      <c r="K45" s="642"/>
      <c r="L45" s="642"/>
      <c r="M45" s="642"/>
      <c r="N45" s="642"/>
    </row>
  </sheetData>
  <sheetProtection password="B8D9" sheet="1" objects="1" scenarios="1"/>
  <mergeCells count="7">
    <mergeCell ref="B44:N44"/>
    <mergeCell ref="B1:N1"/>
    <mergeCell ref="B2:M3"/>
    <mergeCell ref="R2:T2"/>
    <mergeCell ref="B4:M7"/>
    <mergeCell ref="B43:M43"/>
    <mergeCell ref="P1:P4"/>
  </mergeCells>
  <hyperlinks>
    <hyperlink ref="N4" location="'List of Tables &amp; Charts'!A1" display="return to List of Tables &amp; Charts"/>
    <hyperlink ref="P1" location="'List of Tables &amp; Charts'!A1" display="return to List of Tables &amp; Charts"/>
  </hyperlinks>
  <pageMargins left="0.70866141732283472" right="0.70866141732283472" top="0.74803149606299213" bottom="0.74803149606299213" header="0.31496062992125984" footer="0.31496062992125984"/>
  <pageSetup scale="69"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48.xml><?xml version="1.0" encoding="utf-8"?>
<worksheet xmlns="http://schemas.openxmlformats.org/spreadsheetml/2006/main" xmlns:r="http://schemas.openxmlformats.org/officeDocument/2006/relationships">
  <sheetPr codeName="Sheet51"/>
  <dimension ref="A1:V49"/>
  <sheetViews>
    <sheetView showGridLines="0" workbookViewId="0">
      <selection sqref="A1:B1"/>
    </sheetView>
  </sheetViews>
  <sheetFormatPr defaultRowHeight="12.75"/>
  <cols>
    <col min="1" max="1" width="16.7109375" style="648" customWidth="1"/>
    <col min="2" max="2" width="40.7109375" style="648" customWidth="1"/>
    <col min="3" max="7" width="10.7109375" style="642" customWidth="1"/>
    <col min="8" max="12" width="2.7109375" style="642" customWidth="1"/>
    <col min="13" max="13" width="9.28515625" style="642" customWidth="1"/>
    <col min="14" max="14" width="11.28515625" style="648" customWidth="1"/>
    <col min="15" max="15" width="9.28515625" style="648" customWidth="1"/>
    <col min="16" max="16" width="11.28515625" style="648" customWidth="1"/>
    <col min="17" max="17" width="9.28515625" style="648" customWidth="1"/>
    <col min="18" max="18" width="11.28515625" style="648" customWidth="1"/>
    <col min="19" max="19" width="9.28515625" style="648" customWidth="1"/>
    <col min="20" max="20" width="11.28515625" style="648" customWidth="1"/>
    <col min="21" max="21" width="9.28515625" style="648" customWidth="1"/>
    <col min="22" max="22" width="11.28515625" style="648" customWidth="1"/>
    <col min="23" max="16384" width="9.140625" style="648"/>
  </cols>
  <sheetData>
    <row r="1" spans="1:22" ht="25.5" customHeight="1">
      <c r="A1" s="908">
        <v>2014</v>
      </c>
      <c r="B1" s="851"/>
      <c r="C1" s="854" t="s">
        <v>44</v>
      </c>
      <c r="D1" s="855"/>
      <c r="E1" s="855"/>
      <c r="F1" s="855"/>
      <c r="G1" s="856"/>
      <c r="H1" s="79"/>
      <c r="I1" s="79"/>
      <c r="J1" s="79"/>
      <c r="K1" s="79"/>
      <c r="L1" s="79"/>
      <c r="M1" s="881" t="s">
        <v>51</v>
      </c>
      <c r="N1" s="883"/>
      <c r="O1" s="881" t="s">
        <v>52</v>
      </c>
      <c r="P1" s="883"/>
      <c r="Q1" s="881" t="s">
        <v>166</v>
      </c>
      <c r="R1" s="883"/>
      <c r="S1" s="881" t="s">
        <v>167</v>
      </c>
      <c r="T1" s="883"/>
      <c r="U1" s="882" t="s">
        <v>168</v>
      </c>
      <c r="V1" s="901"/>
    </row>
    <row r="2" spans="1:22" ht="45" customHeight="1">
      <c r="A2" s="80" t="s">
        <v>26</v>
      </c>
      <c r="B2" s="53" t="s">
        <v>27</v>
      </c>
      <c r="C2" s="40" t="s">
        <v>54</v>
      </c>
      <c r="D2" s="40" t="s">
        <v>56</v>
      </c>
      <c r="E2" s="40" t="s">
        <v>169</v>
      </c>
      <c r="F2" s="81" t="s">
        <v>170</v>
      </c>
      <c r="G2" s="40" t="s">
        <v>18</v>
      </c>
      <c r="H2" s="82" t="s">
        <v>58</v>
      </c>
      <c r="I2" s="82" t="s">
        <v>171</v>
      </c>
      <c r="J2" s="82" t="s">
        <v>172</v>
      </c>
      <c r="K2" s="82" t="s">
        <v>173</v>
      </c>
      <c r="L2" s="82" t="s">
        <v>280</v>
      </c>
      <c r="M2" s="43" t="s">
        <v>28</v>
      </c>
      <c r="N2" s="43" t="s">
        <v>29</v>
      </c>
      <c r="O2" s="43" t="s">
        <v>28</v>
      </c>
      <c r="P2" s="43" t="s">
        <v>29</v>
      </c>
      <c r="Q2" s="43" t="s">
        <v>28</v>
      </c>
      <c r="R2" s="43" t="s">
        <v>29</v>
      </c>
      <c r="S2" s="43" t="s">
        <v>28</v>
      </c>
      <c r="T2" s="43" t="s">
        <v>29</v>
      </c>
      <c r="U2" s="83" t="s">
        <v>28</v>
      </c>
      <c r="V2" s="65" t="s">
        <v>29</v>
      </c>
    </row>
    <row r="3" spans="1:22">
      <c r="A3" s="45" t="s">
        <v>137</v>
      </c>
      <c r="B3" s="45" t="s">
        <v>181</v>
      </c>
      <c r="C3" s="46">
        <f t="shared" ref="C3:C23" si="0">M3/N3*100</f>
        <v>10.845588235294118</v>
      </c>
      <c r="D3" s="46">
        <f t="shared" ref="D3:D23" si="1">(M3+O3)/P3*100</f>
        <v>37.55252100840336</v>
      </c>
      <c r="E3" s="46">
        <f t="shared" ref="E3:E23" si="2">(M3+O3+Q3)/R3*100</f>
        <v>82.746848739495789</v>
      </c>
      <c r="F3" s="46">
        <f t="shared" ref="F3:F23" si="3">U3/V3*100</f>
        <v>94.879201680672267</v>
      </c>
      <c r="G3" s="46" t="str">
        <f t="shared" ref="G3:G23" si="4">IF(AND(AND(V3&gt;0,(M3+O3+Q3)&gt;0),ROUND(SUM(100*((2*(M3+O3+Q3)+1.96^2)-(1.96*(SQRT(1.96^2+4*(M3+O3+Q3)*(1-((M3+O3+Q3)/V3))))))/(2*(V3+1.96^2))),0)&lt;0),CONCATENATE(SUM(1*0)," - ",ROUND(SUM(100*((2*(M3+O3+Q3)+1.96^2)+(1.96*(SQRT(1.96^2+4*(M3+O3+Q3)*(1-((M3+O3+Q3)/V3))))))/(2*(V3+1.96^2))),0)),IF(AND(AND(V3&gt;0,(M3+O3+Q3)&gt;0),ROUND(SUM(100*((2*(M3+O3+Q3)+1.96^2)-(1.96*(SQRT(1.96^2+4*(M3+O3+Q3)*(1-((M3+O3+Q3)/V3))))))/(2*(V3+1.96^2))),0)&gt;=0),CONCATENATE(ROUND(SUM(100*((2*(M3+O3+Q3)+1.96^2)-(1.96*(SQRT(1.96^2+4*(M3+O3+Q3)*(1-((M3+O3+Q3)/V3))))))/(2*(V3+1.96^2))),0)," - ",ROUND(SUM(100*((2*(M3+O3+Q3)+1.96^2)+(1.96*(SQRT(1.96^2+4*(M3+O3+Q3)*(1-((M3+O3+Q3)/V3))))))/(2*(V3+1.96^2))),0)),""))</f>
        <v>82 - 84</v>
      </c>
      <c r="H3" s="614">
        <f t="shared" ref="H3:J23" si="5">D3-C3</f>
        <v>26.706932773109244</v>
      </c>
      <c r="I3" s="641">
        <f t="shared" si="5"/>
        <v>45.194327731092429</v>
      </c>
      <c r="J3" s="640">
        <f t="shared" si="5"/>
        <v>12.132352941176478</v>
      </c>
      <c r="K3" s="640">
        <f t="shared" ref="K3:K23" si="6">F3</f>
        <v>94.879201680672267</v>
      </c>
      <c r="L3" s="639">
        <v>80</v>
      </c>
      <c r="M3" s="427">
        <f t="shared" ref="M3:V3" si="7">SUM(M4:M23)</f>
        <v>413</v>
      </c>
      <c r="N3" s="427">
        <f t="shared" si="7"/>
        <v>3808</v>
      </c>
      <c r="O3" s="427">
        <f t="shared" si="7"/>
        <v>1017</v>
      </c>
      <c r="P3" s="427">
        <f t="shared" si="7"/>
        <v>3808</v>
      </c>
      <c r="Q3" s="427">
        <f t="shared" si="7"/>
        <v>1721</v>
      </c>
      <c r="R3" s="427">
        <f t="shared" si="7"/>
        <v>3808</v>
      </c>
      <c r="S3" s="427">
        <f t="shared" si="7"/>
        <v>462</v>
      </c>
      <c r="T3" s="427">
        <f t="shared" si="7"/>
        <v>3808</v>
      </c>
      <c r="U3" s="427">
        <f t="shared" si="7"/>
        <v>3613</v>
      </c>
      <c r="V3" s="427">
        <f t="shared" si="7"/>
        <v>3808</v>
      </c>
    </row>
    <row r="4" spans="1:22">
      <c r="A4" s="45" t="s">
        <v>61</v>
      </c>
      <c r="B4" s="45" t="s">
        <v>60</v>
      </c>
      <c r="C4" s="46">
        <f t="shared" si="0"/>
        <v>4.1379310344827589</v>
      </c>
      <c r="D4" s="46">
        <f t="shared" si="1"/>
        <v>42.758620689655174</v>
      </c>
      <c r="E4" s="46">
        <f t="shared" si="2"/>
        <v>93.793103448275858</v>
      </c>
      <c r="F4" s="46">
        <f t="shared" si="3"/>
        <v>100</v>
      </c>
      <c r="G4" s="46" t="str">
        <f t="shared" si="4"/>
        <v>89 - 97</v>
      </c>
      <c r="H4" s="594">
        <f t="shared" si="5"/>
        <v>38.620689655172413</v>
      </c>
      <c r="I4" s="638">
        <f t="shared" si="5"/>
        <v>51.034482758620683</v>
      </c>
      <c r="J4" s="637">
        <f t="shared" si="5"/>
        <v>6.2068965517241423</v>
      </c>
      <c r="K4" s="637">
        <f t="shared" si="6"/>
        <v>100</v>
      </c>
      <c r="L4" s="637">
        <v>80</v>
      </c>
      <c r="M4" s="427">
        <v>6</v>
      </c>
      <c r="N4" s="427">
        <v>145</v>
      </c>
      <c r="O4" s="427">
        <v>56</v>
      </c>
      <c r="P4" s="427">
        <v>145</v>
      </c>
      <c r="Q4" s="427">
        <v>74</v>
      </c>
      <c r="R4" s="427">
        <v>145</v>
      </c>
      <c r="S4" s="427">
        <v>9</v>
      </c>
      <c r="T4" s="427">
        <v>145</v>
      </c>
      <c r="U4" s="427">
        <v>145</v>
      </c>
      <c r="V4" s="427">
        <v>145</v>
      </c>
    </row>
    <row r="5" spans="1:22">
      <c r="A5" s="45" t="s">
        <v>63</v>
      </c>
      <c r="B5" s="45" t="s">
        <v>64</v>
      </c>
      <c r="C5" s="46">
        <f t="shared" si="0"/>
        <v>6.9364161849710975</v>
      </c>
      <c r="D5" s="46">
        <f t="shared" si="1"/>
        <v>41.618497109826592</v>
      </c>
      <c r="E5" s="46">
        <f t="shared" si="2"/>
        <v>85.549132947976886</v>
      </c>
      <c r="F5" s="46">
        <f t="shared" si="3"/>
        <v>96.531791907514446</v>
      </c>
      <c r="G5" s="46" t="str">
        <f t="shared" si="4"/>
        <v>80 - 90</v>
      </c>
      <c r="H5" s="594">
        <f t="shared" si="5"/>
        <v>34.682080924855498</v>
      </c>
      <c r="I5" s="638">
        <f t="shared" si="5"/>
        <v>43.930635838150295</v>
      </c>
      <c r="J5" s="637">
        <f t="shared" si="5"/>
        <v>10.982658959537559</v>
      </c>
      <c r="K5" s="637">
        <f t="shared" si="6"/>
        <v>96.531791907514446</v>
      </c>
      <c r="L5" s="635">
        <v>80</v>
      </c>
      <c r="M5" s="427">
        <v>12</v>
      </c>
      <c r="N5" s="427">
        <v>173</v>
      </c>
      <c r="O5" s="427">
        <v>60</v>
      </c>
      <c r="P5" s="427">
        <v>173</v>
      </c>
      <c r="Q5" s="427">
        <v>76</v>
      </c>
      <c r="R5" s="427">
        <v>173</v>
      </c>
      <c r="S5" s="427">
        <v>19</v>
      </c>
      <c r="T5" s="427">
        <v>173</v>
      </c>
      <c r="U5" s="427">
        <v>167</v>
      </c>
      <c r="V5" s="427">
        <v>173</v>
      </c>
    </row>
    <row r="6" spans="1:22">
      <c r="A6" s="45" t="s">
        <v>30</v>
      </c>
      <c r="B6" s="45" t="s">
        <v>66</v>
      </c>
      <c r="C6" s="46">
        <f t="shared" si="0"/>
        <v>2.5316455696202533</v>
      </c>
      <c r="D6" s="46">
        <f t="shared" si="1"/>
        <v>22.784810126582279</v>
      </c>
      <c r="E6" s="46">
        <f t="shared" si="2"/>
        <v>89.87341772151899</v>
      </c>
      <c r="F6" s="46">
        <f t="shared" si="3"/>
        <v>97.468354430379748</v>
      </c>
      <c r="G6" s="46" t="str">
        <f t="shared" si="4"/>
        <v>84 - 94</v>
      </c>
      <c r="H6" s="602">
        <f t="shared" si="5"/>
        <v>20.253164556962027</v>
      </c>
      <c r="I6" s="636">
        <f t="shared" si="5"/>
        <v>67.088607594936718</v>
      </c>
      <c r="J6" s="635">
        <f t="shared" si="5"/>
        <v>7.5949367088607573</v>
      </c>
      <c r="K6" s="635">
        <f t="shared" si="6"/>
        <v>97.468354430379748</v>
      </c>
      <c r="L6" s="635">
        <v>80</v>
      </c>
      <c r="M6" s="427">
        <v>4</v>
      </c>
      <c r="N6" s="427">
        <v>158</v>
      </c>
      <c r="O6" s="427">
        <v>32</v>
      </c>
      <c r="P6" s="427">
        <v>158</v>
      </c>
      <c r="Q6" s="427">
        <v>106</v>
      </c>
      <c r="R6" s="427">
        <v>158</v>
      </c>
      <c r="S6" s="427">
        <v>12</v>
      </c>
      <c r="T6" s="427">
        <v>158</v>
      </c>
      <c r="U6" s="427">
        <v>154</v>
      </c>
      <c r="V6" s="427">
        <v>158</v>
      </c>
    </row>
    <row r="7" spans="1:22">
      <c r="A7" s="45" t="s">
        <v>68</v>
      </c>
      <c r="B7" s="45" t="s">
        <v>69</v>
      </c>
      <c r="C7" s="46">
        <f t="shared" si="0"/>
        <v>3.4090909090909087</v>
      </c>
      <c r="D7" s="46">
        <f t="shared" si="1"/>
        <v>39.204545454545453</v>
      </c>
      <c r="E7" s="46">
        <f t="shared" si="2"/>
        <v>84.659090909090907</v>
      </c>
      <c r="F7" s="46">
        <f t="shared" si="3"/>
        <v>98.295454545454547</v>
      </c>
      <c r="G7" s="46" t="str">
        <f t="shared" si="4"/>
        <v>79 - 89</v>
      </c>
      <c r="H7" s="602">
        <f t="shared" si="5"/>
        <v>35.795454545454547</v>
      </c>
      <c r="I7" s="636">
        <f t="shared" si="5"/>
        <v>45.454545454545453</v>
      </c>
      <c r="J7" s="635">
        <f t="shared" si="5"/>
        <v>13.63636363636364</v>
      </c>
      <c r="K7" s="635">
        <f t="shared" si="6"/>
        <v>98.295454545454547</v>
      </c>
      <c r="L7" s="635">
        <v>80</v>
      </c>
      <c r="M7" s="427">
        <v>6</v>
      </c>
      <c r="N7" s="427">
        <v>176</v>
      </c>
      <c r="O7" s="427">
        <v>63</v>
      </c>
      <c r="P7" s="427">
        <v>176</v>
      </c>
      <c r="Q7" s="427">
        <v>80</v>
      </c>
      <c r="R7" s="427">
        <v>176</v>
      </c>
      <c r="S7" s="427">
        <v>24</v>
      </c>
      <c r="T7" s="427">
        <v>176</v>
      </c>
      <c r="U7" s="427">
        <v>173</v>
      </c>
      <c r="V7" s="427">
        <v>176</v>
      </c>
    </row>
    <row r="8" spans="1:22">
      <c r="A8" s="45" t="s">
        <v>175</v>
      </c>
      <c r="B8" s="45" t="s">
        <v>176</v>
      </c>
      <c r="C8" s="46">
        <f t="shared" si="0"/>
        <v>2.7322404371584699</v>
      </c>
      <c r="D8" s="46">
        <f t="shared" si="1"/>
        <v>26.775956284153008</v>
      </c>
      <c r="E8" s="46">
        <f t="shared" si="2"/>
        <v>61.748633879781423</v>
      </c>
      <c r="F8" s="46">
        <f t="shared" si="3"/>
        <v>95.628415300546436</v>
      </c>
      <c r="G8" s="46" t="str">
        <f t="shared" si="4"/>
        <v>55 - 68</v>
      </c>
      <c r="H8" s="602">
        <f t="shared" si="5"/>
        <v>24.043715846994537</v>
      </c>
      <c r="I8" s="636">
        <f t="shared" si="5"/>
        <v>34.972677595628411</v>
      </c>
      <c r="J8" s="635">
        <f t="shared" si="5"/>
        <v>33.879781420765013</v>
      </c>
      <c r="K8" s="635">
        <f t="shared" si="6"/>
        <v>95.628415300546436</v>
      </c>
      <c r="L8" s="635">
        <v>80</v>
      </c>
      <c r="M8" s="427">
        <v>5</v>
      </c>
      <c r="N8" s="427">
        <v>183</v>
      </c>
      <c r="O8" s="427">
        <v>44</v>
      </c>
      <c r="P8" s="427">
        <v>183</v>
      </c>
      <c r="Q8" s="427">
        <v>64</v>
      </c>
      <c r="R8" s="427">
        <v>183</v>
      </c>
      <c r="S8" s="427">
        <v>62</v>
      </c>
      <c r="T8" s="427">
        <v>183</v>
      </c>
      <c r="U8" s="427">
        <v>175</v>
      </c>
      <c r="V8" s="427">
        <v>183</v>
      </c>
    </row>
    <row r="9" spans="1:22">
      <c r="A9" s="45" t="s">
        <v>177</v>
      </c>
      <c r="B9" s="45" t="s">
        <v>74</v>
      </c>
      <c r="C9" s="46">
        <f t="shared" si="0"/>
        <v>27.376425855513308</v>
      </c>
      <c r="D9" s="46">
        <f t="shared" si="1"/>
        <v>48.28897338403042</v>
      </c>
      <c r="E9" s="46">
        <f t="shared" si="2"/>
        <v>88.212927756653997</v>
      </c>
      <c r="F9" s="46">
        <f t="shared" si="3"/>
        <v>95.817490494296578</v>
      </c>
      <c r="G9" s="46" t="str">
        <f t="shared" si="4"/>
        <v>84 - 92</v>
      </c>
      <c r="H9" s="602">
        <f t="shared" si="5"/>
        <v>20.912547528517113</v>
      </c>
      <c r="I9" s="636">
        <f t="shared" si="5"/>
        <v>39.923954372623577</v>
      </c>
      <c r="J9" s="635">
        <f t="shared" si="5"/>
        <v>7.6045627376425813</v>
      </c>
      <c r="K9" s="635">
        <f t="shared" si="6"/>
        <v>95.817490494296578</v>
      </c>
      <c r="L9" s="635">
        <v>80</v>
      </c>
      <c r="M9" s="427">
        <v>72</v>
      </c>
      <c r="N9" s="427">
        <v>263</v>
      </c>
      <c r="O9" s="427">
        <v>55</v>
      </c>
      <c r="P9" s="427">
        <v>263</v>
      </c>
      <c r="Q9" s="427">
        <v>105</v>
      </c>
      <c r="R9" s="427">
        <v>263</v>
      </c>
      <c r="S9" s="427">
        <v>20</v>
      </c>
      <c r="T9" s="427">
        <v>263</v>
      </c>
      <c r="U9" s="427">
        <v>252</v>
      </c>
      <c r="V9" s="427">
        <v>263</v>
      </c>
    </row>
    <row r="10" spans="1:22">
      <c r="A10" s="45" t="s">
        <v>186</v>
      </c>
      <c r="B10" s="45" t="s">
        <v>76</v>
      </c>
      <c r="C10" s="46">
        <f t="shared" si="0"/>
        <v>41.700404858299592</v>
      </c>
      <c r="D10" s="46">
        <f t="shared" si="1"/>
        <v>60.323886639676118</v>
      </c>
      <c r="E10" s="46">
        <f t="shared" si="2"/>
        <v>91.497975708502025</v>
      </c>
      <c r="F10" s="46">
        <f t="shared" si="3"/>
        <v>98.380566801619423</v>
      </c>
      <c r="G10" s="46" t="str">
        <f t="shared" si="4"/>
        <v>87 - 94</v>
      </c>
      <c r="H10" s="602">
        <f t="shared" si="5"/>
        <v>18.623481781376526</v>
      </c>
      <c r="I10" s="636">
        <f t="shared" si="5"/>
        <v>31.174089068825907</v>
      </c>
      <c r="J10" s="635">
        <f t="shared" si="5"/>
        <v>6.8825910931173979</v>
      </c>
      <c r="K10" s="635">
        <f t="shared" si="6"/>
        <v>98.380566801619423</v>
      </c>
      <c r="L10" s="635">
        <v>80</v>
      </c>
      <c r="M10" s="427">
        <v>103</v>
      </c>
      <c r="N10" s="427">
        <v>247</v>
      </c>
      <c r="O10" s="427">
        <v>46</v>
      </c>
      <c r="P10" s="427">
        <v>247</v>
      </c>
      <c r="Q10" s="427">
        <v>77</v>
      </c>
      <c r="R10" s="427">
        <v>247</v>
      </c>
      <c r="S10" s="427">
        <v>17</v>
      </c>
      <c r="T10" s="427">
        <v>247</v>
      </c>
      <c r="U10" s="427">
        <v>243</v>
      </c>
      <c r="V10" s="427">
        <v>247</v>
      </c>
    </row>
    <row r="11" spans="1:22">
      <c r="A11" s="45" t="s">
        <v>178</v>
      </c>
      <c r="B11" s="45" t="s">
        <v>78</v>
      </c>
      <c r="C11" s="46">
        <f t="shared" si="0"/>
        <v>9.6491228070175428</v>
      </c>
      <c r="D11" s="46">
        <f t="shared" si="1"/>
        <v>31.140350877192986</v>
      </c>
      <c r="E11" s="46">
        <f t="shared" si="2"/>
        <v>62.5</v>
      </c>
      <c r="F11" s="46">
        <f t="shared" si="3"/>
        <v>86.403508771929822</v>
      </c>
      <c r="G11" s="46" t="str">
        <f t="shared" si="4"/>
        <v>58 - 67</v>
      </c>
      <c r="H11" s="602">
        <f t="shared" si="5"/>
        <v>21.491228070175445</v>
      </c>
      <c r="I11" s="636">
        <f t="shared" si="5"/>
        <v>31.359649122807014</v>
      </c>
      <c r="J11" s="635">
        <f t="shared" si="5"/>
        <v>23.903508771929822</v>
      </c>
      <c r="K11" s="635">
        <f t="shared" si="6"/>
        <v>86.403508771929822</v>
      </c>
      <c r="L11" s="635">
        <v>80</v>
      </c>
      <c r="M11" s="427">
        <v>44</v>
      </c>
      <c r="N11" s="427">
        <v>456</v>
      </c>
      <c r="O11" s="427">
        <v>98</v>
      </c>
      <c r="P11" s="427">
        <v>456</v>
      </c>
      <c r="Q11" s="427">
        <v>143</v>
      </c>
      <c r="R11" s="427">
        <v>456</v>
      </c>
      <c r="S11" s="427">
        <v>109</v>
      </c>
      <c r="T11" s="427">
        <v>456</v>
      </c>
      <c r="U11" s="427">
        <v>394</v>
      </c>
      <c r="V11" s="427">
        <v>456</v>
      </c>
    </row>
    <row r="12" spans="1:22">
      <c r="A12" s="45" t="s">
        <v>80</v>
      </c>
      <c r="B12" s="45" t="s">
        <v>81</v>
      </c>
      <c r="C12" s="46">
        <f t="shared" si="0"/>
        <v>31.578947368421051</v>
      </c>
      <c r="D12" s="46">
        <f t="shared" si="1"/>
        <v>47.368421052631575</v>
      </c>
      <c r="E12" s="46">
        <f t="shared" si="2"/>
        <v>60.526315789473685</v>
      </c>
      <c r="F12" s="46">
        <f t="shared" si="3"/>
        <v>81.578947368421055</v>
      </c>
      <c r="G12" s="46" t="str">
        <f t="shared" si="4"/>
        <v>45 - 74</v>
      </c>
      <c r="H12" s="602">
        <f t="shared" si="5"/>
        <v>15.789473684210524</v>
      </c>
      <c r="I12" s="636">
        <f t="shared" si="5"/>
        <v>13.15789473684211</v>
      </c>
      <c r="J12" s="635">
        <f t="shared" si="5"/>
        <v>21.05263157894737</v>
      </c>
      <c r="K12" s="635">
        <f t="shared" si="6"/>
        <v>81.578947368421055</v>
      </c>
      <c r="L12" s="635">
        <v>80</v>
      </c>
      <c r="M12" s="427">
        <v>12</v>
      </c>
      <c r="N12" s="427">
        <v>38</v>
      </c>
      <c r="O12" s="427">
        <v>6</v>
      </c>
      <c r="P12" s="427">
        <v>38</v>
      </c>
      <c r="Q12" s="427">
        <v>5</v>
      </c>
      <c r="R12" s="427">
        <v>38</v>
      </c>
      <c r="S12" s="427">
        <v>8</v>
      </c>
      <c r="T12" s="427">
        <v>38</v>
      </c>
      <c r="U12" s="427">
        <v>31</v>
      </c>
      <c r="V12" s="427">
        <v>38</v>
      </c>
    </row>
    <row r="13" spans="1:22">
      <c r="A13" s="45" t="s">
        <v>98</v>
      </c>
      <c r="B13" s="45" t="s">
        <v>99</v>
      </c>
      <c r="C13" s="46">
        <f t="shared" si="0"/>
        <v>19.565217391304348</v>
      </c>
      <c r="D13" s="46">
        <f t="shared" si="1"/>
        <v>26.086956521739129</v>
      </c>
      <c r="E13" s="46">
        <f t="shared" si="2"/>
        <v>67.391304347826093</v>
      </c>
      <c r="F13" s="46">
        <f t="shared" si="3"/>
        <v>89.130434782608688</v>
      </c>
      <c r="G13" s="46" t="str">
        <f t="shared" si="4"/>
        <v>53 - 79</v>
      </c>
      <c r="H13" s="602">
        <f t="shared" si="5"/>
        <v>6.5217391304347814</v>
      </c>
      <c r="I13" s="636">
        <f t="shared" si="5"/>
        <v>41.304347826086968</v>
      </c>
      <c r="J13" s="635">
        <f t="shared" si="5"/>
        <v>21.739130434782595</v>
      </c>
      <c r="K13" s="635">
        <f t="shared" si="6"/>
        <v>89.130434782608688</v>
      </c>
      <c r="L13" s="635">
        <v>80</v>
      </c>
      <c r="M13" s="427">
        <v>9</v>
      </c>
      <c r="N13" s="427">
        <v>46</v>
      </c>
      <c r="O13" s="427">
        <v>3</v>
      </c>
      <c r="P13" s="427">
        <v>46</v>
      </c>
      <c r="Q13" s="427">
        <v>19</v>
      </c>
      <c r="R13" s="427">
        <v>46</v>
      </c>
      <c r="S13" s="427">
        <v>10</v>
      </c>
      <c r="T13" s="427">
        <v>46</v>
      </c>
      <c r="U13" s="427">
        <v>41</v>
      </c>
      <c r="V13" s="427">
        <v>46</v>
      </c>
    </row>
    <row r="14" spans="1:22">
      <c r="A14" s="45" t="s">
        <v>101</v>
      </c>
      <c r="B14" s="45" t="s">
        <v>102</v>
      </c>
      <c r="C14" s="46">
        <f t="shared" si="0"/>
        <v>7.0921985815602842</v>
      </c>
      <c r="D14" s="46">
        <f t="shared" si="1"/>
        <v>28.01418439716312</v>
      </c>
      <c r="E14" s="46">
        <f t="shared" si="2"/>
        <v>89.00709219858156</v>
      </c>
      <c r="F14" s="46">
        <f t="shared" si="3"/>
        <v>94.680851063829792</v>
      </c>
      <c r="G14" s="46" t="str">
        <f t="shared" si="4"/>
        <v>85 - 92</v>
      </c>
      <c r="H14" s="602">
        <f t="shared" si="5"/>
        <v>20.921985815602838</v>
      </c>
      <c r="I14" s="636">
        <f t="shared" si="5"/>
        <v>60.99290780141844</v>
      </c>
      <c r="J14" s="635">
        <f t="shared" si="5"/>
        <v>5.6737588652482316</v>
      </c>
      <c r="K14" s="635">
        <f t="shared" si="6"/>
        <v>94.680851063829792</v>
      </c>
      <c r="L14" s="635">
        <v>80</v>
      </c>
      <c r="M14" s="427">
        <v>20</v>
      </c>
      <c r="N14" s="427">
        <v>282</v>
      </c>
      <c r="O14" s="427">
        <v>59</v>
      </c>
      <c r="P14" s="427">
        <v>282</v>
      </c>
      <c r="Q14" s="427">
        <v>172</v>
      </c>
      <c r="R14" s="427">
        <v>282</v>
      </c>
      <c r="S14" s="427">
        <v>16</v>
      </c>
      <c r="T14" s="427">
        <v>282</v>
      </c>
      <c r="U14" s="427">
        <v>267</v>
      </c>
      <c r="V14" s="427">
        <v>282</v>
      </c>
    </row>
    <row r="15" spans="1:22">
      <c r="A15" s="45" t="s">
        <v>104</v>
      </c>
      <c r="B15" s="45" t="s">
        <v>105</v>
      </c>
      <c r="C15" s="46">
        <f t="shared" si="0"/>
        <v>0</v>
      </c>
      <c r="D15" s="46">
        <f t="shared" si="1"/>
        <v>25.570776255707763</v>
      </c>
      <c r="E15" s="46">
        <f t="shared" si="2"/>
        <v>86.757990867579906</v>
      </c>
      <c r="F15" s="46">
        <f t="shared" si="3"/>
        <v>94.977168949771681</v>
      </c>
      <c r="G15" s="46" t="str">
        <f t="shared" si="4"/>
        <v>82 - 91</v>
      </c>
      <c r="H15" s="602">
        <f t="shared" si="5"/>
        <v>25.570776255707763</v>
      </c>
      <c r="I15" s="636">
        <f t="shared" si="5"/>
        <v>61.187214611872143</v>
      </c>
      <c r="J15" s="635">
        <f t="shared" si="5"/>
        <v>8.2191780821917746</v>
      </c>
      <c r="K15" s="635">
        <f t="shared" si="6"/>
        <v>94.977168949771681</v>
      </c>
      <c r="L15" s="635">
        <v>80</v>
      </c>
      <c r="M15" s="427">
        <v>0</v>
      </c>
      <c r="N15" s="427">
        <v>219</v>
      </c>
      <c r="O15" s="427">
        <v>56</v>
      </c>
      <c r="P15" s="427">
        <v>219</v>
      </c>
      <c r="Q15" s="427">
        <v>134</v>
      </c>
      <c r="R15" s="427">
        <v>219</v>
      </c>
      <c r="S15" s="427">
        <v>18</v>
      </c>
      <c r="T15" s="427">
        <v>219</v>
      </c>
      <c r="U15" s="427">
        <v>208</v>
      </c>
      <c r="V15" s="427">
        <v>219</v>
      </c>
    </row>
    <row r="16" spans="1:22">
      <c r="A16" s="45" t="s">
        <v>107</v>
      </c>
      <c r="B16" s="45" t="s">
        <v>108</v>
      </c>
      <c r="C16" s="46">
        <f t="shared" si="0"/>
        <v>8.0246913580246915</v>
      </c>
      <c r="D16" s="46">
        <f t="shared" si="1"/>
        <v>47.530864197530867</v>
      </c>
      <c r="E16" s="46">
        <f t="shared" si="2"/>
        <v>83.333333333333343</v>
      </c>
      <c r="F16" s="46">
        <f t="shared" si="3"/>
        <v>97.53086419753086</v>
      </c>
      <c r="G16" s="46" t="str">
        <f t="shared" si="4"/>
        <v>77 - 88</v>
      </c>
      <c r="H16" s="602">
        <f t="shared" si="5"/>
        <v>39.506172839506178</v>
      </c>
      <c r="I16" s="636">
        <f t="shared" si="5"/>
        <v>35.802469135802475</v>
      </c>
      <c r="J16" s="635">
        <f t="shared" si="5"/>
        <v>14.197530864197518</v>
      </c>
      <c r="K16" s="635">
        <f t="shared" si="6"/>
        <v>97.53086419753086</v>
      </c>
      <c r="L16" s="635">
        <v>80</v>
      </c>
      <c r="M16" s="427">
        <v>13</v>
      </c>
      <c r="N16" s="427">
        <v>162</v>
      </c>
      <c r="O16" s="427">
        <v>64</v>
      </c>
      <c r="P16" s="427">
        <v>162</v>
      </c>
      <c r="Q16" s="427">
        <v>58</v>
      </c>
      <c r="R16" s="427">
        <v>162</v>
      </c>
      <c r="S16" s="427">
        <v>23</v>
      </c>
      <c r="T16" s="427">
        <v>162</v>
      </c>
      <c r="U16" s="427">
        <v>158</v>
      </c>
      <c r="V16" s="427">
        <v>162</v>
      </c>
    </row>
    <row r="17" spans="1:22">
      <c r="A17" s="45" t="s">
        <v>110</v>
      </c>
      <c r="B17" s="45" t="s">
        <v>109</v>
      </c>
      <c r="C17" s="46">
        <f t="shared" si="0"/>
        <v>0</v>
      </c>
      <c r="D17" s="46">
        <f t="shared" si="1"/>
        <v>34.586466165413533</v>
      </c>
      <c r="E17" s="46">
        <f t="shared" si="2"/>
        <v>93.233082706766908</v>
      </c>
      <c r="F17" s="46">
        <f t="shared" si="3"/>
        <v>98.496240601503757</v>
      </c>
      <c r="G17" s="46" t="str">
        <f t="shared" si="4"/>
        <v>88 - 96</v>
      </c>
      <c r="H17" s="602">
        <f t="shared" si="5"/>
        <v>34.586466165413533</v>
      </c>
      <c r="I17" s="636">
        <f t="shared" si="5"/>
        <v>58.646616541353374</v>
      </c>
      <c r="J17" s="635">
        <f t="shared" si="5"/>
        <v>5.2631578947368496</v>
      </c>
      <c r="K17" s="635">
        <f t="shared" si="6"/>
        <v>98.496240601503757</v>
      </c>
      <c r="L17" s="635">
        <v>80</v>
      </c>
      <c r="M17" s="427">
        <v>0</v>
      </c>
      <c r="N17" s="427">
        <v>133</v>
      </c>
      <c r="O17" s="427">
        <v>46</v>
      </c>
      <c r="P17" s="427">
        <v>133</v>
      </c>
      <c r="Q17" s="427">
        <v>78</v>
      </c>
      <c r="R17" s="427">
        <v>133</v>
      </c>
      <c r="S17" s="427">
        <v>7</v>
      </c>
      <c r="T17" s="427">
        <v>133</v>
      </c>
      <c r="U17" s="427">
        <v>131</v>
      </c>
      <c r="V17" s="427">
        <v>133</v>
      </c>
    </row>
    <row r="18" spans="1:22">
      <c r="A18" s="45" t="s">
        <v>115</v>
      </c>
      <c r="B18" s="45" t="s">
        <v>116</v>
      </c>
      <c r="C18" s="46">
        <f t="shared" si="0"/>
        <v>2.6785714285714284</v>
      </c>
      <c r="D18" s="46">
        <f t="shared" si="1"/>
        <v>16.517857142857142</v>
      </c>
      <c r="E18" s="46">
        <f t="shared" si="2"/>
        <v>79.464285714285708</v>
      </c>
      <c r="F18" s="46">
        <f t="shared" si="3"/>
        <v>91.964285714285708</v>
      </c>
      <c r="G18" s="46" t="str">
        <f t="shared" si="4"/>
        <v>74 - 84</v>
      </c>
      <c r="H18" s="602">
        <f t="shared" si="5"/>
        <v>13.839285714285714</v>
      </c>
      <c r="I18" s="636">
        <f t="shared" si="5"/>
        <v>62.946428571428569</v>
      </c>
      <c r="J18" s="635">
        <f t="shared" si="5"/>
        <v>12.5</v>
      </c>
      <c r="K18" s="635">
        <f t="shared" si="6"/>
        <v>91.964285714285708</v>
      </c>
      <c r="L18" s="635">
        <v>80</v>
      </c>
      <c r="M18" s="427">
        <v>6</v>
      </c>
      <c r="N18" s="427">
        <v>224</v>
      </c>
      <c r="O18" s="427">
        <v>31</v>
      </c>
      <c r="P18" s="427">
        <v>224</v>
      </c>
      <c r="Q18" s="427">
        <v>141</v>
      </c>
      <c r="R18" s="427">
        <v>224</v>
      </c>
      <c r="S18" s="427">
        <v>28</v>
      </c>
      <c r="T18" s="427">
        <v>224</v>
      </c>
      <c r="U18" s="427">
        <v>206</v>
      </c>
      <c r="V18" s="427">
        <v>224</v>
      </c>
    </row>
    <row r="19" spans="1:22">
      <c r="A19" s="45" t="s">
        <v>118</v>
      </c>
      <c r="B19" s="45" t="s">
        <v>119</v>
      </c>
      <c r="C19" s="46">
        <f t="shared" si="0"/>
        <v>16.11785095320624</v>
      </c>
      <c r="D19" s="46">
        <f t="shared" si="1"/>
        <v>55.459272097053727</v>
      </c>
      <c r="E19" s="46">
        <f t="shared" si="2"/>
        <v>93.934142114384741</v>
      </c>
      <c r="F19" s="46">
        <f t="shared" si="3"/>
        <v>98.093587521663778</v>
      </c>
      <c r="G19" s="46" t="str">
        <f t="shared" si="4"/>
        <v>92 - 96</v>
      </c>
      <c r="H19" s="602">
        <f t="shared" si="5"/>
        <v>39.341421143847484</v>
      </c>
      <c r="I19" s="636">
        <f t="shared" si="5"/>
        <v>38.474870017331014</v>
      </c>
      <c r="J19" s="635">
        <f t="shared" si="5"/>
        <v>4.159445407279037</v>
      </c>
      <c r="K19" s="635">
        <f t="shared" si="6"/>
        <v>98.093587521663778</v>
      </c>
      <c r="L19" s="635">
        <v>80</v>
      </c>
      <c r="M19" s="427">
        <v>93</v>
      </c>
      <c r="N19" s="427">
        <v>577</v>
      </c>
      <c r="O19" s="427">
        <v>227</v>
      </c>
      <c r="P19" s="427">
        <v>577</v>
      </c>
      <c r="Q19" s="427">
        <v>222</v>
      </c>
      <c r="R19" s="427">
        <v>577</v>
      </c>
      <c r="S19" s="427">
        <v>24</v>
      </c>
      <c r="T19" s="427">
        <v>577</v>
      </c>
      <c r="U19" s="427">
        <v>566</v>
      </c>
      <c r="V19" s="427">
        <v>577</v>
      </c>
    </row>
    <row r="20" spans="1:22">
      <c r="A20" s="45" t="s">
        <v>127</v>
      </c>
      <c r="B20" s="45" t="s">
        <v>128</v>
      </c>
      <c r="C20" s="46">
        <f t="shared" si="0"/>
        <v>4.4117647058823533</v>
      </c>
      <c r="D20" s="46">
        <f t="shared" si="1"/>
        <v>30.882352941176471</v>
      </c>
      <c r="E20" s="46">
        <f t="shared" si="2"/>
        <v>89.705882352941174</v>
      </c>
      <c r="F20" s="46">
        <f t="shared" si="3"/>
        <v>96.32352941176471</v>
      </c>
      <c r="G20" s="46" t="str">
        <f t="shared" si="4"/>
        <v>83 - 94</v>
      </c>
      <c r="H20" s="602">
        <f t="shared" si="5"/>
        <v>26.470588235294116</v>
      </c>
      <c r="I20" s="636">
        <f t="shared" si="5"/>
        <v>58.823529411764703</v>
      </c>
      <c r="J20" s="635">
        <f t="shared" si="5"/>
        <v>6.6176470588235361</v>
      </c>
      <c r="K20" s="635">
        <f t="shared" si="6"/>
        <v>96.32352941176471</v>
      </c>
      <c r="L20" s="635">
        <v>80</v>
      </c>
      <c r="M20" s="427">
        <v>6</v>
      </c>
      <c r="N20" s="427">
        <v>136</v>
      </c>
      <c r="O20" s="427">
        <v>36</v>
      </c>
      <c r="P20" s="427">
        <v>136</v>
      </c>
      <c r="Q20" s="427">
        <v>80</v>
      </c>
      <c r="R20" s="427">
        <v>136</v>
      </c>
      <c r="S20" s="427">
        <v>9</v>
      </c>
      <c r="T20" s="427">
        <v>136</v>
      </c>
      <c r="U20" s="427">
        <v>131</v>
      </c>
      <c r="V20" s="427">
        <v>136</v>
      </c>
    </row>
    <row r="21" spans="1:22">
      <c r="A21" s="45" t="s">
        <v>130</v>
      </c>
      <c r="B21" s="45" t="s">
        <v>131</v>
      </c>
      <c r="C21" s="46">
        <f t="shared" si="0"/>
        <v>0.86206896551724133</v>
      </c>
      <c r="D21" s="46">
        <f t="shared" si="1"/>
        <v>14.655172413793101</v>
      </c>
      <c r="E21" s="46">
        <f t="shared" si="2"/>
        <v>75</v>
      </c>
      <c r="F21" s="46">
        <f t="shared" si="3"/>
        <v>89.65517241379311</v>
      </c>
      <c r="G21" s="46" t="str">
        <f t="shared" si="4"/>
        <v>66 - 82</v>
      </c>
      <c r="H21" s="602">
        <f t="shared" si="5"/>
        <v>13.793103448275859</v>
      </c>
      <c r="I21" s="636">
        <f t="shared" si="5"/>
        <v>60.344827586206897</v>
      </c>
      <c r="J21" s="635">
        <f t="shared" si="5"/>
        <v>14.65517241379311</v>
      </c>
      <c r="K21" s="635">
        <f t="shared" si="6"/>
        <v>89.65517241379311</v>
      </c>
      <c r="L21" s="635">
        <v>80</v>
      </c>
      <c r="M21" s="427">
        <v>1</v>
      </c>
      <c r="N21" s="427">
        <v>116</v>
      </c>
      <c r="O21" s="427">
        <v>16</v>
      </c>
      <c r="P21" s="427">
        <v>116</v>
      </c>
      <c r="Q21" s="427">
        <v>70</v>
      </c>
      <c r="R21" s="427">
        <v>116</v>
      </c>
      <c r="S21" s="427">
        <v>17</v>
      </c>
      <c r="T21" s="427">
        <v>116</v>
      </c>
      <c r="U21" s="427">
        <v>104</v>
      </c>
      <c r="V21" s="427">
        <v>116</v>
      </c>
    </row>
    <row r="22" spans="1:22">
      <c r="A22" s="45" t="s">
        <v>180</v>
      </c>
      <c r="B22" s="45" t="s">
        <v>179</v>
      </c>
      <c r="C22" s="46">
        <f t="shared" ref="C22" si="8">M22/N22*100</f>
        <v>1.4925373134328357</v>
      </c>
      <c r="D22" s="46">
        <f t="shared" ref="D22" si="9">(M22+O22)/P22*100</f>
        <v>29.850746268656714</v>
      </c>
      <c r="E22" s="46">
        <f t="shared" ref="E22" si="10">(M22+O22+Q22)/R22*100</f>
        <v>46.268656716417908</v>
      </c>
      <c r="F22" s="46">
        <f t="shared" ref="F22" si="11">U22/V22*100</f>
        <v>91.044776119402982</v>
      </c>
      <c r="G22" s="46" t="str">
        <f t="shared" ref="G22" si="12">IF(AND(AND(V22&gt;0,(M22+O22+Q22)&gt;0),ROUND(SUM(100*((2*(M22+O22+Q22)+1.96^2)-(1.96*(SQRT(1.96^2+4*(M22+O22+Q22)*(1-((M22+O22+Q22)/V22))))))/(2*(V22+1.96^2))),0)&lt;0),CONCATENATE(SUM(1*0)," - ",ROUND(SUM(100*((2*(M22+O22+Q22)+1.96^2)+(1.96*(SQRT(1.96^2+4*(M22+O22+Q22)*(1-((M22+O22+Q22)/V22))))))/(2*(V22+1.96^2))),0)),IF(AND(AND(V22&gt;0,(M22+O22+Q22)&gt;0),ROUND(SUM(100*((2*(M22+O22+Q22)+1.96^2)-(1.96*(SQRT(1.96^2+4*(M22+O22+Q22)*(1-((M22+O22+Q22)/V22))))))/(2*(V22+1.96^2))),0)&gt;=0),CONCATENATE(ROUND(SUM(100*((2*(M22+O22+Q22)+1.96^2)-(1.96*(SQRT(1.96^2+4*(M22+O22+Q22)*(1-((M22+O22+Q22)/V22))))))/(2*(V22+1.96^2))),0)," - ",ROUND(SUM(100*((2*(M22+O22+Q22)+1.96^2)+(1.96*(SQRT(1.96^2+4*(M22+O22+Q22)*(1-((M22+O22+Q22)/V22))))))/(2*(V22+1.96^2))),0)),""))</f>
        <v>35 - 58</v>
      </c>
      <c r="H22" s="660">
        <f t="shared" ref="H22" si="13">D22-C22</f>
        <v>28.35820895522388</v>
      </c>
      <c r="I22" s="661">
        <f t="shared" ref="I22" si="14">E22-D22</f>
        <v>16.417910447761194</v>
      </c>
      <c r="J22" s="662">
        <f t="shared" ref="J22" si="15">F22-E22</f>
        <v>44.776119402985074</v>
      </c>
      <c r="K22" s="662">
        <f t="shared" ref="K22" si="16">F22</f>
        <v>91.044776119402982</v>
      </c>
      <c r="L22" s="662">
        <v>80</v>
      </c>
      <c r="M22" s="427">
        <v>1</v>
      </c>
      <c r="N22" s="427">
        <v>67</v>
      </c>
      <c r="O22" s="427">
        <v>19</v>
      </c>
      <c r="P22" s="427">
        <v>67</v>
      </c>
      <c r="Q22" s="427">
        <v>11</v>
      </c>
      <c r="R22" s="427">
        <v>67</v>
      </c>
      <c r="S22" s="427">
        <v>30</v>
      </c>
      <c r="T22" s="427">
        <v>67</v>
      </c>
      <c r="U22" s="427">
        <v>61</v>
      </c>
      <c r="V22" s="427">
        <v>67</v>
      </c>
    </row>
    <row r="23" spans="1:22">
      <c r="A23" s="45" t="s">
        <v>39</v>
      </c>
      <c r="B23" s="45" t="s">
        <v>136</v>
      </c>
      <c r="C23" s="46">
        <f t="shared" si="0"/>
        <v>0</v>
      </c>
      <c r="D23" s="46">
        <f t="shared" si="1"/>
        <v>0</v>
      </c>
      <c r="E23" s="46">
        <f t="shared" si="2"/>
        <v>85.714285714285708</v>
      </c>
      <c r="F23" s="46">
        <f t="shared" si="3"/>
        <v>85.714285714285708</v>
      </c>
      <c r="G23" s="46" t="str">
        <f t="shared" si="4"/>
        <v>49 - 97</v>
      </c>
      <c r="H23" s="598">
        <f t="shared" si="5"/>
        <v>0</v>
      </c>
      <c r="I23" s="634">
        <f t="shared" si="5"/>
        <v>85.714285714285708</v>
      </c>
      <c r="J23" s="633">
        <f t="shared" si="5"/>
        <v>0</v>
      </c>
      <c r="K23" s="633">
        <f t="shared" si="6"/>
        <v>85.714285714285708</v>
      </c>
      <c r="L23" s="632">
        <v>80</v>
      </c>
      <c r="M23" s="427">
        <v>0</v>
      </c>
      <c r="N23" s="427">
        <v>7</v>
      </c>
      <c r="O23" s="427">
        <v>0</v>
      </c>
      <c r="P23" s="427">
        <v>7</v>
      </c>
      <c r="Q23" s="427">
        <v>6</v>
      </c>
      <c r="R23" s="427">
        <v>7</v>
      </c>
      <c r="S23" s="427">
        <v>0</v>
      </c>
      <c r="T23" s="427">
        <v>7</v>
      </c>
      <c r="U23" s="427">
        <v>6</v>
      </c>
      <c r="V23" s="427">
        <v>7</v>
      </c>
    </row>
    <row r="24" spans="1:22">
      <c r="A24" s="51"/>
      <c r="C24" s="34"/>
      <c r="D24" s="34"/>
      <c r="E24" s="34"/>
      <c r="F24" s="34"/>
      <c r="G24" s="34"/>
      <c r="H24" s="34"/>
    </row>
    <row r="25" spans="1:22">
      <c r="A25" s="51"/>
      <c r="C25" s="34"/>
      <c r="D25" s="34"/>
      <c r="E25" s="34"/>
      <c r="F25" s="34"/>
      <c r="G25" s="34"/>
      <c r="H25" s="34"/>
    </row>
    <row r="26" spans="1:22" ht="38.25" customHeight="1">
      <c r="A26" s="902" t="s">
        <v>138</v>
      </c>
      <c r="B26" s="903"/>
      <c r="C26" s="904" t="str">
        <f>E2</f>
        <v>Within 4 Days</v>
      </c>
      <c r="D26" s="904"/>
      <c r="E26" s="904"/>
      <c r="F26" s="904"/>
      <c r="G26" s="904"/>
      <c r="H26" s="904"/>
      <c r="I26" s="904"/>
      <c r="J26" s="904"/>
      <c r="K26" s="904"/>
      <c r="L26" s="905"/>
      <c r="M26" s="906"/>
      <c r="N26" s="907"/>
    </row>
    <row r="27" spans="1:22" ht="30" customHeight="1">
      <c r="A27" s="89"/>
      <c r="B27" s="53" t="s">
        <v>140</v>
      </c>
      <c r="C27" s="90" t="s">
        <v>44</v>
      </c>
      <c r="D27" s="90" t="s">
        <v>182</v>
      </c>
      <c r="E27" s="914" t="str">
        <f>U2</f>
        <v>Numerator</v>
      </c>
      <c r="F27" s="914"/>
      <c r="G27" s="915" t="str">
        <f>V2</f>
        <v>Denominator</v>
      </c>
      <c r="H27" s="915"/>
      <c r="I27" s="915"/>
      <c r="J27" s="915"/>
      <c r="K27" s="915"/>
      <c r="L27" s="916"/>
      <c r="M27" s="652"/>
      <c r="N27" s="653"/>
      <c r="R27" s="1"/>
    </row>
    <row r="28" spans="1:22" ht="15">
      <c r="A28" s="858"/>
      <c r="B28" s="60" t="s">
        <v>35</v>
      </c>
      <c r="C28" s="46">
        <f t="shared" ref="C28:C41" si="17">IF(ISERROR(E28/G28*100),"-",E28/G28*100)</f>
        <v>89.308176100628927</v>
      </c>
      <c r="D28" s="91" t="str">
        <f t="shared" ref="D28:D41" si="18">IF(ISERROR(IF(AND(G28&gt;0,ROUND(SUM(100*((2*E28+1.96^2)-(1.96*(SQRT(1.96^2+4*E28*(1-(E28/G28))))))/(2*(G28+1.96^2))),0)&lt;0),CONCATENATE(SUM(1*0)," - ",ROUND(SUM(100*((2*E28+1.96^2)+(1.96*(SQRT(1.96^2+4*E28*(1-(E28/G28))))))/(2*(G28+1.96^2))),0)),IF(AND(G28&gt;0,ROUND(SUM(100*((2*E28+1.96^2)-(1.96*(SQRT(1.96^2+4*E28*(1-(E28/G28))))))/(2*(G28+1.96^2))),0)&gt;=0),CONCATENATE(ROUND(SUM(100*((2*E28+1.96^2)-(1.96*(SQRT(1.96^2+4*E28*(1-(E28/G28))))))/(2*(G28+1.96^2))),0)," - ",ROUND(SUM(100*((2*E28+1.96^2)+(1.96*(SQRT(1.96^2+4*E28*(1-(E28/G28))))))/(2*(G28+1.96^2))),0)),""))),"-",IF(AND(G28&gt;0,ROUND(SUM(100*((2*E28+1.96^2)-(1.96*(SQRT(1.96^2+4*E28*(1-(E28/G28))))))/(2*(G28+1.96^2))),0)&lt;0),CONCATENATE(SUM(1*0)," - ",ROUND(SUM(100*((2*E28+1.96^2)+(1.96*(SQRT(1.96^2+4*E28*(1-(E28/G28))))))/(2*(G28+1.96^2))),0)),IF(AND(G28&gt;0,ROUND(SUM(100*((2*E28+1.96^2)-(1.96*(SQRT(1.96^2+4*E28*(1-(E28/G28))))))/(2*(G28+1.96^2))),0)&gt;=0),CONCATENATE(ROUND(SUM(100*((2*E28+1.96^2)-(1.96*(SQRT(1.96^2+4*E28*(1-(E28/G28))))))/(2*(G28+1.96^2))),0)," - ",ROUND(SUM(100*((2*E28+1.96^2)+(1.96*(SQRT(1.96^2+4*E28*(1-(E28/G28))))))/(2*(G28+1.96^2))),0)),"")))</f>
        <v>85 - 92</v>
      </c>
      <c r="E28" s="912">
        <v>284</v>
      </c>
      <c r="F28" s="913"/>
      <c r="G28" s="909">
        <v>318</v>
      </c>
      <c r="H28" s="910"/>
      <c r="I28" s="910"/>
      <c r="J28" s="910"/>
      <c r="K28" s="910"/>
      <c r="L28" s="911"/>
      <c r="M28" s="378"/>
      <c r="N28" s="377"/>
      <c r="R28" s="1"/>
    </row>
    <row r="29" spans="1:22" ht="15">
      <c r="A29" s="859"/>
      <c r="B29" s="60" t="s">
        <v>30</v>
      </c>
      <c r="C29" s="46">
        <f t="shared" si="17"/>
        <v>89.87341772151899</v>
      </c>
      <c r="D29" s="91" t="str">
        <f t="shared" si="18"/>
        <v>84 - 94</v>
      </c>
      <c r="E29" s="912">
        <v>142</v>
      </c>
      <c r="F29" s="913"/>
      <c r="G29" s="909">
        <v>158</v>
      </c>
      <c r="H29" s="910"/>
      <c r="I29" s="910"/>
      <c r="J29" s="910"/>
      <c r="K29" s="910"/>
      <c r="L29" s="911"/>
      <c r="M29" s="373"/>
      <c r="N29" s="372"/>
      <c r="P29" s="376"/>
      <c r="Q29" s="376"/>
      <c r="R29" s="376"/>
    </row>
    <row r="30" spans="1:22" ht="15">
      <c r="A30" s="859"/>
      <c r="B30" s="60" t="s">
        <v>33</v>
      </c>
      <c r="C30" s="46">
        <f t="shared" si="17"/>
        <v>84.659090909090907</v>
      </c>
      <c r="D30" s="91" t="str">
        <f t="shared" si="18"/>
        <v>79 - 89</v>
      </c>
      <c r="E30" s="912">
        <v>149</v>
      </c>
      <c r="F30" s="913"/>
      <c r="G30" s="909">
        <v>176</v>
      </c>
      <c r="H30" s="910"/>
      <c r="I30" s="910"/>
      <c r="J30" s="910"/>
      <c r="K30" s="910"/>
      <c r="L30" s="911"/>
      <c r="M30" s="373"/>
      <c r="N30" s="372"/>
      <c r="R30" s="1"/>
    </row>
    <row r="31" spans="1:22" ht="15">
      <c r="A31" s="859"/>
      <c r="B31" s="60" t="s">
        <v>32</v>
      </c>
      <c r="C31" s="46">
        <f t="shared" si="17"/>
        <v>77.354260089686093</v>
      </c>
      <c r="D31" s="91" t="str">
        <f t="shared" si="18"/>
        <v>73 - 81</v>
      </c>
      <c r="E31" s="912">
        <v>345</v>
      </c>
      <c r="F31" s="913"/>
      <c r="G31" s="909">
        <v>446</v>
      </c>
      <c r="H31" s="910"/>
      <c r="I31" s="910"/>
      <c r="J31" s="910"/>
      <c r="K31" s="910"/>
      <c r="L31" s="911"/>
      <c r="M31" s="373"/>
      <c r="N31" s="372"/>
    </row>
    <row r="32" spans="1:22" ht="15">
      <c r="A32" s="859"/>
      <c r="B32" s="60" t="s">
        <v>37</v>
      </c>
      <c r="C32" s="46">
        <f t="shared" si="17"/>
        <v>91.497975708502025</v>
      </c>
      <c r="D32" s="91" t="str">
        <f t="shared" si="18"/>
        <v>87 - 94</v>
      </c>
      <c r="E32" s="912">
        <v>226</v>
      </c>
      <c r="F32" s="913"/>
      <c r="G32" s="909">
        <v>247</v>
      </c>
      <c r="H32" s="910"/>
      <c r="I32" s="910"/>
      <c r="J32" s="910"/>
      <c r="K32" s="910"/>
      <c r="L32" s="911"/>
      <c r="M32" s="373"/>
      <c r="N32" s="372"/>
    </row>
    <row r="33" spans="1:14" ht="15">
      <c r="A33" s="859"/>
      <c r="B33" s="60" t="s">
        <v>36</v>
      </c>
      <c r="C33" s="46">
        <f t="shared" si="17"/>
        <v>62.348178137651821</v>
      </c>
      <c r="D33" s="91" t="str">
        <f t="shared" si="18"/>
        <v>58 - 67</v>
      </c>
      <c r="E33" s="912">
        <v>308</v>
      </c>
      <c r="F33" s="913"/>
      <c r="G33" s="909">
        <v>494</v>
      </c>
      <c r="H33" s="910"/>
      <c r="I33" s="910"/>
      <c r="J33" s="910"/>
      <c r="K33" s="910"/>
      <c r="L33" s="911"/>
      <c r="M33" s="373"/>
      <c r="N33" s="372"/>
    </row>
    <row r="34" spans="1:14" ht="15">
      <c r="A34" s="859"/>
      <c r="B34" s="60" t="s">
        <v>42</v>
      </c>
      <c r="C34" s="46" t="str">
        <f t="shared" si="17"/>
        <v>-</v>
      </c>
      <c r="D34" s="91" t="str">
        <f t="shared" si="18"/>
        <v>-</v>
      </c>
      <c r="E34" s="912" t="s">
        <v>268</v>
      </c>
      <c r="F34" s="913"/>
      <c r="G34" s="909" t="s">
        <v>268</v>
      </c>
      <c r="H34" s="910"/>
      <c r="I34" s="910"/>
      <c r="J34" s="910"/>
      <c r="K34" s="910"/>
      <c r="L34" s="911"/>
      <c r="M34" s="373"/>
      <c r="N34" s="372"/>
    </row>
    <row r="35" spans="1:14" ht="15">
      <c r="A35" s="859"/>
      <c r="B35" s="60" t="s">
        <v>38</v>
      </c>
      <c r="C35" s="46">
        <f t="shared" si="17"/>
        <v>85.975609756097555</v>
      </c>
      <c r="D35" s="91" t="str">
        <f t="shared" si="18"/>
        <v>82 - 89</v>
      </c>
      <c r="E35" s="912">
        <v>282</v>
      </c>
      <c r="F35" s="913"/>
      <c r="G35" s="909">
        <v>328</v>
      </c>
      <c r="H35" s="910"/>
      <c r="I35" s="910"/>
      <c r="J35" s="910"/>
      <c r="K35" s="910"/>
      <c r="L35" s="911"/>
      <c r="M35" s="373"/>
      <c r="N35" s="372"/>
    </row>
    <row r="36" spans="1:14" ht="15">
      <c r="A36" s="859"/>
      <c r="B36" s="60" t="s">
        <v>31</v>
      </c>
      <c r="C36" s="46">
        <f t="shared" si="17"/>
        <v>87.354085603112836</v>
      </c>
      <c r="D36" s="91" t="str">
        <f t="shared" si="18"/>
        <v>84 - 90</v>
      </c>
      <c r="E36" s="912">
        <v>449</v>
      </c>
      <c r="F36" s="913"/>
      <c r="G36" s="909">
        <v>514</v>
      </c>
      <c r="H36" s="910"/>
      <c r="I36" s="910"/>
      <c r="J36" s="910"/>
      <c r="K36" s="910"/>
      <c r="L36" s="911"/>
      <c r="M36" s="373"/>
      <c r="N36" s="372"/>
    </row>
    <row r="37" spans="1:14" ht="15">
      <c r="A37" s="859"/>
      <c r="B37" s="60" t="s">
        <v>40</v>
      </c>
      <c r="C37" s="46">
        <f t="shared" si="17"/>
        <v>89.887640449438194</v>
      </c>
      <c r="D37" s="91" t="str">
        <f t="shared" si="18"/>
        <v>88 - 92</v>
      </c>
      <c r="E37" s="912">
        <v>720</v>
      </c>
      <c r="F37" s="913"/>
      <c r="G37" s="909">
        <v>801</v>
      </c>
      <c r="H37" s="910"/>
      <c r="I37" s="910"/>
      <c r="J37" s="910"/>
      <c r="K37" s="910"/>
      <c r="L37" s="911"/>
      <c r="M37" s="373"/>
      <c r="N37" s="372"/>
    </row>
    <row r="38" spans="1:14" ht="15">
      <c r="A38" s="859"/>
      <c r="B38" s="60" t="s">
        <v>43</v>
      </c>
      <c r="C38" s="46" t="str">
        <f t="shared" si="17"/>
        <v>-</v>
      </c>
      <c r="D38" s="91" t="str">
        <f t="shared" si="18"/>
        <v>-</v>
      </c>
      <c r="E38" s="912" t="s">
        <v>268</v>
      </c>
      <c r="F38" s="913"/>
      <c r="G38" s="909" t="s">
        <v>268</v>
      </c>
      <c r="H38" s="910"/>
      <c r="I38" s="910"/>
      <c r="J38" s="910"/>
      <c r="K38" s="910"/>
      <c r="L38" s="911"/>
      <c r="M38" s="375"/>
      <c r="N38" s="374"/>
    </row>
    <row r="39" spans="1:14" ht="15">
      <c r="A39" s="859"/>
      <c r="B39" s="60" t="s">
        <v>41</v>
      </c>
      <c r="C39" s="46" t="str">
        <f t="shared" si="17"/>
        <v>-</v>
      </c>
      <c r="D39" s="91" t="str">
        <f t="shared" si="18"/>
        <v>-</v>
      </c>
      <c r="E39" s="912" t="s">
        <v>268</v>
      </c>
      <c r="F39" s="913"/>
      <c r="G39" s="909" t="s">
        <v>268</v>
      </c>
      <c r="H39" s="910"/>
      <c r="I39" s="910"/>
      <c r="J39" s="910"/>
      <c r="K39" s="910"/>
      <c r="L39" s="911"/>
      <c r="M39" s="375"/>
      <c r="N39" s="374"/>
    </row>
    <row r="40" spans="1:14" ht="15">
      <c r="A40" s="859"/>
      <c r="B40" s="60" t="s">
        <v>34</v>
      </c>
      <c r="C40" s="46">
        <f t="shared" si="17"/>
        <v>75.23510971786834</v>
      </c>
      <c r="D40" s="91" t="str">
        <f t="shared" si="18"/>
        <v>70 - 80</v>
      </c>
      <c r="E40" s="912">
        <v>240</v>
      </c>
      <c r="F40" s="913"/>
      <c r="G40" s="909">
        <v>319</v>
      </c>
      <c r="H40" s="910"/>
      <c r="I40" s="910"/>
      <c r="J40" s="910"/>
      <c r="K40" s="910"/>
      <c r="L40" s="911"/>
      <c r="M40" s="373"/>
      <c r="N40" s="372"/>
    </row>
    <row r="41" spans="1:14" ht="15">
      <c r="A41" s="860"/>
      <c r="B41" s="60" t="s">
        <v>39</v>
      </c>
      <c r="C41" s="46">
        <f t="shared" si="17"/>
        <v>85.714285714285708</v>
      </c>
      <c r="D41" s="91" t="str">
        <f t="shared" si="18"/>
        <v>49 - 97</v>
      </c>
      <c r="E41" s="912">
        <v>6</v>
      </c>
      <c r="F41" s="913"/>
      <c r="G41" s="909">
        <v>7</v>
      </c>
      <c r="H41" s="910"/>
      <c r="I41" s="910"/>
      <c r="J41" s="910"/>
      <c r="K41" s="910"/>
      <c r="L41" s="911"/>
      <c r="M41" s="373"/>
      <c r="N41" s="372"/>
    </row>
    <row r="42" spans="1:14">
      <c r="A42" s="51"/>
      <c r="C42" s="34"/>
      <c r="D42" s="34"/>
      <c r="E42" s="34"/>
      <c r="F42" s="34"/>
      <c r="G42" s="34"/>
      <c r="H42" s="34"/>
    </row>
    <row r="43" spans="1:14">
      <c r="A43" s="51"/>
      <c r="C43" s="34"/>
      <c r="D43" s="34"/>
      <c r="E43" s="34"/>
      <c r="F43" s="34"/>
      <c r="G43" s="34"/>
      <c r="H43" s="34"/>
    </row>
    <row r="44" spans="1:14">
      <c r="A44" s="51"/>
      <c r="C44" s="34"/>
      <c r="D44" s="34"/>
      <c r="E44" s="34"/>
      <c r="F44" s="34"/>
      <c r="G44" s="34"/>
      <c r="H44" s="34"/>
    </row>
    <row r="45" spans="1:14">
      <c r="A45" s="51"/>
      <c r="C45" s="34"/>
      <c r="D45" s="34"/>
      <c r="E45" s="34"/>
      <c r="F45" s="34"/>
      <c r="G45" s="34"/>
      <c r="H45" s="34"/>
    </row>
    <row r="46" spans="1:14">
      <c r="A46" s="51"/>
      <c r="C46" s="34"/>
      <c r="D46" s="34"/>
      <c r="E46" s="34"/>
      <c r="F46" s="34"/>
      <c r="G46" s="34"/>
      <c r="H46" s="34"/>
    </row>
    <row r="47" spans="1:14">
      <c r="A47" s="51"/>
      <c r="C47" s="34"/>
      <c r="D47" s="34"/>
      <c r="E47" s="34"/>
      <c r="F47" s="34"/>
      <c r="G47" s="34"/>
      <c r="H47" s="34"/>
    </row>
    <row r="48" spans="1:14">
      <c r="A48" s="51"/>
      <c r="C48" s="34"/>
      <c r="D48" s="34"/>
      <c r="E48" s="34"/>
      <c r="F48" s="34"/>
      <c r="G48" s="34"/>
      <c r="H48" s="34"/>
    </row>
    <row r="49" spans="1:8">
      <c r="A49" s="51"/>
      <c r="C49" s="34"/>
      <c r="D49" s="34"/>
      <c r="E49" s="34"/>
      <c r="F49" s="34"/>
      <c r="G49" s="34"/>
      <c r="H49" s="34"/>
    </row>
  </sheetData>
  <sheetProtection password="B8D9" sheet="1" objects="1" scenarios="1"/>
  <mergeCells count="41">
    <mergeCell ref="U1:V1"/>
    <mergeCell ref="A26:B26"/>
    <mergeCell ref="C26:L26"/>
    <mergeCell ref="M26:N26"/>
    <mergeCell ref="E27:F27"/>
    <mergeCell ref="G27:L27"/>
    <mergeCell ref="A1:B1"/>
    <mergeCell ref="C1:G1"/>
    <mergeCell ref="M1:N1"/>
    <mergeCell ref="O1:P1"/>
    <mergeCell ref="Q1:R1"/>
    <mergeCell ref="S1:T1"/>
    <mergeCell ref="A28:A41"/>
    <mergeCell ref="E28:F28"/>
    <mergeCell ref="G28:L28"/>
    <mergeCell ref="E29:F29"/>
    <mergeCell ref="G29:L29"/>
    <mergeCell ref="E30:F30"/>
    <mergeCell ref="G30:L30"/>
    <mergeCell ref="E31:F31"/>
    <mergeCell ref="G31:L31"/>
    <mergeCell ref="E32:F32"/>
    <mergeCell ref="G32:L32"/>
    <mergeCell ref="E33:F33"/>
    <mergeCell ref="G33:L33"/>
    <mergeCell ref="E34:F34"/>
    <mergeCell ref="G34:L34"/>
    <mergeCell ref="E36:F36"/>
    <mergeCell ref="G36:L36"/>
    <mergeCell ref="E37:F37"/>
    <mergeCell ref="G37:L37"/>
    <mergeCell ref="E35:F35"/>
    <mergeCell ref="G35:L35"/>
    <mergeCell ref="E41:F41"/>
    <mergeCell ref="G41:L41"/>
    <mergeCell ref="E38:F38"/>
    <mergeCell ref="G38:L38"/>
    <mergeCell ref="E39:F39"/>
    <mergeCell ref="G39:L39"/>
    <mergeCell ref="E40:F40"/>
    <mergeCell ref="G40:L40"/>
  </mergeCells>
  <printOptions horizontalCentered="1"/>
  <pageMargins left="0" right="0" top="0.27559055118110237" bottom="0.51181102362204722" header="0.15748031496062992" footer="0.19685039370078741"/>
  <pageSetup paperSize="9" scale="55"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49.xml><?xml version="1.0" encoding="utf-8"?>
<worksheet xmlns="http://schemas.openxmlformats.org/spreadsheetml/2006/main" xmlns:r="http://schemas.openxmlformats.org/officeDocument/2006/relationships">
  <sheetPr codeName="Sheet49">
    <pageSetUpPr fitToPage="1"/>
  </sheetPr>
  <dimension ref="B1:O54"/>
  <sheetViews>
    <sheetView zoomScale="80" zoomScaleNormal="80" workbookViewId="0"/>
  </sheetViews>
  <sheetFormatPr defaultRowHeight="15"/>
  <cols>
    <col min="1" max="1" width="2.140625" customWidth="1"/>
  </cols>
  <sheetData>
    <row r="1" spans="2:15">
      <c r="B1" s="725" t="s">
        <v>680</v>
      </c>
      <c r="O1" s="802" t="s">
        <v>48</v>
      </c>
    </row>
    <row r="2" spans="2:15" ht="15" customHeight="1">
      <c r="B2" s="917" t="s">
        <v>415</v>
      </c>
      <c r="C2" s="917"/>
      <c r="D2" s="917"/>
      <c r="E2" s="917"/>
      <c r="F2" s="917"/>
      <c r="G2" s="917"/>
      <c r="H2" s="917"/>
      <c r="I2" s="917"/>
      <c r="J2" s="917"/>
      <c r="K2" s="917"/>
      <c r="L2" s="917"/>
      <c r="M2" s="917"/>
      <c r="O2" s="802"/>
    </row>
    <row r="3" spans="2:15" ht="19.5" customHeight="1">
      <c r="B3" s="917"/>
      <c r="C3" s="917"/>
      <c r="D3" s="917"/>
      <c r="E3" s="917"/>
      <c r="F3" s="917"/>
      <c r="G3" s="917"/>
      <c r="H3" s="917"/>
      <c r="I3" s="917"/>
      <c r="J3" s="917"/>
      <c r="K3" s="917"/>
      <c r="L3" s="917"/>
      <c r="M3" s="917"/>
      <c r="O3" s="802"/>
    </row>
    <row r="4" spans="2:15">
      <c r="O4" s="802"/>
    </row>
    <row r="49" spans="2:14">
      <c r="B49" s="77" t="s">
        <v>458</v>
      </c>
      <c r="C49" s="393"/>
      <c r="D49" s="34"/>
      <c r="E49" s="34"/>
      <c r="F49" s="34"/>
      <c r="G49" s="34"/>
      <c r="H49" s="34"/>
      <c r="I49" s="34"/>
      <c r="J49" s="391"/>
      <c r="K49" s="391"/>
      <c r="L49" s="391"/>
      <c r="M49" s="391"/>
      <c r="N49" s="391"/>
    </row>
    <row r="50" spans="2:14" ht="26.25" customHeight="1">
      <c r="B50" s="801" t="s">
        <v>649</v>
      </c>
      <c r="C50" s="801"/>
      <c r="D50" s="801"/>
      <c r="E50" s="801"/>
      <c r="F50" s="801"/>
      <c r="G50" s="801"/>
      <c r="H50" s="801"/>
      <c r="I50" s="801"/>
      <c r="J50" s="801"/>
      <c r="K50" s="801"/>
      <c r="L50" s="801"/>
      <c r="M50" s="801"/>
      <c r="N50" s="256"/>
    </row>
    <row r="51" spans="2:14" ht="37.5" customHeight="1">
      <c r="B51" s="900" t="s">
        <v>681</v>
      </c>
      <c r="C51" s="900"/>
      <c r="D51" s="900"/>
      <c r="E51" s="900"/>
      <c r="F51" s="900"/>
      <c r="G51" s="900"/>
      <c r="H51" s="900"/>
      <c r="I51" s="900"/>
      <c r="J51" s="900"/>
      <c r="K51" s="900"/>
      <c r="L51" s="900"/>
      <c r="M51" s="900"/>
      <c r="N51" s="900"/>
    </row>
    <row r="52" spans="2:14">
      <c r="B52" s="50" t="s">
        <v>650</v>
      </c>
      <c r="C52" s="393"/>
      <c r="D52" s="34"/>
      <c r="E52" s="34"/>
      <c r="F52" s="34"/>
      <c r="G52" s="34"/>
      <c r="H52" s="34"/>
      <c r="I52" s="34"/>
      <c r="J52" s="391"/>
      <c r="K52" s="391"/>
      <c r="L52" s="391"/>
      <c r="M52" s="391"/>
      <c r="N52" s="391"/>
    </row>
    <row r="53" spans="2:14">
      <c r="B53" s="396" t="s">
        <v>647</v>
      </c>
    </row>
    <row r="54" spans="2:14">
      <c r="B54" s="395" t="s">
        <v>648</v>
      </c>
    </row>
  </sheetData>
  <sheetProtection password="B8D9" sheet="1" objects="1" scenarios="1"/>
  <mergeCells count="4">
    <mergeCell ref="B2:M3"/>
    <mergeCell ref="B50:M50"/>
    <mergeCell ref="B51:N51"/>
    <mergeCell ref="O1:O4"/>
  </mergeCells>
  <hyperlinks>
    <hyperlink ref="O1:O4" location="'List of Tables &amp; Charts'!A1" display="return to List of Tables &amp; Charts"/>
  </hyperlinks>
  <pageMargins left="0.70866141732283472" right="0.70866141732283472" top="0.74803149606299213" bottom="0.74803149606299213" header="0.31496062992125984" footer="0.31496062992125984"/>
  <pageSetup paperSize="9" scale="58" orientation="portrait"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5.xml><?xml version="1.0" encoding="utf-8"?>
<worksheet xmlns="http://schemas.openxmlformats.org/spreadsheetml/2006/main" xmlns:r="http://schemas.openxmlformats.org/officeDocument/2006/relationships">
  <sheetPr codeName="Sheet37"/>
  <dimension ref="A1:E61"/>
  <sheetViews>
    <sheetView workbookViewId="0"/>
  </sheetViews>
  <sheetFormatPr defaultRowHeight="12.75"/>
  <cols>
    <col min="1" max="1" width="1.7109375" style="2" customWidth="1"/>
    <col min="2" max="2" width="50.7109375" style="2" customWidth="1"/>
    <col min="3" max="4" width="25.7109375" style="2" customWidth="1"/>
    <col min="5" max="16384" width="9.140625" style="2"/>
  </cols>
  <sheetData>
    <row r="1" spans="1:5">
      <c r="B1" s="26" t="s">
        <v>610</v>
      </c>
      <c r="C1" s="26"/>
      <c r="D1" s="26"/>
    </row>
    <row r="2" spans="1:5">
      <c r="B2" s="105"/>
      <c r="C2" s="132"/>
      <c r="D2" s="132"/>
    </row>
    <row r="3" spans="1:5" ht="13.5" thickBot="1">
      <c r="B3" s="76" t="s">
        <v>48</v>
      </c>
      <c r="C3" s="133">
        <v>2013</v>
      </c>
      <c r="D3" s="133">
        <v>2012</v>
      </c>
    </row>
    <row r="4" spans="1:5" ht="24.95" customHeight="1">
      <c r="B4" s="772" t="s">
        <v>27</v>
      </c>
      <c r="C4" s="774" t="s">
        <v>317</v>
      </c>
      <c r="D4" s="776" t="s">
        <v>545</v>
      </c>
    </row>
    <row r="5" spans="1:5" ht="39.950000000000003" customHeight="1" thickBot="1">
      <c r="B5" s="773"/>
      <c r="C5" s="775"/>
      <c r="D5" s="777"/>
    </row>
    <row r="6" spans="1:5" ht="13.5" thickBot="1">
      <c r="A6" s="44" t="s">
        <v>137</v>
      </c>
      <c r="B6" s="134" t="s">
        <v>284</v>
      </c>
      <c r="C6" s="135">
        <v>869</v>
      </c>
      <c r="D6" s="136">
        <v>946</v>
      </c>
    </row>
    <row r="7" spans="1:5">
      <c r="A7" s="44" t="s">
        <v>35</v>
      </c>
      <c r="B7" s="137" t="s">
        <v>35</v>
      </c>
      <c r="C7" s="138">
        <v>49</v>
      </c>
      <c r="D7" s="139">
        <v>42</v>
      </c>
    </row>
    <row r="8" spans="1:5">
      <c r="A8" s="44" t="s">
        <v>60</v>
      </c>
      <c r="B8" s="140" t="s">
        <v>60</v>
      </c>
      <c r="C8" s="141">
        <v>19</v>
      </c>
      <c r="D8" s="142">
        <v>11</v>
      </c>
    </row>
    <row r="9" spans="1:5" ht="13.5" thickBot="1">
      <c r="A9" s="44" t="s">
        <v>62</v>
      </c>
      <c r="B9" s="143" t="s">
        <v>64</v>
      </c>
      <c r="C9" s="144">
        <v>30</v>
      </c>
      <c r="D9" s="145">
        <v>31</v>
      </c>
    </row>
    <row r="10" spans="1:5">
      <c r="A10" s="44" t="s">
        <v>30</v>
      </c>
      <c r="B10" s="137" t="s">
        <v>30</v>
      </c>
      <c r="C10" s="138">
        <v>10</v>
      </c>
      <c r="D10" s="139">
        <v>10</v>
      </c>
    </row>
    <row r="11" spans="1:5" ht="13.5" thickBot="1">
      <c r="A11" s="44" t="s">
        <v>65</v>
      </c>
      <c r="B11" s="146" t="s">
        <v>66</v>
      </c>
      <c r="C11" s="147">
        <v>10</v>
      </c>
      <c r="D11" s="148">
        <v>10</v>
      </c>
    </row>
    <row r="12" spans="1:5">
      <c r="A12" s="44" t="s">
        <v>33</v>
      </c>
      <c r="B12" s="137" t="s">
        <v>33</v>
      </c>
      <c r="C12" s="138">
        <v>46</v>
      </c>
      <c r="D12" s="139">
        <v>40</v>
      </c>
    </row>
    <row r="13" spans="1:5">
      <c r="A13" s="44" t="s">
        <v>67</v>
      </c>
      <c r="B13" s="149" t="s">
        <v>69</v>
      </c>
      <c r="C13" s="141">
        <v>35</v>
      </c>
      <c r="D13" s="142">
        <v>32</v>
      </c>
      <c r="E13" s="66"/>
    </row>
    <row r="14" spans="1:5" ht="13.5" thickBot="1">
      <c r="A14" s="44" t="s">
        <v>70</v>
      </c>
      <c r="B14" s="143" t="s">
        <v>72</v>
      </c>
      <c r="C14" s="144">
        <v>11</v>
      </c>
      <c r="D14" s="145">
        <v>8</v>
      </c>
    </row>
    <row r="15" spans="1:5">
      <c r="A15" s="44" t="s">
        <v>32</v>
      </c>
      <c r="B15" s="137" t="s">
        <v>32</v>
      </c>
      <c r="C15" s="138">
        <v>44</v>
      </c>
      <c r="D15" s="139">
        <v>60</v>
      </c>
    </row>
    <row r="16" spans="1:5" ht="13.5" thickBot="1">
      <c r="A16" s="44" t="s">
        <v>73</v>
      </c>
      <c r="B16" s="143" t="s">
        <v>74</v>
      </c>
      <c r="C16" s="144">
        <v>44</v>
      </c>
      <c r="D16" s="145">
        <v>60</v>
      </c>
    </row>
    <row r="17" spans="1:4">
      <c r="A17" s="44" t="s">
        <v>37</v>
      </c>
      <c r="B17" s="137" t="s">
        <v>37</v>
      </c>
      <c r="C17" s="138">
        <v>35</v>
      </c>
      <c r="D17" s="139">
        <v>40</v>
      </c>
    </row>
    <row r="18" spans="1:4" ht="13.5" thickBot="1">
      <c r="A18" s="44" t="s">
        <v>194</v>
      </c>
      <c r="B18" s="150" t="s">
        <v>76</v>
      </c>
      <c r="C18" s="151">
        <v>35</v>
      </c>
      <c r="D18" s="152">
        <v>40</v>
      </c>
    </row>
    <row r="19" spans="1:4">
      <c r="A19" s="44" t="s">
        <v>36</v>
      </c>
      <c r="B19" s="137" t="s">
        <v>36</v>
      </c>
      <c r="C19" s="138">
        <v>145</v>
      </c>
      <c r="D19" s="139">
        <v>164</v>
      </c>
    </row>
    <row r="20" spans="1:4">
      <c r="A20" s="44" t="s">
        <v>77</v>
      </c>
      <c r="B20" s="140" t="s">
        <v>78</v>
      </c>
      <c r="C20" s="141">
        <v>133</v>
      </c>
      <c r="D20" s="142">
        <v>156</v>
      </c>
    </row>
    <row r="21" spans="1:4" ht="13.5" thickBot="1">
      <c r="A21" s="44" t="s">
        <v>79</v>
      </c>
      <c r="B21" s="143" t="s">
        <v>81</v>
      </c>
      <c r="C21" s="144">
        <v>12</v>
      </c>
      <c r="D21" s="145">
        <v>8</v>
      </c>
    </row>
    <row r="22" spans="1:4">
      <c r="A22" s="44" t="s">
        <v>42</v>
      </c>
      <c r="B22" s="137" t="s">
        <v>42</v>
      </c>
      <c r="C22" s="138">
        <v>203</v>
      </c>
      <c r="D22" s="139">
        <v>229</v>
      </c>
    </row>
    <row r="23" spans="1:4">
      <c r="A23" s="44" t="s">
        <v>82</v>
      </c>
      <c r="B23" s="153" t="s">
        <v>83</v>
      </c>
      <c r="C23" s="131">
        <v>1</v>
      </c>
      <c r="D23" s="154">
        <v>1</v>
      </c>
    </row>
    <row r="24" spans="1:4">
      <c r="A24" s="44" t="s">
        <v>84</v>
      </c>
      <c r="B24" s="153" t="s">
        <v>86</v>
      </c>
      <c r="C24" s="131">
        <v>0</v>
      </c>
      <c r="D24" s="154">
        <v>0</v>
      </c>
    </row>
    <row r="25" spans="1:4" s="472" customFormat="1">
      <c r="A25" s="44"/>
      <c r="B25" s="153" t="s">
        <v>546</v>
      </c>
      <c r="C25" s="131">
        <v>202</v>
      </c>
      <c r="D25" s="154">
        <v>226</v>
      </c>
    </row>
    <row r="26" spans="1:4" ht="13.5" thickBot="1">
      <c r="A26" s="44" t="s">
        <v>87</v>
      </c>
      <c r="B26" s="153" t="s">
        <v>88</v>
      </c>
      <c r="C26" s="131">
        <v>0</v>
      </c>
      <c r="D26" s="154">
        <v>2</v>
      </c>
    </row>
    <row r="27" spans="1:4">
      <c r="A27" s="44" t="s">
        <v>38</v>
      </c>
      <c r="B27" s="137" t="s">
        <v>38</v>
      </c>
      <c r="C27" s="138">
        <v>41</v>
      </c>
      <c r="D27" s="139">
        <v>40</v>
      </c>
    </row>
    <row r="28" spans="1:4">
      <c r="A28" s="44" t="s">
        <v>91</v>
      </c>
      <c r="B28" s="153" t="s">
        <v>93</v>
      </c>
      <c r="C28" s="131">
        <v>3</v>
      </c>
      <c r="D28" s="154">
        <v>3</v>
      </c>
    </row>
    <row r="29" spans="1:4">
      <c r="A29" s="44" t="s">
        <v>94</v>
      </c>
      <c r="B29" s="153" t="s">
        <v>96</v>
      </c>
      <c r="C29" s="131">
        <v>3</v>
      </c>
      <c r="D29" s="154">
        <v>11</v>
      </c>
    </row>
    <row r="30" spans="1:4">
      <c r="A30" s="44" t="s">
        <v>97</v>
      </c>
      <c r="B30" s="153" t="s">
        <v>99</v>
      </c>
      <c r="C30" s="131">
        <v>8</v>
      </c>
      <c r="D30" s="154">
        <v>3</v>
      </c>
    </row>
    <row r="31" spans="1:4" ht="13.5" thickBot="1">
      <c r="A31" s="44" t="s">
        <v>100</v>
      </c>
      <c r="B31" s="150" t="s">
        <v>102</v>
      </c>
      <c r="C31" s="151">
        <v>27</v>
      </c>
      <c r="D31" s="152">
        <v>23</v>
      </c>
    </row>
    <row r="32" spans="1:4">
      <c r="A32" s="44" t="s">
        <v>31</v>
      </c>
      <c r="B32" s="137" t="s">
        <v>31</v>
      </c>
      <c r="C32" s="138">
        <v>67</v>
      </c>
      <c r="D32" s="139">
        <v>112</v>
      </c>
    </row>
    <row r="33" spans="1:4">
      <c r="A33" s="44" t="s">
        <v>103</v>
      </c>
      <c r="B33" s="140" t="s">
        <v>105</v>
      </c>
      <c r="C33" s="141">
        <v>14</v>
      </c>
      <c r="D33" s="142">
        <v>26</v>
      </c>
    </row>
    <row r="34" spans="1:4">
      <c r="A34" s="44" t="s">
        <v>106</v>
      </c>
      <c r="B34" s="153" t="s">
        <v>644</v>
      </c>
      <c r="C34" s="131">
        <v>26</v>
      </c>
      <c r="D34" s="154">
        <v>39</v>
      </c>
    </row>
    <row r="35" spans="1:4" ht="13.5" thickBot="1">
      <c r="A35" s="44" t="s">
        <v>109</v>
      </c>
      <c r="B35" s="150" t="s">
        <v>109</v>
      </c>
      <c r="C35" s="151">
        <v>27</v>
      </c>
      <c r="D35" s="152">
        <v>47</v>
      </c>
    </row>
    <row r="36" spans="1:4">
      <c r="A36" s="44" t="s">
        <v>40</v>
      </c>
      <c r="B36" s="137" t="s">
        <v>40</v>
      </c>
      <c r="C36" s="138">
        <v>150</v>
      </c>
      <c r="D36" s="139">
        <v>122</v>
      </c>
    </row>
    <row r="37" spans="1:4">
      <c r="A37" s="44" t="s">
        <v>195</v>
      </c>
      <c r="B37" s="149" t="s">
        <v>113</v>
      </c>
      <c r="C37" s="141">
        <v>100</v>
      </c>
      <c r="D37" s="142">
        <v>85</v>
      </c>
    </row>
    <row r="38" spans="1:4">
      <c r="A38" s="44" t="s">
        <v>114</v>
      </c>
      <c r="B38" s="153" t="s">
        <v>116</v>
      </c>
      <c r="C38" s="131">
        <v>35</v>
      </c>
      <c r="D38" s="154">
        <v>26</v>
      </c>
    </row>
    <row r="39" spans="1:4" ht="13.5" thickBot="1">
      <c r="A39" s="44" t="s">
        <v>117</v>
      </c>
      <c r="B39" s="143" t="s">
        <v>119</v>
      </c>
      <c r="C39" s="144">
        <v>15</v>
      </c>
      <c r="D39" s="145">
        <v>11</v>
      </c>
    </row>
    <row r="40" spans="1:4">
      <c r="A40" s="44" t="s">
        <v>43</v>
      </c>
      <c r="B40" s="155" t="s">
        <v>43</v>
      </c>
      <c r="C40" s="156">
        <v>1</v>
      </c>
      <c r="D40" s="157">
        <v>2</v>
      </c>
    </row>
    <row r="41" spans="1:4" ht="13.5" thickBot="1">
      <c r="A41" s="44" t="s">
        <v>120</v>
      </c>
      <c r="B41" s="146" t="s">
        <v>122</v>
      </c>
      <c r="C41" s="147">
        <v>1</v>
      </c>
      <c r="D41" s="148">
        <v>2</v>
      </c>
    </row>
    <row r="42" spans="1:4">
      <c r="A42" s="44" t="s">
        <v>41</v>
      </c>
      <c r="B42" s="137" t="s">
        <v>41</v>
      </c>
      <c r="C42" s="138">
        <v>1</v>
      </c>
      <c r="D42" s="139">
        <v>2</v>
      </c>
    </row>
    <row r="43" spans="1:4" ht="13.5" thickBot="1">
      <c r="A43" s="44" t="s">
        <v>123</v>
      </c>
      <c r="B43" s="150" t="s">
        <v>125</v>
      </c>
      <c r="C43" s="158">
        <v>1</v>
      </c>
      <c r="D43" s="159">
        <v>2</v>
      </c>
    </row>
    <row r="44" spans="1:4">
      <c r="A44" s="44" t="s">
        <v>34</v>
      </c>
      <c r="B44" s="137" t="s">
        <v>34</v>
      </c>
      <c r="C44" s="138">
        <v>71</v>
      </c>
      <c r="D44" s="139">
        <v>75</v>
      </c>
    </row>
    <row r="45" spans="1:4">
      <c r="A45" s="44" t="s">
        <v>126</v>
      </c>
      <c r="B45" s="140" t="s">
        <v>128</v>
      </c>
      <c r="C45" s="141">
        <v>49</v>
      </c>
      <c r="D45" s="142">
        <v>52</v>
      </c>
    </row>
    <row r="46" spans="1:4" ht="13.5" thickBot="1">
      <c r="A46" s="44" t="s">
        <v>129</v>
      </c>
      <c r="B46" s="140" t="s">
        <v>131</v>
      </c>
      <c r="C46" s="141">
        <v>22</v>
      </c>
      <c r="D46" s="142">
        <v>23</v>
      </c>
    </row>
    <row r="47" spans="1:4">
      <c r="A47" s="44" t="s">
        <v>39</v>
      </c>
      <c r="B47" s="137" t="s">
        <v>39</v>
      </c>
      <c r="C47" s="160">
        <v>6</v>
      </c>
      <c r="D47" s="161">
        <v>8</v>
      </c>
    </row>
    <row r="48" spans="1:4">
      <c r="A48" s="44" t="s">
        <v>132</v>
      </c>
      <c r="B48" s="140" t="s">
        <v>134</v>
      </c>
      <c r="C48" s="141">
        <v>0</v>
      </c>
      <c r="D48" s="142">
        <v>0</v>
      </c>
    </row>
    <row r="49" spans="1:5" ht="13.5" thickBot="1">
      <c r="A49" s="44" t="s">
        <v>135</v>
      </c>
      <c r="B49" s="150" t="s">
        <v>136</v>
      </c>
      <c r="C49" s="151">
        <v>6</v>
      </c>
      <c r="D49" s="152">
        <v>8</v>
      </c>
      <c r="E49" s="66"/>
    </row>
    <row r="50" spans="1:5">
      <c r="B50" s="162"/>
    </row>
    <row r="51" spans="1:5">
      <c r="B51" s="32" t="s">
        <v>621</v>
      </c>
    </row>
    <row r="52" spans="1:5">
      <c r="B52" s="769" t="s">
        <v>622</v>
      </c>
      <c r="C52" s="769"/>
      <c r="D52" s="769"/>
    </row>
    <row r="53" spans="1:5" s="329" customFormat="1">
      <c r="B53" s="769"/>
      <c r="C53" s="769"/>
      <c r="D53" s="769"/>
    </row>
    <row r="54" spans="1:5" ht="12.75" customHeight="1">
      <c r="B54" s="778" t="s">
        <v>757</v>
      </c>
      <c r="C54" s="778"/>
      <c r="D54" s="778"/>
    </row>
    <row r="55" spans="1:5" s="329" customFormat="1">
      <c r="B55" s="778"/>
      <c r="C55" s="778"/>
      <c r="D55" s="778"/>
    </row>
    <row r="56" spans="1:5" s="479" customFormat="1">
      <c r="B56" s="778"/>
      <c r="C56" s="778"/>
      <c r="D56" s="778"/>
    </row>
    <row r="57" spans="1:5" ht="12.75" customHeight="1">
      <c r="B57" s="163" t="s">
        <v>4</v>
      </c>
      <c r="C57" s="106"/>
      <c r="D57" s="106"/>
    </row>
    <row r="58" spans="1:5" ht="15" customHeight="1">
      <c r="B58" s="384"/>
      <c r="C58" s="384"/>
      <c r="D58" s="384"/>
    </row>
    <row r="59" spans="1:5">
      <c r="B59" s="384"/>
      <c r="C59" s="384"/>
      <c r="D59" s="384"/>
    </row>
    <row r="60" spans="1:5">
      <c r="B60" s="384"/>
      <c r="C60" s="384"/>
      <c r="D60" s="384"/>
    </row>
    <row r="61" spans="1:5">
      <c r="B61" s="384"/>
      <c r="C61" s="384"/>
      <c r="D61" s="384"/>
    </row>
  </sheetData>
  <sheetProtection password="B8D9" sheet="1" objects="1" scenarios="1"/>
  <mergeCells count="5">
    <mergeCell ref="B4:B5"/>
    <mergeCell ref="C4:C5"/>
    <mergeCell ref="D4:D5"/>
    <mergeCell ref="B52:D53"/>
    <mergeCell ref="B54:D56"/>
  </mergeCells>
  <phoneticPr fontId="0" type="noConversion"/>
  <hyperlinks>
    <hyperlink ref="B3" location="'List of Tables &amp; Charts'!A1" display="return to List of Tables &amp; Charts"/>
  </hyperlinks>
  <printOptions horizontalCentered="1"/>
  <pageMargins left="0" right="0" top="0.39370078740157483" bottom="0.74803149606299213" header="0.15748031496062992" footer="0.19685039370078741"/>
  <pageSetup paperSize="9" scale="75" orientation="portrait"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50.xml><?xml version="1.0" encoding="utf-8"?>
<worksheet xmlns="http://schemas.openxmlformats.org/spreadsheetml/2006/main" xmlns:r="http://schemas.openxmlformats.org/officeDocument/2006/relationships">
  <sheetPr codeName="Sheet52"/>
  <dimension ref="A1:P39"/>
  <sheetViews>
    <sheetView workbookViewId="0"/>
  </sheetViews>
  <sheetFormatPr defaultRowHeight="12.75"/>
  <cols>
    <col min="1" max="1" width="1.7109375" style="750" customWidth="1"/>
    <col min="2" max="256" width="9.140625" style="750"/>
    <col min="257" max="257" width="1.7109375" style="750" customWidth="1"/>
    <col min="258" max="512" width="9.140625" style="750"/>
    <col min="513" max="513" width="1.7109375" style="750" customWidth="1"/>
    <col min="514" max="768" width="9.140625" style="750"/>
    <col min="769" max="769" width="1.7109375" style="750" customWidth="1"/>
    <col min="770" max="1024" width="9.140625" style="750"/>
    <col min="1025" max="1025" width="1.7109375" style="750" customWidth="1"/>
    <col min="1026" max="1280" width="9.140625" style="750"/>
    <col min="1281" max="1281" width="1.7109375" style="750" customWidth="1"/>
    <col min="1282" max="1536" width="9.140625" style="750"/>
    <col min="1537" max="1537" width="1.7109375" style="750" customWidth="1"/>
    <col min="1538" max="1792" width="9.140625" style="750"/>
    <col min="1793" max="1793" width="1.7109375" style="750" customWidth="1"/>
    <col min="1794" max="2048" width="9.140625" style="750"/>
    <col min="2049" max="2049" width="1.7109375" style="750" customWidth="1"/>
    <col min="2050" max="2304" width="9.140625" style="750"/>
    <col min="2305" max="2305" width="1.7109375" style="750" customWidth="1"/>
    <col min="2306" max="2560" width="9.140625" style="750"/>
    <col min="2561" max="2561" width="1.7109375" style="750" customWidth="1"/>
    <col min="2562" max="2816" width="9.140625" style="750"/>
    <col min="2817" max="2817" width="1.7109375" style="750" customWidth="1"/>
    <col min="2818" max="3072" width="9.140625" style="750"/>
    <col min="3073" max="3073" width="1.7109375" style="750" customWidth="1"/>
    <col min="3074" max="3328" width="9.140625" style="750"/>
    <col min="3329" max="3329" width="1.7109375" style="750" customWidth="1"/>
    <col min="3330" max="3584" width="9.140625" style="750"/>
    <col min="3585" max="3585" width="1.7109375" style="750" customWidth="1"/>
    <col min="3586" max="3840" width="9.140625" style="750"/>
    <col min="3841" max="3841" width="1.7109375" style="750" customWidth="1"/>
    <col min="3842" max="4096" width="9.140625" style="750"/>
    <col min="4097" max="4097" width="1.7109375" style="750" customWidth="1"/>
    <col min="4098" max="4352" width="9.140625" style="750"/>
    <col min="4353" max="4353" width="1.7109375" style="750" customWidth="1"/>
    <col min="4354" max="4608" width="9.140625" style="750"/>
    <col min="4609" max="4609" width="1.7109375" style="750" customWidth="1"/>
    <col min="4610" max="4864" width="9.140625" style="750"/>
    <col min="4865" max="4865" width="1.7109375" style="750" customWidth="1"/>
    <col min="4866" max="5120" width="9.140625" style="750"/>
    <col min="5121" max="5121" width="1.7109375" style="750" customWidth="1"/>
    <col min="5122" max="5376" width="9.140625" style="750"/>
    <col min="5377" max="5377" width="1.7109375" style="750" customWidth="1"/>
    <col min="5378" max="5632" width="9.140625" style="750"/>
    <col min="5633" max="5633" width="1.7109375" style="750" customWidth="1"/>
    <col min="5634" max="5888" width="9.140625" style="750"/>
    <col min="5889" max="5889" width="1.7109375" style="750" customWidth="1"/>
    <col min="5890" max="6144" width="9.140625" style="750"/>
    <col min="6145" max="6145" width="1.7109375" style="750" customWidth="1"/>
    <col min="6146" max="6400" width="9.140625" style="750"/>
    <col min="6401" max="6401" width="1.7109375" style="750" customWidth="1"/>
    <col min="6402" max="6656" width="9.140625" style="750"/>
    <col min="6657" max="6657" width="1.7109375" style="750" customWidth="1"/>
    <col min="6658" max="6912" width="9.140625" style="750"/>
    <col min="6913" max="6913" width="1.7109375" style="750" customWidth="1"/>
    <col min="6914" max="7168" width="9.140625" style="750"/>
    <col min="7169" max="7169" width="1.7109375" style="750" customWidth="1"/>
    <col min="7170" max="7424" width="9.140625" style="750"/>
    <col min="7425" max="7425" width="1.7109375" style="750" customWidth="1"/>
    <col min="7426" max="7680" width="9.140625" style="750"/>
    <col min="7681" max="7681" width="1.7109375" style="750" customWidth="1"/>
    <col min="7682" max="7936" width="9.140625" style="750"/>
    <col min="7937" max="7937" width="1.7109375" style="750" customWidth="1"/>
    <col min="7938" max="8192" width="9.140625" style="750"/>
    <col min="8193" max="8193" width="1.7109375" style="750" customWidth="1"/>
    <col min="8194" max="8448" width="9.140625" style="750"/>
    <col min="8449" max="8449" width="1.7109375" style="750" customWidth="1"/>
    <col min="8450" max="8704" width="9.140625" style="750"/>
    <col min="8705" max="8705" width="1.7109375" style="750" customWidth="1"/>
    <col min="8706" max="8960" width="9.140625" style="750"/>
    <col min="8961" max="8961" width="1.7109375" style="750" customWidth="1"/>
    <col min="8962" max="9216" width="9.140625" style="750"/>
    <col min="9217" max="9217" width="1.7109375" style="750" customWidth="1"/>
    <col min="9218" max="9472" width="9.140625" style="750"/>
    <col min="9473" max="9473" width="1.7109375" style="750" customWidth="1"/>
    <col min="9474" max="9728" width="9.140625" style="750"/>
    <col min="9729" max="9729" width="1.7109375" style="750" customWidth="1"/>
    <col min="9730" max="9984" width="9.140625" style="750"/>
    <col min="9985" max="9985" width="1.7109375" style="750" customWidth="1"/>
    <col min="9986" max="10240" width="9.140625" style="750"/>
    <col min="10241" max="10241" width="1.7109375" style="750" customWidth="1"/>
    <col min="10242" max="10496" width="9.140625" style="750"/>
    <col min="10497" max="10497" width="1.7109375" style="750" customWidth="1"/>
    <col min="10498" max="10752" width="9.140625" style="750"/>
    <col min="10753" max="10753" width="1.7109375" style="750" customWidth="1"/>
    <col min="10754" max="11008" width="9.140625" style="750"/>
    <col min="11009" max="11009" width="1.7109375" style="750" customWidth="1"/>
    <col min="11010" max="11264" width="9.140625" style="750"/>
    <col min="11265" max="11265" width="1.7109375" style="750" customWidth="1"/>
    <col min="11266" max="11520" width="9.140625" style="750"/>
    <col min="11521" max="11521" width="1.7109375" style="750" customWidth="1"/>
    <col min="11522" max="11776" width="9.140625" style="750"/>
    <col min="11777" max="11777" width="1.7109375" style="750" customWidth="1"/>
    <col min="11778" max="12032" width="9.140625" style="750"/>
    <col min="12033" max="12033" width="1.7109375" style="750" customWidth="1"/>
    <col min="12034" max="12288" width="9.140625" style="750"/>
    <col min="12289" max="12289" width="1.7109375" style="750" customWidth="1"/>
    <col min="12290" max="12544" width="9.140625" style="750"/>
    <col min="12545" max="12545" width="1.7109375" style="750" customWidth="1"/>
    <col min="12546" max="12800" width="9.140625" style="750"/>
    <col min="12801" max="12801" width="1.7109375" style="750" customWidth="1"/>
    <col min="12802" max="13056" width="9.140625" style="750"/>
    <col min="13057" max="13057" width="1.7109375" style="750" customWidth="1"/>
    <col min="13058" max="13312" width="9.140625" style="750"/>
    <col min="13313" max="13313" width="1.7109375" style="750" customWidth="1"/>
    <col min="13314" max="13568" width="9.140625" style="750"/>
    <col min="13569" max="13569" width="1.7109375" style="750" customWidth="1"/>
    <col min="13570" max="13824" width="9.140625" style="750"/>
    <col min="13825" max="13825" width="1.7109375" style="750" customWidth="1"/>
    <col min="13826" max="14080" width="9.140625" style="750"/>
    <col min="14081" max="14081" width="1.7109375" style="750" customWidth="1"/>
    <col min="14082" max="14336" width="9.140625" style="750"/>
    <col min="14337" max="14337" width="1.7109375" style="750" customWidth="1"/>
    <col min="14338" max="14592" width="9.140625" style="750"/>
    <col min="14593" max="14593" width="1.7109375" style="750" customWidth="1"/>
    <col min="14594" max="14848" width="9.140625" style="750"/>
    <col min="14849" max="14849" width="1.7109375" style="750" customWidth="1"/>
    <col min="14850" max="15104" width="9.140625" style="750"/>
    <col min="15105" max="15105" width="1.7109375" style="750" customWidth="1"/>
    <col min="15106" max="15360" width="9.140625" style="750"/>
    <col min="15361" max="15361" width="1.7109375" style="750" customWidth="1"/>
    <col min="15362" max="15616" width="9.140625" style="750"/>
    <col min="15617" max="15617" width="1.7109375" style="750" customWidth="1"/>
    <col min="15618" max="15872" width="9.140625" style="750"/>
    <col min="15873" max="15873" width="1.7109375" style="750" customWidth="1"/>
    <col min="15874" max="16128" width="9.140625" style="750"/>
    <col min="16129" max="16129" width="1.7109375" style="750" customWidth="1"/>
    <col min="16130" max="16384" width="9.140625" style="750"/>
  </cols>
  <sheetData>
    <row r="1" spans="1:16" ht="12.75" customHeight="1">
      <c r="A1" s="1"/>
      <c r="B1" s="798" t="s">
        <v>682</v>
      </c>
      <c r="C1" s="798"/>
      <c r="D1" s="798"/>
      <c r="E1" s="798"/>
      <c r="F1" s="798"/>
      <c r="G1" s="798"/>
      <c r="H1" s="798"/>
      <c r="I1" s="798"/>
      <c r="J1" s="798"/>
      <c r="K1" s="798"/>
      <c r="L1" s="798"/>
      <c r="M1" s="798"/>
      <c r="N1" s="798"/>
      <c r="O1" s="802" t="s">
        <v>48</v>
      </c>
    </row>
    <row r="2" spans="1:16">
      <c r="B2" s="798"/>
      <c r="C2" s="798"/>
      <c r="D2" s="798"/>
      <c r="E2" s="798"/>
      <c r="F2" s="798"/>
      <c r="G2" s="798"/>
      <c r="H2" s="798"/>
      <c r="I2" s="798"/>
      <c r="J2" s="798"/>
      <c r="K2" s="798"/>
      <c r="L2" s="798"/>
      <c r="M2" s="798"/>
      <c r="N2" s="798"/>
      <c r="O2" s="802"/>
    </row>
    <row r="3" spans="1:16" ht="21.75" customHeight="1">
      <c r="B3" s="397" t="s">
        <v>183</v>
      </c>
      <c r="O3" s="802"/>
    </row>
    <row r="4" spans="1:16" ht="12.75" customHeight="1">
      <c r="B4" s="810" t="s">
        <v>501</v>
      </c>
      <c r="C4" s="810"/>
      <c r="D4" s="810"/>
      <c r="E4" s="810"/>
      <c r="F4" s="810"/>
      <c r="G4" s="810"/>
      <c r="H4" s="810"/>
      <c r="I4" s="810"/>
      <c r="J4" s="810"/>
      <c r="K4" s="810"/>
      <c r="L4" s="810"/>
      <c r="M4" s="810"/>
      <c r="P4" s="747"/>
    </row>
    <row r="5" spans="1:16" ht="15" customHeight="1">
      <c r="B5" s="810"/>
      <c r="C5" s="810"/>
      <c r="D5" s="810"/>
      <c r="E5" s="810"/>
      <c r="F5" s="810"/>
      <c r="G5" s="810"/>
      <c r="H5" s="810"/>
      <c r="I5" s="810"/>
      <c r="J5" s="810"/>
      <c r="K5" s="810"/>
      <c r="L5" s="810"/>
      <c r="M5" s="810"/>
      <c r="N5" s="921" t="s">
        <v>725</v>
      </c>
      <c r="O5" s="921"/>
    </row>
    <row r="6" spans="1:16">
      <c r="B6" s="748"/>
      <c r="C6" s="748"/>
      <c r="D6" s="748"/>
      <c r="E6" s="748"/>
      <c r="F6" s="748"/>
      <c r="G6" s="748"/>
      <c r="H6" s="748"/>
      <c r="I6" s="748"/>
      <c r="J6" s="748"/>
    </row>
    <row r="12" spans="1:16">
      <c r="P12" s="114"/>
    </row>
    <row r="32" spans="2:15">
      <c r="B32" s="77" t="s">
        <v>683</v>
      </c>
      <c r="C32" s="345"/>
      <c r="D32" s="345"/>
      <c r="E32" s="345"/>
      <c r="F32" s="345"/>
      <c r="G32" s="345"/>
      <c r="H32" s="345"/>
      <c r="I32" s="345"/>
      <c r="J32" s="345"/>
      <c r="K32" s="345"/>
      <c r="L32" s="345"/>
      <c r="M32" s="345"/>
      <c r="N32" s="345"/>
      <c r="O32" s="345"/>
    </row>
    <row r="33" spans="2:15" ht="24.75" customHeight="1">
      <c r="B33" s="922" t="s">
        <v>262</v>
      </c>
      <c r="C33" s="923"/>
      <c r="D33" s="923"/>
      <c r="E33" s="923"/>
      <c r="F33" s="923"/>
      <c r="G33" s="923"/>
      <c r="H33" s="923"/>
      <c r="I33" s="923"/>
      <c r="J33" s="923"/>
      <c r="K33" s="923"/>
      <c r="L33" s="923"/>
      <c r="M33" s="923"/>
      <c r="N33" s="923"/>
      <c r="O33" s="923"/>
    </row>
    <row r="34" spans="2:15" ht="15">
      <c r="B34" s="287" t="s">
        <v>263</v>
      </c>
      <c r="C34" s="288"/>
      <c r="D34" s="288"/>
      <c r="E34" s="288"/>
      <c r="F34" s="288"/>
      <c r="G34" s="288"/>
      <c r="H34" s="288"/>
      <c r="I34" s="288"/>
      <c r="J34" s="288"/>
      <c r="K34" s="289"/>
      <c r="L34" s="289"/>
      <c r="M34" s="289"/>
      <c r="N34" s="289"/>
      <c r="O34" s="289"/>
    </row>
    <row r="35" spans="2:15" ht="24.75" customHeight="1">
      <c r="B35" s="924" t="s">
        <v>264</v>
      </c>
      <c r="C35" s="923"/>
      <c r="D35" s="923"/>
      <c r="E35" s="923"/>
      <c r="F35" s="923"/>
      <c r="G35" s="923"/>
      <c r="H35" s="923"/>
      <c r="I35" s="923"/>
      <c r="J35" s="923"/>
      <c r="K35" s="923"/>
      <c r="L35" s="923"/>
      <c r="M35" s="923"/>
      <c r="N35" s="923"/>
      <c r="O35" s="923"/>
    </row>
    <row r="36" spans="2:15" ht="30" customHeight="1">
      <c r="B36" s="918" t="s">
        <v>265</v>
      </c>
      <c r="C36" s="919"/>
      <c r="D36" s="919"/>
      <c r="E36" s="919"/>
      <c r="F36" s="919"/>
      <c r="G36" s="919"/>
      <c r="H36" s="919"/>
      <c r="I36" s="919"/>
      <c r="J36" s="919"/>
      <c r="K36" s="919"/>
      <c r="L36" s="919"/>
      <c r="M36" s="919"/>
      <c r="N36" s="919"/>
      <c r="O36" s="919"/>
    </row>
    <row r="37" spans="2:15" ht="36.75" customHeight="1">
      <c r="B37" s="920" t="s">
        <v>261</v>
      </c>
      <c r="C37" s="920"/>
      <c r="D37" s="920"/>
      <c r="E37" s="920"/>
      <c r="F37" s="920"/>
      <c r="G37" s="920"/>
      <c r="H37" s="920"/>
      <c r="I37" s="920"/>
      <c r="J37" s="920"/>
      <c r="K37" s="920"/>
      <c r="L37" s="920"/>
      <c r="M37" s="920"/>
      <c r="N37" s="920"/>
      <c r="O37" s="920"/>
    </row>
    <row r="38" spans="2:15">
      <c r="B38" s="920"/>
      <c r="C38" s="920"/>
      <c r="D38" s="920"/>
      <c r="E38" s="920"/>
      <c r="F38" s="920"/>
      <c r="G38" s="920"/>
      <c r="H38" s="920"/>
      <c r="I38" s="920"/>
      <c r="J38" s="920"/>
      <c r="K38" s="920"/>
      <c r="L38" s="920"/>
      <c r="M38" s="920"/>
      <c r="N38" s="920"/>
      <c r="O38" s="920"/>
    </row>
    <row r="39" spans="2:15">
      <c r="B39" s="920"/>
      <c r="C39" s="920"/>
      <c r="D39" s="920"/>
      <c r="E39" s="920"/>
      <c r="F39" s="920"/>
      <c r="G39" s="920"/>
      <c r="H39" s="920"/>
      <c r="I39" s="920"/>
      <c r="J39" s="920"/>
      <c r="K39" s="920"/>
      <c r="L39" s="920"/>
      <c r="M39" s="920"/>
      <c r="N39" s="920"/>
      <c r="O39" s="920"/>
    </row>
  </sheetData>
  <sheetProtection password="B8D9" sheet="1" objects="1" scenarios="1"/>
  <mergeCells count="8">
    <mergeCell ref="B36:O36"/>
    <mergeCell ref="B37:O39"/>
    <mergeCell ref="B1:N2"/>
    <mergeCell ref="O1:O3"/>
    <mergeCell ref="B4:M5"/>
    <mergeCell ref="N5:O5"/>
    <mergeCell ref="B33:O33"/>
    <mergeCell ref="B35:O35"/>
  </mergeCells>
  <hyperlinks>
    <hyperlink ref="O1" location="'List of Tables &amp; Charts'!A1" display="return to List of Tables &amp; Charts"/>
    <hyperlink ref="O4:P4" location="'Chart 1a DATA'!A1" display="view Chart 1a data"/>
    <hyperlink ref="N5:O5" location="'Chart 9 DATA'!A1" display="view Chart 9 data"/>
  </hyperlinks>
  <pageMargins left="0" right="0" top="0.74803149606299213" bottom="0.74803149606299213" header="0.31496062992125984" footer="0.31496062992125984"/>
  <pageSetup paperSize="9" scale="8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51.xml><?xml version="1.0" encoding="utf-8"?>
<worksheet xmlns="http://schemas.openxmlformats.org/spreadsheetml/2006/main" xmlns:r="http://schemas.openxmlformats.org/officeDocument/2006/relationships">
  <sheetPr codeName="Sheet53">
    <pageSetUpPr fitToPage="1"/>
  </sheetPr>
  <dimension ref="A1:X60"/>
  <sheetViews>
    <sheetView zoomScaleNormal="100" workbookViewId="0">
      <selection sqref="A1:A2"/>
    </sheetView>
  </sheetViews>
  <sheetFormatPr defaultRowHeight="11.25"/>
  <cols>
    <col min="1" max="1" width="15.7109375" style="211" customWidth="1"/>
    <col min="2" max="8" width="9.140625" style="211"/>
    <col min="9" max="11" width="9.7109375" style="211" customWidth="1"/>
    <col min="12" max="14" width="9.7109375" style="211" hidden="1" customWidth="1"/>
    <col min="15" max="15" width="10.42578125" style="211" bestFit="1" customWidth="1"/>
    <col min="16" max="16" width="45.7109375" style="211" customWidth="1"/>
    <col min="17" max="20" width="11.7109375" style="315" customWidth="1"/>
    <col min="21" max="256" width="9.140625" style="211"/>
    <col min="257" max="257" width="15.7109375" style="211" customWidth="1"/>
    <col min="258" max="264" width="9.140625" style="211"/>
    <col min="265" max="267" width="9.7109375" style="211" customWidth="1"/>
    <col min="268" max="270" width="0" style="211" hidden="1" customWidth="1"/>
    <col min="271" max="271" width="10.42578125" style="211" bestFit="1" customWidth="1"/>
    <col min="272" max="272" width="45.7109375" style="211" customWidth="1"/>
    <col min="273" max="276" width="11.7109375" style="211" customWidth="1"/>
    <col min="277" max="512" width="9.140625" style="211"/>
    <col min="513" max="513" width="15.7109375" style="211" customWidth="1"/>
    <col min="514" max="520" width="9.140625" style="211"/>
    <col min="521" max="523" width="9.7109375" style="211" customWidth="1"/>
    <col min="524" max="526" width="0" style="211" hidden="1" customWidth="1"/>
    <col min="527" max="527" width="10.42578125" style="211" bestFit="1" customWidth="1"/>
    <col min="528" max="528" width="45.7109375" style="211" customWidth="1"/>
    <col min="529" max="532" width="11.7109375" style="211" customWidth="1"/>
    <col min="533" max="768" width="9.140625" style="211"/>
    <col min="769" max="769" width="15.7109375" style="211" customWidth="1"/>
    <col min="770" max="776" width="9.140625" style="211"/>
    <col min="777" max="779" width="9.7109375" style="211" customWidth="1"/>
    <col min="780" max="782" width="0" style="211" hidden="1" customWidth="1"/>
    <col min="783" max="783" width="10.42578125" style="211" bestFit="1" customWidth="1"/>
    <col min="784" max="784" width="45.7109375" style="211" customWidth="1"/>
    <col min="785" max="788" width="11.7109375" style="211" customWidth="1"/>
    <col min="789" max="1024" width="9.140625" style="211"/>
    <col min="1025" max="1025" width="15.7109375" style="211" customWidth="1"/>
    <col min="1026" max="1032" width="9.140625" style="211"/>
    <col min="1033" max="1035" width="9.7109375" style="211" customWidth="1"/>
    <col min="1036" max="1038" width="0" style="211" hidden="1" customWidth="1"/>
    <col min="1039" max="1039" width="10.42578125" style="211" bestFit="1" customWidth="1"/>
    <col min="1040" max="1040" width="45.7109375" style="211" customWidth="1"/>
    <col min="1041" max="1044" width="11.7109375" style="211" customWidth="1"/>
    <col min="1045" max="1280" width="9.140625" style="211"/>
    <col min="1281" max="1281" width="15.7109375" style="211" customWidth="1"/>
    <col min="1282" max="1288" width="9.140625" style="211"/>
    <col min="1289" max="1291" width="9.7109375" style="211" customWidth="1"/>
    <col min="1292" max="1294" width="0" style="211" hidden="1" customWidth="1"/>
    <col min="1295" max="1295" width="10.42578125" style="211" bestFit="1" customWidth="1"/>
    <col min="1296" max="1296" width="45.7109375" style="211" customWidth="1"/>
    <col min="1297" max="1300" width="11.7109375" style="211" customWidth="1"/>
    <col min="1301" max="1536" width="9.140625" style="211"/>
    <col min="1537" max="1537" width="15.7109375" style="211" customWidth="1"/>
    <col min="1538" max="1544" width="9.140625" style="211"/>
    <col min="1545" max="1547" width="9.7109375" style="211" customWidth="1"/>
    <col min="1548" max="1550" width="0" style="211" hidden="1" customWidth="1"/>
    <col min="1551" max="1551" width="10.42578125" style="211" bestFit="1" customWidth="1"/>
    <col min="1552" max="1552" width="45.7109375" style="211" customWidth="1"/>
    <col min="1553" max="1556" width="11.7109375" style="211" customWidth="1"/>
    <col min="1557" max="1792" width="9.140625" style="211"/>
    <col min="1793" max="1793" width="15.7109375" style="211" customWidth="1"/>
    <col min="1794" max="1800" width="9.140625" style="211"/>
    <col min="1801" max="1803" width="9.7109375" style="211" customWidth="1"/>
    <col min="1804" max="1806" width="0" style="211" hidden="1" customWidth="1"/>
    <col min="1807" max="1807" width="10.42578125" style="211" bestFit="1" customWidth="1"/>
    <col min="1808" max="1808" width="45.7109375" style="211" customWidth="1"/>
    <col min="1809" max="1812" width="11.7109375" style="211" customWidth="1"/>
    <col min="1813" max="2048" width="9.140625" style="211"/>
    <col min="2049" max="2049" width="15.7109375" style="211" customWidth="1"/>
    <col min="2050" max="2056" width="9.140625" style="211"/>
    <col min="2057" max="2059" width="9.7109375" style="211" customWidth="1"/>
    <col min="2060" max="2062" width="0" style="211" hidden="1" customWidth="1"/>
    <col min="2063" max="2063" width="10.42578125" style="211" bestFit="1" customWidth="1"/>
    <col min="2064" max="2064" width="45.7109375" style="211" customWidth="1"/>
    <col min="2065" max="2068" width="11.7109375" style="211" customWidth="1"/>
    <col min="2069" max="2304" width="9.140625" style="211"/>
    <col min="2305" max="2305" width="15.7109375" style="211" customWidth="1"/>
    <col min="2306" max="2312" width="9.140625" style="211"/>
    <col min="2313" max="2315" width="9.7109375" style="211" customWidth="1"/>
    <col min="2316" max="2318" width="0" style="211" hidden="1" customWidth="1"/>
    <col min="2319" max="2319" width="10.42578125" style="211" bestFit="1" customWidth="1"/>
    <col min="2320" max="2320" width="45.7109375" style="211" customWidth="1"/>
    <col min="2321" max="2324" width="11.7109375" style="211" customWidth="1"/>
    <col min="2325" max="2560" width="9.140625" style="211"/>
    <col min="2561" max="2561" width="15.7109375" style="211" customWidth="1"/>
    <col min="2562" max="2568" width="9.140625" style="211"/>
    <col min="2569" max="2571" width="9.7109375" style="211" customWidth="1"/>
    <col min="2572" max="2574" width="0" style="211" hidden="1" customWidth="1"/>
    <col min="2575" max="2575" width="10.42578125" style="211" bestFit="1" customWidth="1"/>
    <col min="2576" max="2576" width="45.7109375" style="211" customWidth="1"/>
    <col min="2577" max="2580" width="11.7109375" style="211" customWidth="1"/>
    <col min="2581" max="2816" width="9.140625" style="211"/>
    <col min="2817" max="2817" width="15.7109375" style="211" customWidth="1"/>
    <col min="2818" max="2824" width="9.140625" style="211"/>
    <col min="2825" max="2827" width="9.7109375" style="211" customWidth="1"/>
    <col min="2828" max="2830" width="0" style="211" hidden="1" customWidth="1"/>
    <col min="2831" max="2831" width="10.42578125" style="211" bestFit="1" customWidth="1"/>
    <col min="2832" max="2832" width="45.7109375" style="211" customWidth="1"/>
    <col min="2833" max="2836" width="11.7109375" style="211" customWidth="1"/>
    <col min="2837" max="3072" width="9.140625" style="211"/>
    <col min="3073" max="3073" width="15.7109375" style="211" customWidth="1"/>
    <col min="3074" max="3080" width="9.140625" style="211"/>
    <col min="3081" max="3083" width="9.7109375" style="211" customWidth="1"/>
    <col min="3084" max="3086" width="0" style="211" hidden="1" customWidth="1"/>
    <col min="3087" max="3087" width="10.42578125" style="211" bestFit="1" customWidth="1"/>
    <col min="3088" max="3088" width="45.7109375" style="211" customWidth="1"/>
    <col min="3089" max="3092" width="11.7109375" style="211" customWidth="1"/>
    <col min="3093" max="3328" width="9.140625" style="211"/>
    <col min="3329" max="3329" width="15.7109375" style="211" customWidth="1"/>
    <col min="3330" max="3336" width="9.140625" style="211"/>
    <col min="3337" max="3339" width="9.7109375" style="211" customWidth="1"/>
    <col min="3340" max="3342" width="0" style="211" hidden="1" customWidth="1"/>
    <col min="3343" max="3343" width="10.42578125" style="211" bestFit="1" customWidth="1"/>
    <col min="3344" max="3344" width="45.7109375" style="211" customWidth="1"/>
    <col min="3345" max="3348" width="11.7109375" style="211" customWidth="1"/>
    <col min="3349" max="3584" width="9.140625" style="211"/>
    <col min="3585" max="3585" width="15.7109375" style="211" customWidth="1"/>
    <col min="3586" max="3592" width="9.140625" style="211"/>
    <col min="3593" max="3595" width="9.7109375" style="211" customWidth="1"/>
    <col min="3596" max="3598" width="0" style="211" hidden="1" customWidth="1"/>
    <col min="3599" max="3599" width="10.42578125" style="211" bestFit="1" customWidth="1"/>
    <col min="3600" max="3600" width="45.7109375" style="211" customWidth="1"/>
    <col min="3601" max="3604" width="11.7109375" style="211" customWidth="1"/>
    <col min="3605" max="3840" width="9.140625" style="211"/>
    <col min="3841" max="3841" width="15.7109375" style="211" customWidth="1"/>
    <col min="3842" max="3848" width="9.140625" style="211"/>
    <col min="3849" max="3851" width="9.7109375" style="211" customWidth="1"/>
    <col min="3852" max="3854" width="0" style="211" hidden="1" customWidth="1"/>
    <col min="3855" max="3855" width="10.42578125" style="211" bestFit="1" customWidth="1"/>
    <col min="3856" max="3856" width="45.7109375" style="211" customWidth="1"/>
    <col min="3857" max="3860" width="11.7109375" style="211" customWidth="1"/>
    <col min="3861" max="4096" width="9.140625" style="211"/>
    <col min="4097" max="4097" width="15.7109375" style="211" customWidth="1"/>
    <col min="4098" max="4104" width="9.140625" style="211"/>
    <col min="4105" max="4107" width="9.7109375" style="211" customWidth="1"/>
    <col min="4108" max="4110" width="0" style="211" hidden="1" customWidth="1"/>
    <col min="4111" max="4111" width="10.42578125" style="211" bestFit="1" customWidth="1"/>
    <col min="4112" max="4112" width="45.7109375" style="211" customWidth="1"/>
    <col min="4113" max="4116" width="11.7109375" style="211" customWidth="1"/>
    <col min="4117" max="4352" width="9.140625" style="211"/>
    <col min="4353" max="4353" width="15.7109375" style="211" customWidth="1"/>
    <col min="4354" max="4360" width="9.140625" style="211"/>
    <col min="4361" max="4363" width="9.7109375" style="211" customWidth="1"/>
    <col min="4364" max="4366" width="0" style="211" hidden="1" customWidth="1"/>
    <col min="4367" max="4367" width="10.42578125" style="211" bestFit="1" customWidth="1"/>
    <col min="4368" max="4368" width="45.7109375" style="211" customWidth="1"/>
    <col min="4369" max="4372" width="11.7109375" style="211" customWidth="1"/>
    <col min="4373" max="4608" width="9.140625" style="211"/>
    <col min="4609" max="4609" width="15.7109375" style="211" customWidth="1"/>
    <col min="4610" max="4616" width="9.140625" style="211"/>
    <col min="4617" max="4619" width="9.7109375" style="211" customWidth="1"/>
    <col min="4620" max="4622" width="0" style="211" hidden="1" customWidth="1"/>
    <col min="4623" max="4623" width="10.42578125" style="211" bestFit="1" customWidth="1"/>
    <col min="4624" max="4624" width="45.7109375" style="211" customWidth="1"/>
    <col min="4625" max="4628" width="11.7109375" style="211" customWidth="1"/>
    <col min="4629" max="4864" width="9.140625" style="211"/>
    <col min="4865" max="4865" width="15.7109375" style="211" customWidth="1"/>
    <col min="4866" max="4872" width="9.140625" style="211"/>
    <col min="4873" max="4875" width="9.7109375" style="211" customWidth="1"/>
    <col min="4876" max="4878" width="0" style="211" hidden="1" customWidth="1"/>
    <col min="4879" max="4879" width="10.42578125" style="211" bestFit="1" customWidth="1"/>
    <col min="4880" max="4880" width="45.7109375" style="211" customWidth="1"/>
    <col min="4881" max="4884" width="11.7109375" style="211" customWidth="1"/>
    <col min="4885" max="5120" width="9.140625" style="211"/>
    <col min="5121" max="5121" width="15.7109375" style="211" customWidth="1"/>
    <col min="5122" max="5128" width="9.140625" style="211"/>
    <col min="5129" max="5131" width="9.7109375" style="211" customWidth="1"/>
    <col min="5132" max="5134" width="0" style="211" hidden="1" customWidth="1"/>
    <col min="5135" max="5135" width="10.42578125" style="211" bestFit="1" customWidth="1"/>
    <col min="5136" max="5136" width="45.7109375" style="211" customWidth="1"/>
    <col min="5137" max="5140" width="11.7109375" style="211" customWidth="1"/>
    <col min="5141" max="5376" width="9.140625" style="211"/>
    <col min="5377" max="5377" width="15.7109375" style="211" customWidth="1"/>
    <col min="5378" max="5384" width="9.140625" style="211"/>
    <col min="5385" max="5387" width="9.7109375" style="211" customWidth="1"/>
    <col min="5388" max="5390" width="0" style="211" hidden="1" customWidth="1"/>
    <col min="5391" max="5391" width="10.42578125" style="211" bestFit="1" customWidth="1"/>
    <col min="5392" max="5392" width="45.7109375" style="211" customWidth="1"/>
    <col min="5393" max="5396" width="11.7109375" style="211" customWidth="1"/>
    <col min="5397" max="5632" width="9.140625" style="211"/>
    <col min="5633" max="5633" width="15.7109375" style="211" customWidth="1"/>
    <col min="5634" max="5640" width="9.140625" style="211"/>
    <col min="5641" max="5643" width="9.7109375" style="211" customWidth="1"/>
    <col min="5644" max="5646" width="0" style="211" hidden="1" customWidth="1"/>
    <col min="5647" max="5647" width="10.42578125" style="211" bestFit="1" customWidth="1"/>
    <col min="5648" max="5648" width="45.7109375" style="211" customWidth="1"/>
    <col min="5649" max="5652" width="11.7109375" style="211" customWidth="1"/>
    <col min="5653" max="5888" width="9.140625" style="211"/>
    <col min="5889" max="5889" width="15.7109375" style="211" customWidth="1"/>
    <col min="5890" max="5896" width="9.140625" style="211"/>
    <col min="5897" max="5899" width="9.7109375" style="211" customWidth="1"/>
    <col min="5900" max="5902" width="0" style="211" hidden="1" customWidth="1"/>
    <col min="5903" max="5903" width="10.42578125" style="211" bestFit="1" customWidth="1"/>
    <col min="5904" max="5904" width="45.7109375" style="211" customWidth="1"/>
    <col min="5905" max="5908" width="11.7109375" style="211" customWidth="1"/>
    <col min="5909" max="6144" width="9.140625" style="211"/>
    <col min="6145" max="6145" width="15.7109375" style="211" customWidth="1"/>
    <col min="6146" max="6152" width="9.140625" style="211"/>
    <col min="6153" max="6155" width="9.7109375" style="211" customWidth="1"/>
    <col min="6156" max="6158" width="0" style="211" hidden="1" customWidth="1"/>
    <col min="6159" max="6159" width="10.42578125" style="211" bestFit="1" customWidth="1"/>
    <col min="6160" max="6160" width="45.7109375" style="211" customWidth="1"/>
    <col min="6161" max="6164" width="11.7109375" style="211" customWidth="1"/>
    <col min="6165" max="6400" width="9.140625" style="211"/>
    <col min="6401" max="6401" width="15.7109375" style="211" customWidth="1"/>
    <col min="6402" max="6408" width="9.140625" style="211"/>
    <col min="6409" max="6411" width="9.7109375" style="211" customWidth="1"/>
    <col min="6412" max="6414" width="0" style="211" hidden="1" customWidth="1"/>
    <col min="6415" max="6415" width="10.42578125" style="211" bestFit="1" customWidth="1"/>
    <col min="6416" max="6416" width="45.7109375" style="211" customWidth="1"/>
    <col min="6417" max="6420" width="11.7109375" style="211" customWidth="1"/>
    <col min="6421" max="6656" width="9.140625" style="211"/>
    <col min="6657" max="6657" width="15.7109375" style="211" customWidth="1"/>
    <col min="6658" max="6664" width="9.140625" style="211"/>
    <col min="6665" max="6667" width="9.7109375" style="211" customWidth="1"/>
    <col min="6668" max="6670" width="0" style="211" hidden="1" customWidth="1"/>
    <col min="6671" max="6671" width="10.42578125" style="211" bestFit="1" customWidth="1"/>
    <col min="6672" max="6672" width="45.7109375" style="211" customWidth="1"/>
    <col min="6673" max="6676" width="11.7109375" style="211" customWidth="1"/>
    <col min="6677" max="6912" width="9.140625" style="211"/>
    <col min="6913" max="6913" width="15.7109375" style="211" customWidth="1"/>
    <col min="6914" max="6920" width="9.140625" style="211"/>
    <col min="6921" max="6923" width="9.7109375" style="211" customWidth="1"/>
    <col min="6924" max="6926" width="0" style="211" hidden="1" customWidth="1"/>
    <col min="6927" max="6927" width="10.42578125" style="211" bestFit="1" customWidth="1"/>
    <col min="6928" max="6928" width="45.7109375" style="211" customWidth="1"/>
    <col min="6929" max="6932" width="11.7109375" style="211" customWidth="1"/>
    <col min="6933" max="7168" width="9.140625" style="211"/>
    <col min="7169" max="7169" width="15.7109375" style="211" customWidth="1"/>
    <col min="7170" max="7176" width="9.140625" style="211"/>
    <col min="7177" max="7179" width="9.7109375" style="211" customWidth="1"/>
    <col min="7180" max="7182" width="0" style="211" hidden="1" customWidth="1"/>
    <col min="7183" max="7183" width="10.42578125" style="211" bestFit="1" customWidth="1"/>
    <col min="7184" max="7184" width="45.7109375" style="211" customWidth="1"/>
    <col min="7185" max="7188" width="11.7109375" style="211" customWidth="1"/>
    <col min="7189" max="7424" width="9.140625" style="211"/>
    <col min="7425" max="7425" width="15.7109375" style="211" customWidth="1"/>
    <col min="7426" max="7432" width="9.140625" style="211"/>
    <col min="7433" max="7435" width="9.7109375" style="211" customWidth="1"/>
    <col min="7436" max="7438" width="0" style="211" hidden="1" customWidth="1"/>
    <col min="7439" max="7439" width="10.42578125" style="211" bestFit="1" customWidth="1"/>
    <col min="7440" max="7440" width="45.7109375" style="211" customWidth="1"/>
    <col min="7441" max="7444" width="11.7109375" style="211" customWidth="1"/>
    <col min="7445" max="7680" width="9.140625" style="211"/>
    <col min="7681" max="7681" width="15.7109375" style="211" customWidth="1"/>
    <col min="7682" max="7688" width="9.140625" style="211"/>
    <col min="7689" max="7691" width="9.7109375" style="211" customWidth="1"/>
    <col min="7692" max="7694" width="0" style="211" hidden="1" customWidth="1"/>
    <col min="7695" max="7695" width="10.42578125" style="211" bestFit="1" customWidth="1"/>
    <col min="7696" max="7696" width="45.7109375" style="211" customWidth="1"/>
    <col min="7697" max="7700" width="11.7109375" style="211" customWidth="1"/>
    <col min="7701" max="7936" width="9.140625" style="211"/>
    <col min="7937" max="7937" width="15.7109375" style="211" customWidth="1"/>
    <col min="7938" max="7944" width="9.140625" style="211"/>
    <col min="7945" max="7947" width="9.7109375" style="211" customWidth="1"/>
    <col min="7948" max="7950" width="0" style="211" hidden="1" customWidth="1"/>
    <col min="7951" max="7951" width="10.42578125" style="211" bestFit="1" customWidth="1"/>
    <col min="7952" max="7952" width="45.7109375" style="211" customWidth="1"/>
    <col min="7953" max="7956" width="11.7109375" style="211" customWidth="1"/>
    <col min="7957" max="8192" width="9.140625" style="211"/>
    <col min="8193" max="8193" width="15.7109375" style="211" customWidth="1"/>
    <col min="8194" max="8200" width="9.140625" style="211"/>
    <col min="8201" max="8203" width="9.7109375" style="211" customWidth="1"/>
    <col min="8204" max="8206" width="0" style="211" hidden="1" customWidth="1"/>
    <col min="8207" max="8207" width="10.42578125" style="211" bestFit="1" customWidth="1"/>
    <col min="8208" max="8208" width="45.7109375" style="211" customWidth="1"/>
    <col min="8209" max="8212" width="11.7109375" style="211" customWidth="1"/>
    <col min="8213" max="8448" width="9.140625" style="211"/>
    <col min="8449" max="8449" width="15.7109375" style="211" customWidth="1"/>
    <col min="8450" max="8456" width="9.140625" style="211"/>
    <col min="8457" max="8459" width="9.7109375" style="211" customWidth="1"/>
    <col min="8460" max="8462" width="0" style="211" hidden="1" customWidth="1"/>
    <col min="8463" max="8463" width="10.42578125" style="211" bestFit="1" customWidth="1"/>
    <col min="8464" max="8464" width="45.7109375" style="211" customWidth="1"/>
    <col min="8465" max="8468" width="11.7109375" style="211" customWidth="1"/>
    <col min="8469" max="8704" width="9.140625" style="211"/>
    <col min="8705" max="8705" width="15.7109375" style="211" customWidth="1"/>
    <col min="8706" max="8712" width="9.140625" style="211"/>
    <col min="8713" max="8715" width="9.7109375" style="211" customWidth="1"/>
    <col min="8716" max="8718" width="0" style="211" hidden="1" customWidth="1"/>
    <col min="8719" max="8719" width="10.42578125" style="211" bestFit="1" customWidth="1"/>
    <col min="8720" max="8720" width="45.7109375" style="211" customWidth="1"/>
    <col min="8721" max="8724" width="11.7109375" style="211" customWidth="1"/>
    <col min="8725" max="8960" width="9.140625" style="211"/>
    <col min="8961" max="8961" width="15.7109375" style="211" customWidth="1"/>
    <col min="8962" max="8968" width="9.140625" style="211"/>
    <col min="8969" max="8971" width="9.7109375" style="211" customWidth="1"/>
    <col min="8972" max="8974" width="0" style="211" hidden="1" customWidth="1"/>
    <col min="8975" max="8975" width="10.42578125" style="211" bestFit="1" customWidth="1"/>
    <col min="8976" max="8976" width="45.7109375" style="211" customWidth="1"/>
    <col min="8977" max="8980" width="11.7109375" style="211" customWidth="1"/>
    <col min="8981" max="9216" width="9.140625" style="211"/>
    <col min="9217" max="9217" width="15.7109375" style="211" customWidth="1"/>
    <col min="9218" max="9224" width="9.140625" style="211"/>
    <col min="9225" max="9227" width="9.7109375" style="211" customWidth="1"/>
    <col min="9228" max="9230" width="0" style="211" hidden="1" customWidth="1"/>
    <col min="9231" max="9231" width="10.42578125" style="211" bestFit="1" customWidth="1"/>
    <col min="9232" max="9232" width="45.7109375" style="211" customWidth="1"/>
    <col min="9233" max="9236" width="11.7109375" style="211" customWidth="1"/>
    <col min="9237" max="9472" width="9.140625" style="211"/>
    <col min="9473" max="9473" width="15.7109375" style="211" customWidth="1"/>
    <col min="9474" max="9480" width="9.140625" style="211"/>
    <col min="9481" max="9483" width="9.7109375" style="211" customWidth="1"/>
    <col min="9484" max="9486" width="0" style="211" hidden="1" customWidth="1"/>
    <col min="9487" max="9487" width="10.42578125" style="211" bestFit="1" customWidth="1"/>
    <col min="9488" max="9488" width="45.7109375" style="211" customWidth="1"/>
    <col min="9489" max="9492" width="11.7109375" style="211" customWidth="1"/>
    <col min="9493" max="9728" width="9.140625" style="211"/>
    <col min="9729" max="9729" width="15.7109375" style="211" customWidth="1"/>
    <col min="9730" max="9736" width="9.140625" style="211"/>
    <col min="9737" max="9739" width="9.7109375" style="211" customWidth="1"/>
    <col min="9740" max="9742" width="0" style="211" hidden="1" customWidth="1"/>
    <col min="9743" max="9743" width="10.42578125" style="211" bestFit="1" customWidth="1"/>
    <col min="9744" max="9744" width="45.7109375" style="211" customWidth="1"/>
    <col min="9745" max="9748" width="11.7109375" style="211" customWidth="1"/>
    <col min="9749" max="9984" width="9.140625" style="211"/>
    <col min="9985" max="9985" width="15.7109375" style="211" customWidth="1"/>
    <col min="9986" max="9992" width="9.140625" style="211"/>
    <col min="9993" max="9995" width="9.7109375" style="211" customWidth="1"/>
    <col min="9996" max="9998" width="0" style="211" hidden="1" customWidth="1"/>
    <col min="9999" max="9999" width="10.42578125" style="211" bestFit="1" customWidth="1"/>
    <col min="10000" max="10000" width="45.7109375" style="211" customWidth="1"/>
    <col min="10001" max="10004" width="11.7109375" style="211" customWidth="1"/>
    <col min="10005" max="10240" width="9.140625" style="211"/>
    <col min="10241" max="10241" width="15.7109375" style="211" customWidth="1"/>
    <col min="10242" max="10248" width="9.140625" style="211"/>
    <col min="10249" max="10251" width="9.7109375" style="211" customWidth="1"/>
    <col min="10252" max="10254" width="0" style="211" hidden="1" customWidth="1"/>
    <col min="10255" max="10255" width="10.42578125" style="211" bestFit="1" customWidth="1"/>
    <col min="10256" max="10256" width="45.7109375" style="211" customWidth="1"/>
    <col min="10257" max="10260" width="11.7109375" style="211" customWidth="1"/>
    <col min="10261" max="10496" width="9.140625" style="211"/>
    <col min="10497" max="10497" width="15.7109375" style="211" customWidth="1"/>
    <col min="10498" max="10504" width="9.140625" style="211"/>
    <col min="10505" max="10507" width="9.7109375" style="211" customWidth="1"/>
    <col min="10508" max="10510" width="0" style="211" hidden="1" customWidth="1"/>
    <col min="10511" max="10511" width="10.42578125" style="211" bestFit="1" customWidth="1"/>
    <col min="10512" max="10512" width="45.7109375" style="211" customWidth="1"/>
    <col min="10513" max="10516" width="11.7109375" style="211" customWidth="1"/>
    <col min="10517" max="10752" width="9.140625" style="211"/>
    <col min="10753" max="10753" width="15.7109375" style="211" customWidth="1"/>
    <col min="10754" max="10760" width="9.140625" style="211"/>
    <col min="10761" max="10763" width="9.7109375" style="211" customWidth="1"/>
    <col min="10764" max="10766" width="0" style="211" hidden="1" customWidth="1"/>
    <col min="10767" max="10767" width="10.42578125" style="211" bestFit="1" customWidth="1"/>
    <col min="10768" max="10768" width="45.7109375" style="211" customWidth="1"/>
    <col min="10769" max="10772" width="11.7109375" style="211" customWidth="1"/>
    <col min="10773" max="11008" width="9.140625" style="211"/>
    <col min="11009" max="11009" width="15.7109375" style="211" customWidth="1"/>
    <col min="11010" max="11016" width="9.140625" style="211"/>
    <col min="11017" max="11019" width="9.7109375" style="211" customWidth="1"/>
    <col min="11020" max="11022" width="0" style="211" hidden="1" customWidth="1"/>
    <col min="11023" max="11023" width="10.42578125" style="211" bestFit="1" customWidth="1"/>
    <col min="11024" max="11024" width="45.7109375" style="211" customWidth="1"/>
    <col min="11025" max="11028" width="11.7109375" style="211" customWidth="1"/>
    <col min="11029" max="11264" width="9.140625" style="211"/>
    <col min="11265" max="11265" width="15.7109375" style="211" customWidth="1"/>
    <col min="11266" max="11272" width="9.140625" style="211"/>
    <col min="11273" max="11275" width="9.7109375" style="211" customWidth="1"/>
    <col min="11276" max="11278" width="0" style="211" hidden="1" customWidth="1"/>
    <col min="11279" max="11279" width="10.42578125" style="211" bestFit="1" customWidth="1"/>
    <col min="11280" max="11280" width="45.7109375" style="211" customWidth="1"/>
    <col min="11281" max="11284" width="11.7109375" style="211" customWidth="1"/>
    <col min="11285" max="11520" width="9.140625" style="211"/>
    <col min="11521" max="11521" width="15.7109375" style="211" customWidth="1"/>
    <col min="11522" max="11528" width="9.140625" style="211"/>
    <col min="11529" max="11531" width="9.7109375" style="211" customWidth="1"/>
    <col min="11532" max="11534" width="0" style="211" hidden="1" customWidth="1"/>
    <col min="11535" max="11535" width="10.42578125" style="211" bestFit="1" customWidth="1"/>
    <col min="11536" max="11536" width="45.7109375" style="211" customWidth="1"/>
    <col min="11537" max="11540" width="11.7109375" style="211" customWidth="1"/>
    <col min="11541" max="11776" width="9.140625" style="211"/>
    <col min="11777" max="11777" width="15.7109375" style="211" customWidth="1"/>
    <col min="11778" max="11784" width="9.140625" style="211"/>
    <col min="11785" max="11787" width="9.7109375" style="211" customWidth="1"/>
    <col min="11788" max="11790" width="0" style="211" hidden="1" customWidth="1"/>
    <col min="11791" max="11791" width="10.42578125" style="211" bestFit="1" customWidth="1"/>
    <col min="11792" max="11792" width="45.7109375" style="211" customWidth="1"/>
    <col min="11793" max="11796" width="11.7109375" style="211" customWidth="1"/>
    <col min="11797" max="12032" width="9.140625" style="211"/>
    <col min="12033" max="12033" width="15.7109375" style="211" customWidth="1"/>
    <col min="12034" max="12040" width="9.140625" style="211"/>
    <col min="12041" max="12043" width="9.7109375" style="211" customWidth="1"/>
    <col min="12044" max="12046" width="0" style="211" hidden="1" customWidth="1"/>
    <col min="12047" max="12047" width="10.42578125" style="211" bestFit="1" customWidth="1"/>
    <col min="12048" max="12048" width="45.7109375" style="211" customWidth="1"/>
    <col min="12049" max="12052" width="11.7109375" style="211" customWidth="1"/>
    <col min="12053" max="12288" width="9.140625" style="211"/>
    <col min="12289" max="12289" width="15.7109375" style="211" customWidth="1"/>
    <col min="12290" max="12296" width="9.140625" style="211"/>
    <col min="12297" max="12299" width="9.7109375" style="211" customWidth="1"/>
    <col min="12300" max="12302" width="0" style="211" hidden="1" customWidth="1"/>
    <col min="12303" max="12303" width="10.42578125" style="211" bestFit="1" customWidth="1"/>
    <col min="12304" max="12304" width="45.7109375" style="211" customWidth="1"/>
    <col min="12305" max="12308" width="11.7109375" style="211" customWidth="1"/>
    <col min="12309" max="12544" width="9.140625" style="211"/>
    <col min="12545" max="12545" width="15.7109375" style="211" customWidth="1"/>
    <col min="12546" max="12552" width="9.140625" style="211"/>
    <col min="12553" max="12555" width="9.7109375" style="211" customWidth="1"/>
    <col min="12556" max="12558" width="0" style="211" hidden="1" customWidth="1"/>
    <col min="12559" max="12559" width="10.42578125" style="211" bestFit="1" customWidth="1"/>
    <col min="12560" max="12560" width="45.7109375" style="211" customWidth="1"/>
    <col min="12561" max="12564" width="11.7109375" style="211" customWidth="1"/>
    <col min="12565" max="12800" width="9.140625" style="211"/>
    <col min="12801" max="12801" width="15.7109375" style="211" customWidth="1"/>
    <col min="12802" max="12808" width="9.140625" style="211"/>
    <col min="12809" max="12811" width="9.7109375" style="211" customWidth="1"/>
    <col min="12812" max="12814" width="0" style="211" hidden="1" customWidth="1"/>
    <col min="12815" max="12815" width="10.42578125" style="211" bestFit="1" customWidth="1"/>
    <col min="12816" max="12816" width="45.7109375" style="211" customWidth="1"/>
    <col min="12817" max="12820" width="11.7109375" style="211" customWidth="1"/>
    <col min="12821" max="13056" width="9.140625" style="211"/>
    <col min="13057" max="13057" width="15.7109375" style="211" customWidth="1"/>
    <col min="13058" max="13064" width="9.140625" style="211"/>
    <col min="13065" max="13067" width="9.7109375" style="211" customWidth="1"/>
    <col min="13068" max="13070" width="0" style="211" hidden="1" customWidth="1"/>
    <col min="13071" max="13071" width="10.42578125" style="211" bestFit="1" customWidth="1"/>
    <col min="13072" max="13072" width="45.7109375" style="211" customWidth="1"/>
    <col min="13073" max="13076" width="11.7109375" style="211" customWidth="1"/>
    <col min="13077" max="13312" width="9.140625" style="211"/>
    <col min="13313" max="13313" width="15.7109375" style="211" customWidth="1"/>
    <col min="13314" max="13320" width="9.140625" style="211"/>
    <col min="13321" max="13323" width="9.7109375" style="211" customWidth="1"/>
    <col min="13324" max="13326" width="0" style="211" hidden="1" customWidth="1"/>
    <col min="13327" max="13327" width="10.42578125" style="211" bestFit="1" customWidth="1"/>
    <col min="13328" max="13328" width="45.7109375" style="211" customWidth="1"/>
    <col min="13329" max="13332" width="11.7109375" style="211" customWidth="1"/>
    <col min="13333" max="13568" width="9.140625" style="211"/>
    <col min="13569" max="13569" width="15.7109375" style="211" customWidth="1"/>
    <col min="13570" max="13576" width="9.140625" style="211"/>
    <col min="13577" max="13579" width="9.7109375" style="211" customWidth="1"/>
    <col min="13580" max="13582" width="0" style="211" hidden="1" customWidth="1"/>
    <col min="13583" max="13583" width="10.42578125" style="211" bestFit="1" customWidth="1"/>
    <col min="13584" max="13584" width="45.7109375" style="211" customWidth="1"/>
    <col min="13585" max="13588" width="11.7109375" style="211" customWidth="1"/>
    <col min="13589" max="13824" width="9.140625" style="211"/>
    <col min="13825" max="13825" width="15.7109375" style="211" customWidth="1"/>
    <col min="13826" max="13832" width="9.140625" style="211"/>
    <col min="13833" max="13835" width="9.7109375" style="211" customWidth="1"/>
    <col min="13836" max="13838" width="0" style="211" hidden="1" customWidth="1"/>
    <col min="13839" max="13839" width="10.42578125" style="211" bestFit="1" customWidth="1"/>
    <col min="13840" max="13840" width="45.7109375" style="211" customWidth="1"/>
    <col min="13841" max="13844" width="11.7109375" style="211" customWidth="1"/>
    <col min="13845" max="14080" width="9.140625" style="211"/>
    <col min="14081" max="14081" width="15.7109375" style="211" customWidth="1"/>
    <col min="14082" max="14088" width="9.140625" style="211"/>
    <col min="14089" max="14091" width="9.7109375" style="211" customWidth="1"/>
    <col min="14092" max="14094" width="0" style="211" hidden="1" customWidth="1"/>
    <col min="14095" max="14095" width="10.42578125" style="211" bestFit="1" customWidth="1"/>
    <col min="14096" max="14096" width="45.7109375" style="211" customWidth="1"/>
    <col min="14097" max="14100" width="11.7109375" style="211" customWidth="1"/>
    <col min="14101" max="14336" width="9.140625" style="211"/>
    <col min="14337" max="14337" width="15.7109375" style="211" customWidth="1"/>
    <col min="14338" max="14344" width="9.140625" style="211"/>
    <col min="14345" max="14347" width="9.7109375" style="211" customWidth="1"/>
    <col min="14348" max="14350" width="0" style="211" hidden="1" customWidth="1"/>
    <col min="14351" max="14351" width="10.42578125" style="211" bestFit="1" customWidth="1"/>
    <col min="14352" max="14352" width="45.7109375" style="211" customWidth="1"/>
    <col min="14353" max="14356" width="11.7109375" style="211" customWidth="1"/>
    <col min="14357" max="14592" width="9.140625" style="211"/>
    <col min="14593" max="14593" width="15.7109375" style="211" customWidth="1"/>
    <col min="14594" max="14600" width="9.140625" style="211"/>
    <col min="14601" max="14603" width="9.7109375" style="211" customWidth="1"/>
    <col min="14604" max="14606" width="0" style="211" hidden="1" customWidth="1"/>
    <col min="14607" max="14607" width="10.42578125" style="211" bestFit="1" customWidth="1"/>
    <col min="14608" max="14608" width="45.7109375" style="211" customWidth="1"/>
    <col min="14609" max="14612" width="11.7109375" style="211" customWidth="1"/>
    <col min="14613" max="14848" width="9.140625" style="211"/>
    <col min="14849" max="14849" width="15.7109375" style="211" customWidth="1"/>
    <col min="14850" max="14856" width="9.140625" style="211"/>
    <col min="14857" max="14859" width="9.7109375" style="211" customWidth="1"/>
    <col min="14860" max="14862" width="0" style="211" hidden="1" customWidth="1"/>
    <col min="14863" max="14863" width="10.42578125" style="211" bestFit="1" customWidth="1"/>
    <col min="14864" max="14864" width="45.7109375" style="211" customWidth="1"/>
    <col min="14865" max="14868" width="11.7109375" style="211" customWidth="1"/>
    <col min="14869" max="15104" width="9.140625" style="211"/>
    <col min="15105" max="15105" width="15.7109375" style="211" customWidth="1"/>
    <col min="15106" max="15112" width="9.140625" style="211"/>
    <col min="15113" max="15115" width="9.7109375" style="211" customWidth="1"/>
    <col min="15116" max="15118" width="0" style="211" hidden="1" customWidth="1"/>
    <col min="15119" max="15119" width="10.42578125" style="211" bestFit="1" customWidth="1"/>
    <col min="15120" max="15120" width="45.7109375" style="211" customWidth="1"/>
    <col min="15121" max="15124" width="11.7109375" style="211" customWidth="1"/>
    <col min="15125" max="15360" width="9.140625" style="211"/>
    <col min="15361" max="15361" width="15.7109375" style="211" customWidth="1"/>
    <col min="15362" max="15368" width="9.140625" style="211"/>
    <col min="15369" max="15371" width="9.7109375" style="211" customWidth="1"/>
    <col min="15372" max="15374" width="0" style="211" hidden="1" customWidth="1"/>
    <col min="15375" max="15375" width="10.42578125" style="211" bestFit="1" customWidth="1"/>
    <col min="15376" max="15376" width="45.7109375" style="211" customWidth="1"/>
    <col min="15377" max="15380" width="11.7109375" style="211" customWidth="1"/>
    <col min="15381" max="15616" width="9.140625" style="211"/>
    <col min="15617" max="15617" width="15.7109375" style="211" customWidth="1"/>
    <col min="15618" max="15624" width="9.140625" style="211"/>
    <col min="15625" max="15627" width="9.7109375" style="211" customWidth="1"/>
    <col min="15628" max="15630" width="0" style="211" hidden="1" customWidth="1"/>
    <col min="15631" max="15631" width="10.42578125" style="211" bestFit="1" customWidth="1"/>
    <col min="15632" max="15632" width="45.7109375" style="211" customWidth="1"/>
    <col min="15633" max="15636" width="11.7109375" style="211" customWidth="1"/>
    <col min="15637" max="15872" width="9.140625" style="211"/>
    <col min="15873" max="15873" width="15.7109375" style="211" customWidth="1"/>
    <col min="15874" max="15880" width="9.140625" style="211"/>
    <col min="15881" max="15883" width="9.7109375" style="211" customWidth="1"/>
    <col min="15884" max="15886" width="0" style="211" hidden="1" customWidth="1"/>
    <col min="15887" max="15887" width="10.42578125" style="211" bestFit="1" customWidth="1"/>
    <col min="15888" max="15888" width="45.7109375" style="211" customWidth="1"/>
    <col min="15889" max="15892" width="11.7109375" style="211" customWidth="1"/>
    <col min="15893" max="16128" width="9.140625" style="211"/>
    <col min="16129" max="16129" width="15.7109375" style="211" customWidth="1"/>
    <col min="16130" max="16136" width="9.140625" style="211"/>
    <col min="16137" max="16139" width="9.7109375" style="211" customWidth="1"/>
    <col min="16140" max="16142" width="0" style="211" hidden="1" customWidth="1"/>
    <col min="16143" max="16143" width="10.42578125" style="211" bestFit="1" customWidth="1"/>
    <col min="16144" max="16144" width="45.7109375" style="211" customWidth="1"/>
    <col min="16145" max="16148" width="11.7109375" style="211" customWidth="1"/>
    <col min="16149" max="16384" width="9.140625" style="211"/>
  </cols>
  <sheetData>
    <row r="1" spans="1:24" ht="15" customHeight="1">
      <c r="A1" s="811" t="s">
        <v>27</v>
      </c>
      <c r="B1" s="822" t="s">
        <v>44</v>
      </c>
      <c r="C1" s="814"/>
      <c r="D1" s="814"/>
      <c r="E1" s="814"/>
      <c r="F1" s="814"/>
      <c r="G1" s="814"/>
      <c r="H1" s="814"/>
      <c r="I1" s="295"/>
      <c r="J1" s="296"/>
      <c r="K1" s="296"/>
      <c r="L1" s="296"/>
      <c r="M1" s="296"/>
      <c r="N1" s="296"/>
      <c r="O1" s="815" t="s">
        <v>20</v>
      </c>
      <c r="P1" s="816"/>
      <c r="Q1" s="815">
        <v>2014</v>
      </c>
      <c r="R1" s="815"/>
      <c r="S1" s="815">
        <v>2015</v>
      </c>
      <c r="T1" s="815"/>
    </row>
    <row r="2" spans="1:24" ht="23.25" customHeight="1">
      <c r="A2" s="812"/>
      <c r="B2" s="297" t="s">
        <v>298</v>
      </c>
      <c r="C2" s="297" t="s">
        <v>491</v>
      </c>
      <c r="D2" s="749" t="s">
        <v>21</v>
      </c>
      <c r="E2" s="817" t="s">
        <v>492</v>
      </c>
      <c r="F2" s="817"/>
      <c r="G2" s="817" t="s">
        <v>493</v>
      </c>
      <c r="H2" s="818"/>
      <c r="I2" s="299" t="s">
        <v>23</v>
      </c>
      <c r="J2" s="300" t="s">
        <v>300</v>
      </c>
      <c r="K2" s="301" t="s">
        <v>24</v>
      </c>
      <c r="L2" s="302" t="s">
        <v>16</v>
      </c>
      <c r="M2" s="302" t="s">
        <v>15</v>
      </c>
      <c r="N2" s="303" t="s">
        <v>25</v>
      </c>
      <c r="O2" s="304" t="s">
        <v>26</v>
      </c>
      <c r="P2" s="305" t="s">
        <v>27</v>
      </c>
      <c r="Q2" s="305" t="s">
        <v>28</v>
      </c>
      <c r="R2" s="305" t="s">
        <v>29</v>
      </c>
      <c r="S2" s="305" t="s">
        <v>28</v>
      </c>
      <c r="T2" s="305" t="s">
        <v>29</v>
      </c>
    </row>
    <row r="3" spans="1:24" ht="12">
      <c r="A3" s="306" t="str">
        <f t="shared" ref="A3" si="0">O3&amp;" (n="&amp;VLOOKUP(O3,$O$3:$T$30,6,FALSE)&amp;")"</f>
        <v>Scotland (n=928)</v>
      </c>
      <c r="B3" s="307">
        <f t="shared" ref="B3" si="1">IF(ISERROR(Q3/R3*100),"-",Q3/R3*100)</f>
        <v>42.657342657342653</v>
      </c>
      <c r="C3" s="307">
        <f t="shared" ref="C3" si="2">IF(ISERROR(S3/T3*100),SUM(1*0.00000001),S3/T3*100)</f>
        <v>50.862068965517238</v>
      </c>
      <c r="D3" s="307">
        <f>80</f>
        <v>80</v>
      </c>
      <c r="E3" s="16">
        <f t="shared" ref="E3" si="3">IF(ISERROR(SUM(1*MID(I3,1,FIND(" - ",I3)-1))),"-",SUM(1*MID(I3,1,FIND(" - ",I3)-1)))</f>
        <v>39</v>
      </c>
      <c r="F3" s="308">
        <f t="shared" ref="F3" si="4">IF(ISERROR(SUM(1*MID(I3,FIND(" - ",I3)+2,LEN(I3)))),"-",SUM(1*MID(I3,FIND(" - ",I3)+2,LEN(I3))))</f>
        <v>46</v>
      </c>
      <c r="G3" s="308">
        <f t="shared" ref="G3" si="5">IF(ISERROR(SUM(1*MID(J3,1,FIND(" - ",J3)-1))),"-",SUM(1*MID(J3,1,FIND(" - ",J3)-1)))</f>
        <v>48</v>
      </c>
      <c r="H3" s="308">
        <f t="shared" ref="H3" si="6">IF(ISERROR(SUM(1*MID(J3,FIND(" - ",J3)+2,LEN(J3)))),"-",SUM(1*MID(J3,FIND(" - ",J3)+2,LEN(J3))))</f>
        <v>54</v>
      </c>
      <c r="I3" s="309" t="str">
        <f t="shared" ref="I3" si="7">IF(AND(R3&gt;0,ROUND(SUM(100*((2*Q3+1.96^2)-(1.96*(SQRT(1.96^2+4*Q3*(1-(Q3/R3))))))/(2*(R3+1.96^2))),0)&lt;0),CONCATENATE(SUM(1*0)," - ",ROUND(SUM(100*((2*Q3+1.96^2)+(1.96*(SQRT(1.96^2+4*Q3*(1-(Q3/R3))))))/(2*(R3+1.96^2))),0)),IF(AND(R3&gt;0,ROUND(SUM(100*((2*Q3+1.96^2)-(1.96*(SQRT(1.96^2+4*Q3*(1-(Q3/R3))))))/(2*(R3+1.96^2))),0)&gt;=0),CONCATENATE(ROUND(SUM(100*((2*Q3+1.96^2)-(1.96*(SQRT(1.96^2+4*Q3*(1-(Q3/R3))))))/(2*(R3+1.96^2))),0)," - ",ROUND(SUM(100*((2*Q3+1.96^2)+(1.96*(SQRT(1.96^2+4*Q3*(1-(Q3/R3))))))/(2*(R3+1.96^2))),0)),""))</f>
        <v>39 - 46</v>
      </c>
      <c r="J3" s="310" t="str">
        <f t="shared" ref="J3" si="8">IF(AND(T3&gt;0,ROUND(SUM(100*((2*S3+1.96^2)-(1.96*(SQRT(1.96^2+4*S3*(1-(S3/T3))))))/(2*(T3+1.96^2))),0)&lt;0),CONCATENATE(SUM(1*0)," - ",ROUND(SUM(100*((2*S3+1.96^2)+(1.96*(SQRT(1.96^2+4*S3*(1-(S3/T3))))))/(2*(T3+1.96^2))),0)),IF(AND(T3&gt;0,ROUND(SUM(100*((2*S3+1.96^2)-(1.96*(SQRT(1.96^2+4*S3*(1-(S3/T3))))))/(2*(T3+1.96^2))),0)&gt;=0),CONCATENATE(ROUND(SUM(100*((2*S3+1.96^2)-(1.96*(SQRT(1.96^2+4*S3*(1-(S3/T3))))))/(2*(T3+1.96^2))),0)," - ",ROUND(SUM(100*((2*S3+1.96^2)+(1.96*(SQRT(1.96^2+4*S3*(1-(S3/T3))))))/(2*(T3+1.96^2))),0)),""))</f>
        <v>48 - 54</v>
      </c>
      <c r="K3" s="311">
        <f t="shared" ref="K3" si="9">C3-B3</f>
        <v>8.2047263081745854</v>
      </c>
      <c r="L3" s="320">
        <f t="shared" ref="L3" si="10">((S3/T3)-(Q3/R3))-(NORMSINV(1-(0.05/COUNTA($O$3:$O$32)))*(SQRT((((Q3/R3)*(1-(Q3/R3)))/R3)+(((S3/T3)*(1-(S3/T3)))/T3))))</f>
        <v>1.3441041234938583E-2</v>
      </c>
      <c r="M3" s="320">
        <f t="shared" ref="M3" si="11">((S3/T3)-(Q3/R3))+(NORMSINV(1-(0.05/COUNTA($O$3:$O$32)))*(SQRT((((Q3/R3)*(1-(Q3/R3)))/R3)+(((S3/T3)*(1-(S3/T3)))/T3))))</f>
        <v>0.15065348492855304</v>
      </c>
      <c r="N3" s="313">
        <f t="shared" ref="N3" si="12">IF(ISERR(IF(AND(((S3/T3)-(Q3/R3))-(NORMSINV(1-(0.05/COUNTA($P$3:$P$30)))*(SQRT((((Q3/R3)*(1-(Q3/R3)))/R3)+(((S3/T3)*(1-(S3/T3)))/T3))))&gt;0,((S3/T3)-(Q3/R3))+(NORMSINV(1-(0.05/COUNTA($P$3:$P$30)))*(SQRT((((Q3/R3)*(1-(Q3/R3)))/R3)+(((S3/T3)*(1-(S3/T3)))/T3))))&gt;0),1,IF(AND(((S3/T3)-(Q3/R3))-(NORMSINV(1-(0.05/COUNTA($P$3:$P$30)))*(SQRT((((Q3/R3)*(1-(Q3/R3)))/R3)+(((S3/T3)*(1-(S3/T3)))/T3))))&lt;0,((S3/T3)-(Q3/R3))+(NORMSINV(1-(0.05/COUNTA($P$3:$P$30)))*(SQRT((((Q3/R3)*(1-(Q3/R3)))/R3)+(((S3/T3)*(1-(S3/T3)))/T3))))&lt;0),-1,0))),"",IF(AND(((S3/T3)-(Q3/R3))-(NORMSINV(1-(0.05/COUNTA($P$3:$P$30)))*(SQRT((((Q3/R3)*(1-(Q3/R3)))/R3)+(((S3/T3)*(1-(S3/T3)))/T3))))&gt;0,((S3/T3)-(Q3/R3))+(NORMSINV(1-(0.05/COUNTA($P$3:$P$30)))*(SQRT((((Q3/R3)*(1-(Q3/R3)))/R3)+(((S3/T3)*(1-(S3/T3)))/T3))))&gt;0),1,IF(AND(((S3/T3)-(Q3/R3))-(NORMSINV(1-(0.05/COUNTA($P$3:$P$30)))*(SQRT((((Q3/R3)*(1-(Q3/R3)))/R3)+(((S3/T3)*(1-(S3/T3)))/T3))))&lt;0,((S3/T3)-(Q3/R3))+(NORMSINV(1-(0.05/COUNTA($P$3:$P$30)))*(SQRT((((Q3/R3)*(1-(Q3/R3)))/R3)+(((S3/T3)*(1-(S3/T3)))/T3))))&lt;0),-1,0)))</f>
        <v>1</v>
      </c>
      <c r="O3" s="306" t="str">
        <f t="shared" ref="O3" si="13">VLOOKUP(P3,Hospitals,3,FALSE)</f>
        <v>Scotland</v>
      </c>
      <c r="P3" s="306" t="s">
        <v>286</v>
      </c>
      <c r="Q3" s="425">
        <f>SUM(Q4:Q30)</f>
        <v>366</v>
      </c>
      <c r="R3" s="425">
        <f t="shared" ref="R3:T3" si="14">SUM(R4:R30)</f>
        <v>858</v>
      </c>
      <c r="S3" s="425">
        <f t="shared" si="14"/>
        <v>472</v>
      </c>
      <c r="T3" s="425">
        <f t="shared" si="14"/>
        <v>928</v>
      </c>
      <c r="X3" s="758"/>
    </row>
    <row r="4" spans="1:24" ht="12">
      <c r="A4" s="306" t="str">
        <f t="shared" ref="A4:A17" si="15">O4&amp;" (n="&amp;VLOOKUP(O4,$O$3:$T$30,6,FALSE)&amp;")"</f>
        <v>ARI (n=152)</v>
      </c>
      <c r="B4" s="307">
        <f t="shared" ref="B4:B30" si="16">IF(ISERROR(Q4/R4*100),"-",Q4/R4*100)</f>
        <v>62.878787878787875</v>
      </c>
      <c r="C4" s="307">
        <f t="shared" ref="C4:C30" si="17">IF(ISERROR(S4/T4*100),SUM(1*0.00000001),S4/T4*100)</f>
        <v>75.657894736842096</v>
      </c>
      <c r="D4" s="308">
        <f>80</f>
        <v>80</v>
      </c>
      <c r="E4" s="16">
        <f t="shared" ref="E4:E30" si="18">IF(ISERROR(SUM(1*MID(I4,1,FIND(" - ",I4)-1))),"-",SUM(1*MID(I4,1,FIND(" - ",I4)-1)))</f>
        <v>54</v>
      </c>
      <c r="F4" s="308">
        <f t="shared" ref="F4:F30" si="19">IF(ISERROR(SUM(1*MID(I4,FIND(" - ",I4)+2,LEN(I4)))),"-",SUM(1*MID(I4,FIND(" - ",I4)+2,LEN(I4))))</f>
        <v>71</v>
      </c>
      <c r="G4" s="308">
        <f t="shared" ref="G4:G30" si="20">IF(ISERROR(SUM(1*MID(J4,1,FIND(" - ",J4)-1))),"-",SUM(1*MID(J4,1,FIND(" - ",J4)-1)))</f>
        <v>68</v>
      </c>
      <c r="H4" s="308">
        <f t="shared" ref="H4:H30" si="21">IF(ISERROR(SUM(1*MID(J4,FIND(" - ",J4)+2,LEN(J4)))),"-",SUM(1*MID(J4,FIND(" - ",J4)+2,LEN(J4))))</f>
        <v>82</v>
      </c>
      <c r="I4" s="314" t="str">
        <f t="shared" ref="I4:I30" si="22">IF(AND(R4&gt;0,ROUND(SUM(100*((2*Q4+1.96^2)-(1.96*(SQRT(1.96^2+4*Q4*(1-(Q4/R4))))))/(2*(R4+1.96^2))),0)&lt;0),CONCATENATE(SUM(1*0)," - ",ROUND(SUM(100*((2*Q4+1.96^2)+(1.96*(SQRT(1.96^2+4*Q4*(1-(Q4/R4))))))/(2*(R4+1.96^2))),0)),IF(AND(R4&gt;0,ROUND(SUM(100*((2*Q4+1.96^2)-(1.96*(SQRT(1.96^2+4*Q4*(1-(Q4/R4))))))/(2*(R4+1.96^2))),0)&gt;=0),CONCATENATE(ROUND(SUM(100*((2*Q4+1.96^2)-(1.96*(SQRT(1.96^2+4*Q4*(1-(Q4/R4))))))/(2*(R4+1.96^2))),0)," - ",ROUND(SUM(100*((2*Q4+1.96^2)+(1.96*(SQRT(1.96^2+4*Q4*(1-(Q4/R4))))))/(2*(R4+1.96^2))),0)),""))</f>
        <v>54 - 71</v>
      </c>
      <c r="J4" s="310" t="str">
        <f t="shared" ref="J4:J30" si="23">IF(AND(T4&gt;0,ROUND(SUM(100*((2*S4+1.96^2)-(1.96*(SQRT(1.96^2+4*S4*(1-(S4/T4))))))/(2*(T4+1.96^2))),0)&lt;0),CONCATENATE(SUM(1*0)," - ",ROUND(SUM(100*((2*S4+1.96^2)+(1.96*(SQRT(1.96^2+4*S4*(1-(S4/T4))))))/(2*(T4+1.96^2))),0)),IF(AND(T4&gt;0,ROUND(SUM(100*((2*S4+1.96^2)-(1.96*(SQRT(1.96^2+4*S4*(1-(S4/T4))))))/(2*(T4+1.96^2))),0)&gt;=0),CONCATENATE(ROUND(SUM(100*((2*S4+1.96^2)-(1.96*(SQRT(1.96^2+4*S4*(1-(S4/T4))))))/(2*(T4+1.96^2))),0)," - ",ROUND(SUM(100*((2*S4+1.96^2)+(1.96*(SQRT(1.96^2+4*S4*(1-(S4/T4))))))/(2*(T4+1.96^2))),0)),""))</f>
        <v>68 - 82</v>
      </c>
      <c r="K4" s="311">
        <f t="shared" ref="K4:K30" si="24">C4-B4</f>
        <v>12.77910685805422</v>
      </c>
      <c r="L4" s="320">
        <f t="shared" ref="L4:L30" si="25">((S4/T4)-(Q4/R4))-(NORMSINV(1-(0.05/COUNTA($O$3:$O$32)))*(SQRT((((Q4/R4)*(1-(Q4/R4)))/R4)+(((S4/T4)*(1-(S4/T4)))/T4))))</f>
        <v>-3.126508720112614E-2</v>
      </c>
      <c r="M4" s="320">
        <f t="shared" ref="M4:M30" si="26">((S4/T4)-(Q4/R4))+(NORMSINV(1-(0.05/COUNTA($O$3:$O$32)))*(SQRT((((Q4/R4)*(1-(Q4/R4)))/R4)+(((S4/T4)*(1-(S4/T4)))/T4))))</f>
        <v>0.28684722436221061</v>
      </c>
      <c r="N4" s="313">
        <f t="shared" ref="N4:N30" si="27">IF(ISERR(IF(AND(((S4/T4)-(Q4/R4))-(NORMSINV(1-(0.05/COUNTA($P$3:$P$30)))*(SQRT((((Q4/R4)*(1-(Q4/R4)))/R4)+(((S4/T4)*(1-(S4/T4)))/T4))))&gt;0,((S4/T4)-(Q4/R4))+(NORMSINV(1-(0.05/COUNTA($P$3:$P$30)))*(SQRT((((Q4/R4)*(1-(Q4/R4)))/R4)+(((S4/T4)*(1-(S4/T4)))/T4))))&gt;0),1,IF(AND(((S4/T4)-(Q4/R4))-(NORMSINV(1-(0.05/COUNTA($P$3:$P$30)))*(SQRT((((Q4/R4)*(1-(Q4/R4)))/R4)+(((S4/T4)*(1-(S4/T4)))/T4))))&lt;0,((S4/T4)-(Q4/R4))+(NORMSINV(1-(0.05/COUNTA($P$3:$P$30)))*(SQRT((((Q4/R4)*(1-(Q4/R4)))/R4)+(((S4/T4)*(1-(S4/T4)))/T4))))&lt;0),-1,0))),"",IF(AND(((S4/T4)-(Q4/R4))-(NORMSINV(1-(0.05/COUNTA($P$3:$P$30)))*(SQRT((((Q4/R4)*(1-(Q4/R4)))/R4)+(((S4/T4)*(1-(S4/T4)))/T4))))&gt;0,((S4/T4)-(Q4/R4))+(NORMSINV(1-(0.05/COUNTA($P$3:$P$30)))*(SQRT((((Q4/R4)*(1-(Q4/R4)))/R4)+(((S4/T4)*(1-(S4/T4)))/T4))))&gt;0),1,IF(AND(((S4/T4)-(Q4/R4))-(NORMSINV(1-(0.05/COUNTA($P$3:$P$30)))*(SQRT((((Q4/R4)*(1-(Q4/R4)))/R4)+(((S4/T4)*(1-(S4/T4)))/T4))))&lt;0,((S4/T4)-(Q4/R4))+(NORMSINV(1-(0.05/COUNTA($P$3:$P$30)))*(SQRT((((Q4/R4)*(1-(Q4/R4)))/R4)+(((S4/T4)*(1-(S4/T4)))/T4))))&lt;0),-1,0)))</f>
        <v>0</v>
      </c>
      <c r="O4" s="306" t="str">
        <f t="shared" ref="O4:O30" si="28">VLOOKUP(P4,Hospitals,3,FALSE)</f>
        <v>ARI</v>
      </c>
      <c r="P4" s="306" t="s">
        <v>77</v>
      </c>
      <c r="Q4" s="425">
        <f>VLOOKUP(O4,'Chart 10 (2014)'!$B$47:$L$73,9,FALSE)+VLOOKUP(O4,'Chart 10 (2014)'!$B$47:$L$73,11,FALSE)</f>
        <v>83</v>
      </c>
      <c r="R4" s="425">
        <f>VLOOKUP(O4,'Chart 10 (2014)'!$B$47:$L$73,10,FALSE)</f>
        <v>132</v>
      </c>
      <c r="S4" s="425">
        <f>VLOOKUP(O4,'Chart 10 (2015)'!$B$49:$L$75,9,FALSE)+VLOOKUP(O4,'Chart 10 (2015)'!$B$49:$L$75,11,FALSE)</f>
        <v>115</v>
      </c>
      <c r="T4" s="425">
        <f>VLOOKUP(O4,'Chart 10 (2015)'!$B$49:$L$75,10,FALSE)</f>
        <v>152</v>
      </c>
      <c r="X4" s="758"/>
    </row>
    <row r="5" spans="1:24" ht="12">
      <c r="A5" s="306" t="str">
        <f t="shared" si="15"/>
        <v>Hairmyres (n=26)</v>
      </c>
      <c r="B5" s="307">
        <f t="shared" si="16"/>
        <v>53.846153846153847</v>
      </c>
      <c r="C5" s="307">
        <f t="shared" si="17"/>
        <v>73.076923076923066</v>
      </c>
      <c r="D5" s="308">
        <f>80</f>
        <v>80</v>
      </c>
      <c r="E5" s="16">
        <f t="shared" si="18"/>
        <v>29</v>
      </c>
      <c r="F5" s="308">
        <f t="shared" si="19"/>
        <v>77</v>
      </c>
      <c r="G5" s="308">
        <f t="shared" si="20"/>
        <v>54</v>
      </c>
      <c r="H5" s="308">
        <f t="shared" si="21"/>
        <v>86</v>
      </c>
      <c r="I5" s="314" t="str">
        <f t="shared" si="22"/>
        <v>29 - 77</v>
      </c>
      <c r="J5" s="310" t="str">
        <f t="shared" si="23"/>
        <v>54 - 86</v>
      </c>
      <c r="K5" s="311">
        <f t="shared" si="24"/>
        <v>19.230769230769219</v>
      </c>
      <c r="L5" s="320">
        <f t="shared" si="25"/>
        <v>-0.28365745897106315</v>
      </c>
      <c r="M5" s="320">
        <f t="shared" si="26"/>
        <v>0.66827284358644778</v>
      </c>
      <c r="N5" s="313">
        <f t="shared" si="27"/>
        <v>0</v>
      </c>
      <c r="O5" s="306" t="str">
        <f t="shared" si="28"/>
        <v>Hairmyres</v>
      </c>
      <c r="P5" s="306" t="s">
        <v>103</v>
      </c>
      <c r="Q5" s="425">
        <f>VLOOKUP(O5,'Chart 10 (2014)'!$B$47:$L$73,9,FALSE)+VLOOKUP(O5,'Chart 10 (2014)'!$B$47:$L$73,11,FALSE)</f>
        <v>7</v>
      </c>
      <c r="R5" s="425">
        <f>VLOOKUP(O5,'Chart 10 (2014)'!$B$47:$L$73,10,FALSE)</f>
        <v>13</v>
      </c>
      <c r="S5" s="425">
        <f>VLOOKUP(O5,'Chart 10 (2015)'!$B$49:$L$75,9,FALSE)+VLOOKUP(O5,'Chart 10 (2015)'!$B$49:$L$75,11,FALSE)</f>
        <v>19</v>
      </c>
      <c r="T5" s="425">
        <f>VLOOKUP(O5,'Chart 10 (2015)'!$B$49:$L$75,10,FALSE)</f>
        <v>26</v>
      </c>
      <c r="X5" s="758"/>
    </row>
    <row r="6" spans="1:24" ht="12">
      <c r="A6" s="306" t="str">
        <f t="shared" si="15"/>
        <v>RIE (n=85)</v>
      </c>
      <c r="B6" s="307">
        <f t="shared" si="16"/>
        <v>60</v>
      </c>
      <c r="C6" s="307">
        <f t="shared" si="17"/>
        <v>71.764705882352942</v>
      </c>
      <c r="D6" s="308">
        <f>80</f>
        <v>80</v>
      </c>
      <c r="E6" s="16">
        <f t="shared" si="18"/>
        <v>50</v>
      </c>
      <c r="F6" s="308">
        <f t="shared" si="19"/>
        <v>69</v>
      </c>
      <c r="G6" s="308">
        <f t="shared" si="20"/>
        <v>61</v>
      </c>
      <c r="H6" s="308">
        <f t="shared" si="21"/>
        <v>80</v>
      </c>
      <c r="I6" s="314" t="str">
        <f t="shared" si="22"/>
        <v>50 - 69</v>
      </c>
      <c r="J6" s="310" t="str">
        <f t="shared" si="23"/>
        <v>61 - 80</v>
      </c>
      <c r="K6" s="311">
        <f t="shared" si="24"/>
        <v>11.764705882352942</v>
      </c>
      <c r="L6" s="320">
        <f t="shared" si="25"/>
        <v>-8.3882555054168695E-2</v>
      </c>
      <c r="M6" s="320">
        <f t="shared" si="26"/>
        <v>0.31917667270122757</v>
      </c>
      <c r="N6" s="313">
        <f t="shared" si="27"/>
        <v>0</v>
      </c>
      <c r="O6" s="306" t="str">
        <f t="shared" si="28"/>
        <v>RIE</v>
      </c>
      <c r="P6" s="306" t="s">
        <v>111</v>
      </c>
      <c r="Q6" s="425">
        <f>VLOOKUP(O6,'Chart 10 (2014)'!$B$47:$L$73,9,FALSE)+VLOOKUP(O6,'Chart 10 (2014)'!$B$47:$L$73,11,FALSE)</f>
        <v>60</v>
      </c>
      <c r="R6" s="425">
        <f>VLOOKUP(O6,'Chart 10 (2014)'!$B$47:$L$73,10,FALSE)</f>
        <v>100</v>
      </c>
      <c r="S6" s="425">
        <f>VLOOKUP(O6,'Chart 10 (2015)'!$B$49:$L$75,9,FALSE)+VLOOKUP(O6,'Chart 10 (2015)'!$B$49:$L$75,11,FALSE)</f>
        <v>61</v>
      </c>
      <c r="T6" s="425">
        <f>VLOOKUP(O6,'Chart 10 (2015)'!$B$49:$L$75,10,FALSE)</f>
        <v>85</v>
      </c>
      <c r="X6" s="758"/>
    </row>
    <row r="7" spans="1:24" ht="12">
      <c r="A7" s="306" t="str">
        <f t="shared" si="15"/>
        <v>Crosshouse (n=31)</v>
      </c>
      <c r="B7" s="307">
        <f t="shared" si="16"/>
        <v>76.666666666666671</v>
      </c>
      <c r="C7" s="307">
        <f t="shared" si="17"/>
        <v>70.967741935483872</v>
      </c>
      <c r="D7" s="308">
        <f>80</f>
        <v>80</v>
      </c>
      <c r="E7" s="16">
        <f t="shared" si="18"/>
        <v>59</v>
      </c>
      <c r="F7" s="308">
        <f t="shared" si="19"/>
        <v>88</v>
      </c>
      <c r="G7" s="308">
        <f t="shared" si="20"/>
        <v>53</v>
      </c>
      <c r="H7" s="308">
        <f t="shared" si="21"/>
        <v>84</v>
      </c>
      <c r="I7" s="314" t="str">
        <f t="shared" si="22"/>
        <v>59 - 88</v>
      </c>
      <c r="J7" s="310" t="str">
        <f t="shared" si="23"/>
        <v>53 - 84</v>
      </c>
      <c r="K7" s="311">
        <f t="shared" si="24"/>
        <v>-5.6989247311827995</v>
      </c>
      <c r="L7" s="320">
        <f t="shared" si="25"/>
        <v>-0.3841744485410003</v>
      </c>
      <c r="M7" s="320">
        <f t="shared" si="26"/>
        <v>0.27019595391734436</v>
      </c>
      <c r="N7" s="313">
        <f t="shared" si="27"/>
        <v>0</v>
      </c>
      <c r="O7" s="306" t="str">
        <f t="shared" si="28"/>
        <v>Crosshouse</v>
      </c>
      <c r="P7" s="306" t="s">
        <v>62</v>
      </c>
      <c r="Q7" s="425">
        <f>VLOOKUP(O7,'Chart 10 (2014)'!$B$47:$L$73,9,FALSE)+VLOOKUP(O7,'Chart 10 (2014)'!$B$47:$L$73,11,FALSE)</f>
        <v>23</v>
      </c>
      <c r="R7" s="425">
        <f>VLOOKUP(O7,'Chart 10 (2014)'!$B$47:$L$73,10,FALSE)</f>
        <v>30</v>
      </c>
      <c r="S7" s="425">
        <f>VLOOKUP(O7,'Chart 10 (2015)'!$B$49:$L$75,9,FALSE)+VLOOKUP(O7,'Chart 10 (2015)'!$B$49:$L$75,11,FALSE)</f>
        <v>22</v>
      </c>
      <c r="T7" s="425">
        <f>VLOOKUP(O7,'Chart 10 (2015)'!$B$49:$L$75,10,FALSE)</f>
        <v>31</v>
      </c>
      <c r="X7" s="758"/>
    </row>
    <row r="8" spans="1:24" ht="12">
      <c r="A8" s="306" t="str">
        <f t="shared" si="15"/>
        <v>Wishaw (n=47)</v>
      </c>
      <c r="B8" s="307">
        <f t="shared" si="16"/>
        <v>59.259259259259252</v>
      </c>
      <c r="C8" s="307">
        <f t="shared" si="17"/>
        <v>65.957446808510639</v>
      </c>
      <c r="D8" s="308">
        <f>80</f>
        <v>80</v>
      </c>
      <c r="E8" s="16">
        <f t="shared" si="18"/>
        <v>41</v>
      </c>
      <c r="F8" s="308">
        <f t="shared" si="19"/>
        <v>75</v>
      </c>
      <c r="G8" s="308">
        <f t="shared" si="20"/>
        <v>52</v>
      </c>
      <c r="H8" s="308">
        <f t="shared" si="21"/>
        <v>78</v>
      </c>
      <c r="I8" s="314" t="str">
        <f t="shared" si="22"/>
        <v>41 - 75</v>
      </c>
      <c r="J8" s="310" t="str">
        <f t="shared" si="23"/>
        <v>52 - 78</v>
      </c>
      <c r="K8" s="311">
        <f t="shared" si="24"/>
        <v>6.6981875492513865</v>
      </c>
      <c r="L8" s="320">
        <f t="shared" si="25"/>
        <v>-0.27429854646052126</v>
      </c>
      <c r="M8" s="320">
        <f t="shared" si="26"/>
        <v>0.40826229744554882</v>
      </c>
      <c r="N8" s="313">
        <f t="shared" si="27"/>
        <v>0</v>
      </c>
      <c r="O8" s="306" t="str">
        <f t="shared" si="28"/>
        <v>Wishaw</v>
      </c>
      <c r="P8" s="306" t="s">
        <v>109</v>
      </c>
      <c r="Q8" s="425">
        <f>VLOOKUP(O8,'Chart 10 (2014)'!$B$47:$L$73,9,FALSE)+VLOOKUP(O8,'Chart 10 (2014)'!$B$47:$L$73,11,FALSE)</f>
        <v>16</v>
      </c>
      <c r="R8" s="425">
        <f>VLOOKUP(O8,'Chart 10 (2014)'!$B$47:$L$73,10,FALSE)</f>
        <v>27</v>
      </c>
      <c r="S8" s="425">
        <f>VLOOKUP(O8,'Chart 10 (2015)'!$B$49:$L$75,9,FALSE)+VLOOKUP(O8,'Chart 10 (2015)'!$B$49:$L$75,11,FALSE)</f>
        <v>31</v>
      </c>
      <c r="T8" s="425">
        <f>VLOOKUP(O8,'Chart 10 (2015)'!$B$49:$L$75,10,FALSE)</f>
        <v>47</v>
      </c>
      <c r="X8" s="758"/>
    </row>
    <row r="9" spans="1:24" ht="12">
      <c r="A9" s="306" t="str">
        <f t="shared" si="15"/>
        <v>SJH (n=26)</v>
      </c>
      <c r="B9" s="307">
        <f t="shared" si="16"/>
        <v>35.483870967741936</v>
      </c>
      <c r="C9" s="307">
        <f t="shared" si="17"/>
        <v>65.384615384615387</v>
      </c>
      <c r="D9" s="308">
        <f>80</f>
        <v>80</v>
      </c>
      <c r="E9" s="16">
        <f t="shared" si="18"/>
        <v>21</v>
      </c>
      <c r="F9" s="308">
        <f t="shared" si="19"/>
        <v>53</v>
      </c>
      <c r="G9" s="308">
        <f t="shared" si="20"/>
        <v>46</v>
      </c>
      <c r="H9" s="308">
        <f t="shared" si="21"/>
        <v>81</v>
      </c>
      <c r="I9" s="314" t="str">
        <f t="shared" si="22"/>
        <v>21 - 53</v>
      </c>
      <c r="J9" s="310" t="str">
        <f t="shared" si="23"/>
        <v>46 - 81</v>
      </c>
      <c r="K9" s="311">
        <f t="shared" si="24"/>
        <v>29.900744416873451</v>
      </c>
      <c r="L9" s="320">
        <f t="shared" si="25"/>
        <v>-7.0586226070360414E-2</v>
      </c>
      <c r="M9" s="320">
        <f t="shared" si="26"/>
        <v>0.66860111440782943</v>
      </c>
      <c r="N9" s="313">
        <f t="shared" si="27"/>
        <v>0</v>
      </c>
      <c r="O9" s="306" t="str">
        <f t="shared" si="28"/>
        <v>SJH</v>
      </c>
      <c r="P9" s="306" t="s">
        <v>114</v>
      </c>
      <c r="Q9" s="425">
        <f>VLOOKUP(O9,'Chart 10 (2014)'!$B$47:$L$73,9,FALSE)+VLOOKUP(O9,'Chart 10 (2014)'!$B$47:$L$73,11,FALSE)</f>
        <v>11</v>
      </c>
      <c r="R9" s="425">
        <f>VLOOKUP(O9,'Chart 10 (2014)'!$B$47:$L$73,10,FALSE)</f>
        <v>31</v>
      </c>
      <c r="S9" s="425">
        <f>VLOOKUP(O9,'Chart 10 (2015)'!$B$49:$L$75,9,FALSE)+VLOOKUP(O9,'Chart 10 (2015)'!$B$49:$L$75,11,FALSE)</f>
        <v>17</v>
      </c>
      <c r="T9" s="425">
        <f>VLOOKUP(O9,'Chart 10 (2015)'!$B$49:$L$75,10,FALSE)</f>
        <v>26</v>
      </c>
      <c r="X9" s="758"/>
    </row>
    <row r="10" spans="1:24" ht="12">
      <c r="A10" s="306" t="str">
        <f t="shared" si="15"/>
        <v>Ninewells (n=52)</v>
      </c>
      <c r="B10" s="307">
        <f t="shared" si="16"/>
        <v>77.083333333333343</v>
      </c>
      <c r="C10" s="307">
        <f t="shared" si="17"/>
        <v>63.46153846153846</v>
      </c>
      <c r="D10" s="308">
        <f>80</f>
        <v>80</v>
      </c>
      <c r="E10" s="16">
        <f t="shared" si="18"/>
        <v>63</v>
      </c>
      <c r="F10" s="308">
        <f t="shared" si="19"/>
        <v>87</v>
      </c>
      <c r="G10" s="308">
        <f t="shared" si="20"/>
        <v>50</v>
      </c>
      <c r="H10" s="308">
        <f t="shared" si="21"/>
        <v>75</v>
      </c>
      <c r="I10" s="314" t="str">
        <f t="shared" si="22"/>
        <v>63 - 87</v>
      </c>
      <c r="J10" s="310" t="str">
        <f t="shared" si="23"/>
        <v>50 - 75</v>
      </c>
      <c r="K10" s="311">
        <f t="shared" si="24"/>
        <v>-13.621794871794883</v>
      </c>
      <c r="L10" s="320">
        <f t="shared" si="25"/>
        <v>-0.39909031954436308</v>
      </c>
      <c r="M10" s="320">
        <f t="shared" si="26"/>
        <v>0.1266544221084655</v>
      </c>
      <c r="N10" s="313">
        <f t="shared" si="27"/>
        <v>0</v>
      </c>
      <c r="O10" s="306" t="str">
        <f t="shared" si="28"/>
        <v>Ninewells</v>
      </c>
      <c r="P10" s="306" t="s">
        <v>126</v>
      </c>
      <c r="Q10" s="425">
        <f>VLOOKUP(O10,'Chart 10 (2014)'!$B$47:$L$73,9,FALSE)+VLOOKUP(O10,'Chart 10 (2014)'!$B$47:$L$73,11,FALSE)</f>
        <v>37</v>
      </c>
      <c r="R10" s="425">
        <f>VLOOKUP(O10,'Chart 10 (2014)'!$B$47:$L$73,10,FALSE)</f>
        <v>48</v>
      </c>
      <c r="S10" s="425">
        <f>VLOOKUP(O10,'Chart 10 (2015)'!$B$49:$L$75,9,FALSE)+VLOOKUP(O10,'Chart 10 (2015)'!$B$49:$L$75,11,FALSE)</f>
        <v>33</v>
      </c>
      <c r="T10" s="425">
        <f>VLOOKUP(O10,'Chart 10 (2015)'!$B$49:$L$75,10,FALSE)</f>
        <v>52</v>
      </c>
      <c r="X10" s="758"/>
    </row>
    <row r="11" spans="1:24" ht="12">
      <c r="A11" s="306" t="str">
        <f t="shared" si="15"/>
        <v>Monklands (n=39)</v>
      </c>
      <c r="B11" s="307">
        <f t="shared" si="16"/>
        <v>40</v>
      </c>
      <c r="C11" s="307">
        <f t="shared" si="17"/>
        <v>58.974358974358978</v>
      </c>
      <c r="D11" s="308">
        <f>80</f>
        <v>80</v>
      </c>
      <c r="E11" s="16">
        <f t="shared" si="18"/>
        <v>23</v>
      </c>
      <c r="F11" s="308">
        <f t="shared" si="19"/>
        <v>59</v>
      </c>
      <c r="G11" s="308">
        <f t="shared" si="20"/>
        <v>43</v>
      </c>
      <c r="H11" s="308">
        <f t="shared" si="21"/>
        <v>73</v>
      </c>
      <c r="I11" s="314" t="str">
        <f t="shared" si="22"/>
        <v>23 - 59</v>
      </c>
      <c r="J11" s="310" t="str">
        <f t="shared" si="23"/>
        <v>43 - 73</v>
      </c>
      <c r="K11" s="311">
        <f t="shared" si="24"/>
        <v>18.974358974358978</v>
      </c>
      <c r="L11" s="320">
        <f t="shared" si="25"/>
        <v>-0.17654954181804572</v>
      </c>
      <c r="M11" s="320">
        <f t="shared" si="26"/>
        <v>0.55603672130522519</v>
      </c>
      <c r="N11" s="313">
        <f t="shared" si="27"/>
        <v>0</v>
      </c>
      <c r="O11" s="306" t="str">
        <f t="shared" si="28"/>
        <v>Monklands</v>
      </c>
      <c r="P11" s="306" t="s">
        <v>106</v>
      </c>
      <c r="Q11" s="425">
        <f>VLOOKUP(O11,'Chart 10 (2014)'!$B$47:$L$73,9,FALSE)+VLOOKUP(O11,'Chart 10 (2014)'!$B$47:$L$73,11,FALSE)</f>
        <v>10</v>
      </c>
      <c r="R11" s="425">
        <f>VLOOKUP(O11,'Chart 10 (2014)'!$B$47:$L$73,10,FALSE)</f>
        <v>25</v>
      </c>
      <c r="S11" s="425">
        <f>VLOOKUP(O11,'Chart 10 (2015)'!$B$49:$L$75,9,FALSE)+VLOOKUP(O11,'Chart 10 (2015)'!$B$49:$L$75,11,FALSE)</f>
        <v>23</v>
      </c>
      <c r="T11" s="425">
        <f>VLOOKUP(O11,'Chart 10 (2015)'!$B$49:$L$75,10,FALSE)</f>
        <v>39</v>
      </c>
      <c r="X11" s="758"/>
    </row>
    <row r="12" spans="1:24" ht="12">
      <c r="A12" s="306" t="str">
        <f t="shared" si="15"/>
        <v>Ayr (n=11)</v>
      </c>
      <c r="B12" s="307">
        <f t="shared" si="16"/>
        <v>47.368421052631575</v>
      </c>
      <c r="C12" s="307">
        <f t="shared" si="17"/>
        <v>54.54545454545454</v>
      </c>
      <c r="D12" s="308">
        <f>80</f>
        <v>80</v>
      </c>
      <c r="E12" s="16">
        <f t="shared" si="18"/>
        <v>27</v>
      </c>
      <c r="F12" s="308">
        <f t="shared" si="19"/>
        <v>68</v>
      </c>
      <c r="G12" s="308">
        <f t="shared" si="20"/>
        <v>28</v>
      </c>
      <c r="H12" s="308">
        <f t="shared" si="21"/>
        <v>79</v>
      </c>
      <c r="I12" s="314" t="str">
        <f t="shared" si="22"/>
        <v>27 - 68</v>
      </c>
      <c r="J12" s="310" t="str">
        <f t="shared" si="23"/>
        <v>28 - 79</v>
      </c>
      <c r="K12" s="311">
        <f t="shared" si="24"/>
        <v>7.1770334928229644</v>
      </c>
      <c r="L12" s="320">
        <f t="shared" si="25"/>
        <v>-0.47846040232729653</v>
      </c>
      <c r="M12" s="320">
        <f t="shared" si="26"/>
        <v>0.62200107218375589</v>
      </c>
      <c r="N12" s="313">
        <f t="shared" si="27"/>
        <v>0</v>
      </c>
      <c r="O12" s="306" t="str">
        <f t="shared" si="28"/>
        <v>Ayr</v>
      </c>
      <c r="P12" s="306" t="s">
        <v>60</v>
      </c>
      <c r="Q12" s="425">
        <f>VLOOKUP(O12,'Chart 10 (2014)'!$B$47:$L$73,9,FALSE)+VLOOKUP(O12,'Chart 10 (2014)'!$B$47:$L$73,11,FALSE)</f>
        <v>9</v>
      </c>
      <c r="R12" s="425">
        <f>VLOOKUP(O12,'Chart 10 (2014)'!$B$47:$L$73,10,FALSE)</f>
        <v>19</v>
      </c>
      <c r="S12" s="425">
        <f>VLOOKUP(O12,'Chart 10 (2015)'!$B$49:$L$75,9,FALSE)+VLOOKUP(O12,'Chart 10 (2015)'!$B$49:$L$75,11,FALSE)</f>
        <v>6</v>
      </c>
      <c r="T12" s="425">
        <f>VLOOKUP(O12,'Chart 10 (2015)'!$B$49:$L$75,10,FALSE)</f>
        <v>11</v>
      </c>
      <c r="X12" s="758"/>
    </row>
    <row r="13" spans="1:24" ht="12">
      <c r="A13" s="306" t="str">
        <f t="shared" si="15"/>
        <v>PRI (n=22)</v>
      </c>
      <c r="B13" s="307">
        <f t="shared" si="16"/>
        <v>54.54545454545454</v>
      </c>
      <c r="C13" s="307">
        <f t="shared" si="17"/>
        <v>54.54545454545454</v>
      </c>
      <c r="D13" s="308">
        <f>80</f>
        <v>80</v>
      </c>
      <c r="E13" s="16">
        <f t="shared" si="18"/>
        <v>35</v>
      </c>
      <c r="F13" s="308">
        <f t="shared" si="19"/>
        <v>73</v>
      </c>
      <c r="G13" s="308">
        <f t="shared" si="20"/>
        <v>35</v>
      </c>
      <c r="H13" s="308">
        <f t="shared" si="21"/>
        <v>73</v>
      </c>
      <c r="I13" s="314" t="str">
        <f t="shared" si="22"/>
        <v>35 - 73</v>
      </c>
      <c r="J13" s="310" t="str">
        <f t="shared" si="23"/>
        <v>35 - 73</v>
      </c>
      <c r="K13" s="311">
        <f t="shared" si="24"/>
        <v>0</v>
      </c>
      <c r="L13" s="320">
        <f t="shared" si="25"/>
        <v>-0.43744187699742615</v>
      </c>
      <c r="M13" s="320">
        <f t="shared" si="26"/>
        <v>0.43744187699742615</v>
      </c>
      <c r="N13" s="313">
        <f t="shared" si="27"/>
        <v>0</v>
      </c>
      <c r="O13" s="306" t="str">
        <f t="shared" si="28"/>
        <v>PRI</v>
      </c>
      <c r="P13" s="306" t="s">
        <v>129</v>
      </c>
      <c r="Q13" s="425">
        <f>VLOOKUP(O13,'Chart 10 (2014)'!$B$47:$L$73,9,FALSE)+VLOOKUP(O13,'Chart 10 (2014)'!$B$47:$L$73,11,FALSE)</f>
        <v>12</v>
      </c>
      <c r="R13" s="425">
        <f>VLOOKUP(O13,'Chart 10 (2014)'!$B$47:$L$73,10,FALSE)</f>
        <v>22</v>
      </c>
      <c r="S13" s="425">
        <f>VLOOKUP(O13,'Chart 10 (2015)'!$B$49:$L$75,9,FALSE)+VLOOKUP(O13,'Chart 10 (2015)'!$B$49:$L$75,11,FALSE)</f>
        <v>12</v>
      </c>
      <c r="T13" s="425">
        <f>VLOOKUP(O13,'Chart 10 (2015)'!$B$49:$L$75,10,FALSE)</f>
        <v>22</v>
      </c>
      <c r="X13" s="758"/>
    </row>
    <row r="14" spans="1:24" ht="12">
      <c r="A14" s="306" t="str">
        <f t="shared" si="15"/>
        <v>DGRI (n=26)</v>
      </c>
      <c r="B14" s="307">
        <f t="shared" si="16"/>
        <v>54.285714285714285</v>
      </c>
      <c r="C14" s="307">
        <f t="shared" si="17"/>
        <v>50</v>
      </c>
      <c r="D14" s="308">
        <f>80</f>
        <v>80</v>
      </c>
      <c r="E14" s="16">
        <f t="shared" si="18"/>
        <v>38</v>
      </c>
      <c r="F14" s="308">
        <f t="shared" si="19"/>
        <v>70</v>
      </c>
      <c r="G14" s="308">
        <f t="shared" si="20"/>
        <v>32</v>
      </c>
      <c r="H14" s="308">
        <f t="shared" si="21"/>
        <v>68</v>
      </c>
      <c r="I14" s="314" t="str">
        <f t="shared" si="22"/>
        <v>38 - 70</v>
      </c>
      <c r="J14" s="310" t="str">
        <f t="shared" si="23"/>
        <v>32 - 68</v>
      </c>
      <c r="K14" s="311">
        <f t="shared" si="24"/>
        <v>-4.2857142857142847</v>
      </c>
      <c r="L14" s="320">
        <f t="shared" si="25"/>
        <v>-0.41945853649957104</v>
      </c>
      <c r="M14" s="320">
        <f t="shared" si="26"/>
        <v>0.33374425078528541</v>
      </c>
      <c r="N14" s="313">
        <f t="shared" si="27"/>
        <v>0</v>
      </c>
      <c r="O14" s="306" t="str">
        <f t="shared" si="28"/>
        <v>DGRI</v>
      </c>
      <c r="P14" s="306" t="s">
        <v>67</v>
      </c>
      <c r="Q14" s="425">
        <f>VLOOKUP(O14,'Chart 10 (2014)'!$B$47:$L$73,9,FALSE)+VLOOKUP(O14,'Chart 10 (2014)'!$B$47:$L$73,11,FALSE)</f>
        <v>19</v>
      </c>
      <c r="R14" s="425">
        <f>VLOOKUP(O14,'Chart 10 (2014)'!$B$47:$L$73,10,FALSE)</f>
        <v>35</v>
      </c>
      <c r="S14" s="425">
        <f>VLOOKUP(O14,'Chart 10 (2015)'!$B$49:$L$75,9,FALSE)+VLOOKUP(O14,'Chart 10 (2015)'!$B$49:$L$75,11,FALSE)</f>
        <v>13</v>
      </c>
      <c r="T14" s="425">
        <f>VLOOKUP(O14,'Chart 10 (2015)'!$B$49:$L$75,10,FALSE)</f>
        <v>26</v>
      </c>
      <c r="X14" s="758"/>
    </row>
    <row r="15" spans="1:24" ht="12">
      <c r="A15" s="306" t="str">
        <f t="shared" si="15"/>
        <v>Western Isles (n=8)</v>
      </c>
      <c r="B15" s="307">
        <f t="shared" si="16"/>
        <v>33.333333333333329</v>
      </c>
      <c r="C15" s="307">
        <f t="shared" si="17"/>
        <v>50</v>
      </c>
      <c r="D15" s="308">
        <f>80</f>
        <v>80</v>
      </c>
      <c r="E15" s="16">
        <f t="shared" si="18"/>
        <v>10</v>
      </c>
      <c r="F15" s="308">
        <f t="shared" si="19"/>
        <v>70</v>
      </c>
      <c r="G15" s="308">
        <f t="shared" si="20"/>
        <v>22</v>
      </c>
      <c r="H15" s="308">
        <f t="shared" si="21"/>
        <v>78</v>
      </c>
      <c r="I15" s="314" t="str">
        <f t="shared" si="22"/>
        <v>10 - 70</v>
      </c>
      <c r="J15" s="310" t="str">
        <f t="shared" si="23"/>
        <v>22 - 78</v>
      </c>
      <c r="K15" s="311">
        <f t="shared" si="24"/>
        <v>16.666666666666671</v>
      </c>
      <c r="L15" s="320">
        <f t="shared" si="25"/>
        <v>-0.59474213239940954</v>
      </c>
      <c r="M15" s="320">
        <f t="shared" si="26"/>
        <v>0.92807546573274302</v>
      </c>
      <c r="N15" s="313">
        <f t="shared" si="27"/>
        <v>0</v>
      </c>
      <c r="O15" s="306" t="str">
        <f t="shared" si="28"/>
        <v>Western Isles</v>
      </c>
      <c r="P15" s="306" t="s">
        <v>135</v>
      </c>
      <c r="Q15" s="425">
        <f>VLOOKUP(O15,'Chart 10 (2014)'!$B$47:$L$73,9,FALSE)+VLOOKUP(O15,'Chart 10 (2014)'!$B$47:$L$73,11,FALSE)</f>
        <v>2</v>
      </c>
      <c r="R15" s="425">
        <f>VLOOKUP(O15,'Chart 10 (2014)'!$B$47:$L$73,10,FALSE)</f>
        <v>6</v>
      </c>
      <c r="S15" s="425">
        <f>VLOOKUP(O15,'Chart 10 (2015)'!$B$49:$L$75,9,FALSE)+VLOOKUP(O15,'Chart 10 (2015)'!$B$49:$L$75,11,FALSE)</f>
        <v>4</v>
      </c>
      <c r="T15" s="425">
        <f>VLOOKUP(O15,'Chart 10 (2015)'!$B$49:$L$75,10,FALSE)</f>
        <v>8</v>
      </c>
      <c r="X15" s="758"/>
    </row>
    <row r="16" spans="1:24" ht="12">
      <c r="A16" s="306" t="str">
        <f t="shared" si="15"/>
        <v>VHK (n=57)</v>
      </c>
      <c r="B16" s="307">
        <f t="shared" si="16"/>
        <v>35.714285714285715</v>
      </c>
      <c r="C16" s="307">
        <f t="shared" si="17"/>
        <v>49.122807017543856</v>
      </c>
      <c r="D16" s="308">
        <f>80</f>
        <v>80</v>
      </c>
      <c r="E16" s="16">
        <f t="shared" si="18"/>
        <v>23</v>
      </c>
      <c r="F16" s="308">
        <f t="shared" si="19"/>
        <v>51</v>
      </c>
      <c r="G16" s="308">
        <f t="shared" si="20"/>
        <v>37</v>
      </c>
      <c r="H16" s="308">
        <f t="shared" si="21"/>
        <v>62</v>
      </c>
      <c r="I16" s="314" t="str">
        <f t="shared" si="22"/>
        <v>23 - 51</v>
      </c>
      <c r="J16" s="310" t="str">
        <f t="shared" si="23"/>
        <v>37 - 62</v>
      </c>
      <c r="K16" s="311">
        <f t="shared" si="24"/>
        <v>13.408521303258141</v>
      </c>
      <c r="L16" s="320">
        <f t="shared" si="25"/>
        <v>-0.15510982694849995</v>
      </c>
      <c r="M16" s="320">
        <f t="shared" si="26"/>
        <v>0.42328025301366279</v>
      </c>
      <c r="N16" s="313">
        <f t="shared" si="27"/>
        <v>0</v>
      </c>
      <c r="O16" s="306" t="str">
        <f t="shared" si="28"/>
        <v>VHK</v>
      </c>
      <c r="P16" s="306" t="s">
        <v>287</v>
      </c>
      <c r="Q16" s="425">
        <f>VLOOKUP(O16,'Chart 10 (2014)'!$B$47:$L$73,9,FALSE)+VLOOKUP(O16,'Chart 10 (2014)'!$B$47:$L$73,11,FALSE)</f>
        <v>15</v>
      </c>
      <c r="R16" s="425">
        <f>VLOOKUP(O16,'Chart 10 (2014)'!$B$47:$L$73,10,FALSE)</f>
        <v>42</v>
      </c>
      <c r="S16" s="425">
        <f>VLOOKUP(O16,'Chart 10 (2015)'!$B$49:$L$75,9,FALSE)+VLOOKUP(O16,'Chart 10 (2015)'!$B$49:$L$75,11,FALSE)</f>
        <v>28</v>
      </c>
      <c r="T16" s="425">
        <f>VLOOKUP(O16,'Chart 10 (2015)'!$B$49:$L$75,10,FALSE)</f>
        <v>57</v>
      </c>
      <c r="X16" s="758"/>
    </row>
    <row r="17" spans="1:24" ht="12">
      <c r="A17" s="306" t="str">
        <f t="shared" si="15"/>
        <v>FVRH (n=39)</v>
      </c>
      <c r="B17" s="307">
        <f t="shared" si="16"/>
        <v>20.588235294117645</v>
      </c>
      <c r="C17" s="307">
        <f t="shared" si="17"/>
        <v>30.76923076923077</v>
      </c>
      <c r="D17" s="308">
        <f>80</f>
        <v>80</v>
      </c>
      <c r="E17" s="16">
        <f t="shared" si="18"/>
        <v>10</v>
      </c>
      <c r="F17" s="308">
        <f t="shared" si="19"/>
        <v>37</v>
      </c>
      <c r="G17" s="308">
        <f t="shared" si="20"/>
        <v>19</v>
      </c>
      <c r="H17" s="308">
        <f t="shared" si="21"/>
        <v>46</v>
      </c>
      <c r="I17" s="314" t="str">
        <f t="shared" si="22"/>
        <v>10 - 37</v>
      </c>
      <c r="J17" s="310" t="str">
        <f t="shared" si="23"/>
        <v>19 - 46</v>
      </c>
      <c r="K17" s="311">
        <f t="shared" si="24"/>
        <v>10.180995475113125</v>
      </c>
      <c r="L17" s="320">
        <f t="shared" si="25"/>
        <v>-0.19347956139770184</v>
      </c>
      <c r="M17" s="320">
        <f t="shared" si="26"/>
        <v>0.39709947089996434</v>
      </c>
      <c r="N17" s="313">
        <f t="shared" si="27"/>
        <v>0</v>
      </c>
      <c r="O17" s="306" t="str">
        <f t="shared" si="28"/>
        <v>FVRH</v>
      </c>
      <c r="P17" s="306" t="s">
        <v>75</v>
      </c>
      <c r="Q17" s="425">
        <f>VLOOKUP(CONCATENATE(O17,"3"),'Chart 10 (2014)'!$B$47:$L$73,9,FALSE)+VLOOKUP(CONCATENATE(O17,"3"),'Chart 10 (2014)'!$B$47:$L$73,11,FALSE)</f>
        <v>7</v>
      </c>
      <c r="R17" s="425">
        <f>VLOOKUP(CONCATENATE(O17,"3"),'Chart 10 (2014)'!$B$47:$L$73,10,FALSE)</f>
        <v>34</v>
      </c>
      <c r="S17" s="425">
        <f>VLOOKUP(CONCATENATE(O17,"3"),'Chart 10 (2015)'!$B$49:$L$75,9,FALSE)+VLOOKUP(CONCATENATE(O17,"3"),'Chart 10 (2015)'!$B$49:$L$75,11,FALSE)</f>
        <v>12</v>
      </c>
      <c r="T17" s="425">
        <f>VLOOKUP(CONCATENATE(O17,"3"),'Chart 10 (2015)'!$B$49:$L$75,10,FALSE)</f>
        <v>39</v>
      </c>
      <c r="X17" s="758"/>
    </row>
    <row r="18" spans="1:24" ht="12">
      <c r="A18" s="306" t="str">
        <f>O18&amp;" 5 (n="&amp;VLOOKUP(O18,$O$3:$T$30,6,FALSE)&amp;")"</f>
        <v>QEUH 5 (n=225)</v>
      </c>
      <c r="B18" s="307">
        <f t="shared" si="16"/>
        <v>16.831683168316832</v>
      </c>
      <c r="C18" s="307">
        <f t="shared" si="17"/>
        <v>28.444444444444443</v>
      </c>
      <c r="D18" s="308">
        <f>80</f>
        <v>80</v>
      </c>
      <c r="E18" s="16">
        <f t="shared" si="18"/>
        <v>12</v>
      </c>
      <c r="F18" s="308">
        <f t="shared" si="19"/>
        <v>23</v>
      </c>
      <c r="G18" s="308">
        <f t="shared" si="20"/>
        <v>23</v>
      </c>
      <c r="H18" s="308">
        <f t="shared" si="21"/>
        <v>35</v>
      </c>
      <c r="I18" s="314" t="str">
        <f t="shared" si="22"/>
        <v>12 - 23</v>
      </c>
      <c r="J18" s="310" t="str">
        <f t="shared" si="23"/>
        <v>23 - 35</v>
      </c>
      <c r="K18" s="311">
        <f t="shared" si="24"/>
        <v>11.61276127612761</v>
      </c>
      <c r="L18" s="320">
        <f t="shared" si="25"/>
        <v>-3.3417514994317499E-4</v>
      </c>
      <c r="M18" s="320">
        <f t="shared" si="26"/>
        <v>0.23258940067249539</v>
      </c>
      <c r="N18" s="313">
        <f t="shared" si="27"/>
        <v>0</v>
      </c>
      <c r="O18" s="306" t="str">
        <f t="shared" si="28"/>
        <v>QEUH</v>
      </c>
      <c r="P18" s="306" t="s">
        <v>503</v>
      </c>
      <c r="Q18" s="425">
        <f>VLOOKUP(O18,'Chart 10 (2014)'!$B$47:$L$73,9,FALSE)+VLOOKUP(O18,'Chart 10 (2014)'!$B$47:$L$73,11,FALSE)</f>
        <v>34</v>
      </c>
      <c r="R18" s="425">
        <f>VLOOKUP(O18,'Chart 10 (2014)'!$B$47:$L$73,10,FALSE)</f>
        <v>202</v>
      </c>
      <c r="S18" s="425">
        <f>VLOOKUP(O18,'Chart 10 (2015)'!$B$49:$L$75,9,FALSE)+VLOOKUP(O18,'Chart 10 (2015)'!$B$49:$L$75,11,FALSE)</f>
        <v>64</v>
      </c>
      <c r="T18" s="425">
        <f>VLOOKUP(O18,'Chart 10 (2015)'!$B$49:$L$75,10,FALSE)</f>
        <v>225</v>
      </c>
      <c r="X18" s="758"/>
    </row>
    <row r="19" spans="1:24" ht="12">
      <c r="A19" s="306" t="str">
        <f>O19&amp;" (n="&amp;VLOOKUP(O19,$O$3:$T$30,6,FALSE)&amp;")"</f>
        <v>Caithness (n=11)</v>
      </c>
      <c r="B19" s="307">
        <f t="shared" si="16"/>
        <v>33.333333333333329</v>
      </c>
      <c r="C19" s="307">
        <f t="shared" si="17"/>
        <v>27.27272727272727</v>
      </c>
      <c r="D19" s="308">
        <f>80</f>
        <v>80</v>
      </c>
      <c r="E19" s="16">
        <f t="shared" si="18"/>
        <v>6</v>
      </c>
      <c r="F19" s="308">
        <f t="shared" si="19"/>
        <v>79</v>
      </c>
      <c r="G19" s="308">
        <f t="shared" si="20"/>
        <v>10</v>
      </c>
      <c r="H19" s="308">
        <f t="shared" si="21"/>
        <v>57</v>
      </c>
      <c r="I19" s="314" t="str">
        <f t="shared" si="22"/>
        <v>6 - 79</v>
      </c>
      <c r="J19" s="310" t="str">
        <f t="shared" si="23"/>
        <v>10 - 57</v>
      </c>
      <c r="K19" s="311">
        <f t="shared" si="24"/>
        <v>-6.0606060606060588</v>
      </c>
      <c r="L19" s="320">
        <f t="shared" si="25"/>
        <v>-0.94489021689106578</v>
      </c>
      <c r="M19" s="320">
        <f t="shared" si="26"/>
        <v>0.82367809567894468</v>
      </c>
      <c r="N19" s="313">
        <f t="shared" si="27"/>
        <v>0</v>
      </c>
      <c r="O19" s="306" t="str">
        <f t="shared" si="28"/>
        <v>Caithness</v>
      </c>
      <c r="P19" s="306" t="s">
        <v>94</v>
      </c>
      <c r="Q19" s="425">
        <f>VLOOKUP(O19,'Chart 10 (2014)'!$B$47:$L$73,9,FALSE)+VLOOKUP(O19,'Chart 10 (2014)'!$B$47:$L$73,11,FALSE)</f>
        <v>1</v>
      </c>
      <c r="R19" s="425">
        <f>VLOOKUP(O19,'Chart 10 (2014)'!$B$47:$L$73,10,FALSE)</f>
        <v>3</v>
      </c>
      <c r="S19" s="425">
        <f>VLOOKUP(O19,'Chart 10 (2015)'!$B$49:$L$75,9,FALSE)+VLOOKUP(O19,'Chart 10 (2015)'!$B$49:$L$75,11,FALSE)</f>
        <v>3</v>
      </c>
      <c r="T19" s="425">
        <f>VLOOKUP(O19,'Chart 10 (2015)'!$B$49:$L$75,10,FALSE)</f>
        <v>11</v>
      </c>
      <c r="X19" s="758"/>
    </row>
    <row r="20" spans="1:24" ht="12">
      <c r="A20" s="306" t="str">
        <f>O20&amp;" (n="&amp;VLOOKUP(O20,$O$3:$T$30,6,FALSE)&amp;")"</f>
        <v>WGH (n=11)</v>
      </c>
      <c r="B20" s="307">
        <f t="shared" si="16"/>
        <v>33.333333333333329</v>
      </c>
      <c r="C20" s="307">
        <f t="shared" si="17"/>
        <v>27.27272727272727</v>
      </c>
      <c r="D20" s="308">
        <f>80</f>
        <v>80</v>
      </c>
      <c r="E20" s="16">
        <f t="shared" si="18"/>
        <v>15</v>
      </c>
      <c r="F20" s="308">
        <f t="shared" si="19"/>
        <v>58</v>
      </c>
      <c r="G20" s="308">
        <f t="shared" si="20"/>
        <v>10</v>
      </c>
      <c r="H20" s="308">
        <f t="shared" si="21"/>
        <v>57</v>
      </c>
      <c r="I20" s="314" t="str">
        <f t="shared" si="22"/>
        <v>15 - 58</v>
      </c>
      <c r="J20" s="310" t="str">
        <f t="shared" si="23"/>
        <v>10 - 57</v>
      </c>
      <c r="K20" s="311">
        <f t="shared" si="24"/>
        <v>-6.0606060606060588</v>
      </c>
      <c r="L20" s="320">
        <f t="shared" si="25"/>
        <v>-0.58867721783015736</v>
      </c>
      <c r="M20" s="320">
        <f t="shared" si="26"/>
        <v>0.4674650966180362</v>
      </c>
      <c r="N20" s="313">
        <f t="shared" si="27"/>
        <v>0</v>
      </c>
      <c r="O20" s="306" t="str">
        <f t="shared" si="28"/>
        <v>WGH</v>
      </c>
      <c r="P20" s="306" t="s">
        <v>117</v>
      </c>
      <c r="Q20" s="425">
        <f>VLOOKUP(O20,'Chart 10 (2014)'!$B$47:$L$73,9,FALSE)+VLOOKUP(O20,'Chart 10 (2014)'!$B$47:$L$73,11,FALSE)</f>
        <v>5</v>
      </c>
      <c r="R20" s="425">
        <f>VLOOKUP(O20,'Chart 10 (2014)'!$B$47:$L$73,10,FALSE)</f>
        <v>15</v>
      </c>
      <c r="S20" s="425">
        <f>VLOOKUP(O20,'Chart 10 (2015)'!$B$49:$L$75,9,FALSE)+VLOOKUP(O20,'Chart 10 (2015)'!$B$49:$L$75,11,FALSE)</f>
        <v>3</v>
      </c>
      <c r="T20" s="425">
        <f>VLOOKUP(O20,'Chart 10 (2015)'!$B$49:$L$75,10,FALSE)</f>
        <v>11</v>
      </c>
      <c r="X20" s="758"/>
    </row>
    <row r="21" spans="1:24" ht="12">
      <c r="A21" s="321" t="str">
        <f>O21&amp;" (n="&amp;VLOOKUP(O21,$O$3:$T$30,6,FALSE)&amp;")"</f>
        <v>Dr Grays (n=8)</v>
      </c>
      <c r="B21" s="307">
        <f t="shared" si="16"/>
        <v>25</v>
      </c>
      <c r="C21" s="307">
        <f t="shared" si="17"/>
        <v>25</v>
      </c>
      <c r="D21" s="308">
        <f>80</f>
        <v>80</v>
      </c>
      <c r="E21" s="16">
        <f t="shared" si="18"/>
        <v>9</v>
      </c>
      <c r="F21" s="308">
        <f t="shared" si="19"/>
        <v>53</v>
      </c>
      <c r="G21" s="308">
        <f t="shared" si="20"/>
        <v>7</v>
      </c>
      <c r="H21" s="308">
        <f t="shared" si="21"/>
        <v>59</v>
      </c>
      <c r="I21" s="314" t="str">
        <f t="shared" si="22"/>
        <v>9 - 53</v>
      </c>
      <c r="J21" s="310" t="str">
        <f t="shared" si="23"/>
        <v>7 - 59</v>
      </c>
      <c r="K21" s="311">
        <f t="shared" si="24"/>
        <v>0</v>
      </c>
      <c r="L21" s="320">
        <f t="shared" si="25"/>
        <v>-0.57587572776958063</v>
      </c>
      <c r="M21" s="320">
        <f t="shared" si="26"/>
        <v>0.57587572776958063</v>
      </c>
      <c r="N21" s="313">
        <f t="shared" si="27"/>
        <v>0</v>
      </c>
      <c r="O21" s="306" t="str">
        <f t="shared" si="28"/>
        <v>Dr Grays</v>
      </c>
      <c r="P21" s="306" t="s">
        <v>79</v>
      </c>
      <c r="Q21" s="425">
        <f>VLOOKUP(O21,'Chart 10 (2014)'!$B$47:$L$73,9,FALSE)+VLOOKUP(O21,'Chart 10 (2014)'!$B$47:$L$73,11,FALSE)</f>
        <v>3</v>
      </c>
      <c r="R21" s="425">
        <f>VLOOKUP(O21,'Chart 10 (2014)'!$B$47:$L$73,10,FALSE)</f>
        <v>12</v>
      </c>
      <c r="S21" s="425">
        <f>VLOOKUP(O21,'Chart 10 (2015)'!$B$49:$L$75,9,FALSE)+VLOOKUP(O21,'Chart 10 (2015)'!$B$49:$L$75,11,FALSE)</f>
        <v>2</v>
      </c>
      <c r="T21" s="425">
        <f>VLOOKUP(O21,'Chart 10 (2015)'!$B$49:$L$75,10,FALSE)</f>
        <v>8</v>
      </c>
      <c r="X21" s="758"/>
    </row>
    <row r="22" spans="1:24" ht="12">
      <c r="A22" s="306" t="str">
        <f>O22&amp;" (n="&amp;VLOOKUP(O22,$O$3:$T$30,6,FALSE)&amp;")"</f>
        <v>Raigmore (n=21)</v>
      </c>
      <c r="B22" s="307">
        <f t="shared" si="16"/>
        <v>14.814814814814813</v>
      </c>
      <c r="C22" s="307">
        <f t="shared" si="17"/>
        <v>19.047619047619047</v>
      </c>
      <c r="D22" s="308">
        <f>80</f>
        <v>80</v>
      </c>
      <c r="E22" s="16">
        <f t="shared" si="18"/>
        <v>6</v>
      </c>
      <c r="F22" s="308">
        <f t="shared" si="19"/>
        <v>32</v>
      </c>
      <c r="G22" s="308">
        <f t="shared" si="20"/>
        <v>8</v>
      </c>
      <c r="H22" s="308">
        <f t="shared" si="21"/>
        <v>40</v>
      </c>
      <c r="I22" s="314" t="str">
        <f t="shared" si="22"/>
        <v>6 - 32</v>
      </c>
      <c r="J22" s="310" t="str">
        <f t="shared" si="23"/>
        <v>8 - 40</v>
      </c>
      <c r="K22" s="311">
        <f t="shared" si="24"/>
        <v>4.2328042328042343</v>
      </c>
      <c r="L22" s="320">
        <f t="shared" si="25"/>
        <v>-0.27707675542711019</v>
      </c>
      <c r="M22" s="320">
        <f t="shared" si="26"/>
        <v>0.36173284008319484</v>
      </c>
      <c r="N22" s="313">
        <f t="shared" si="27"/>
        <v>0</v>
      </c>
      <c r="O22" s="306" t="str">
        <f t="shared" si="28"/>
        <v>Raigmore</v>
      </c>
      <c r="P22" s="306" t="s">
        <v>100</v>
      </c>
      <c r="Q22" s="425">
        <f>VLOOKUP(O22,'Chart 10 (2014)'!$B$47:$L$73,9,FALSE)+VLOOKUP(O22,'Chart 10 (2014)'!$B$47:$L$73,11,FALSE)</f>
        <v>4</v>
      </c>
      <c r="R22" s="425">
        <f>VLOOKUP(O22,'Chart 10 (2014)'!$B$47:$L$73,10,FALSE)</f>
        <v>27</v>
      </c>
      <c r="S22" s="425">
        <f>VLOOKUP(O22,'Chart 10 (2015)'!$B$49:$L$75,9,FALSE)+VLOOKUP(O22,'Chart 10 (2015)'!$B$49:$L$75,11,FALSE)</f>
        <v>4</v>
      </c>
      <c r="T22" s="425">
        <f>VLOOKUP(O22,'Chart 10 (2015)'!$B$49:$L$75,10,FALSE)</f>
        <v>21</v>
      </c>
      <c r="X22" s="758"/>
    </row>
    <row r="23" spans="1:24" ht="12">
      <c r="A23" s="306" t="str">
        <f>O23&amp;" (n="&amp;VLOOKUP(O23,$O$3:$T$30,6,FALSE)&amp;")"</f>
        <v>Borders (n=10)</v>
      </c>
      <c r="B23" s="307">
        <f t="shared" si="16"/>
        <v>30</v>
      </c>
      <c r="C23" s="307">
        <f t="shared" si="17"/>
        <v>0</v>
      </c>
      <c r="D23" s="308">
        <f>80</f>
        <v>80</v>
      </c>
      <c r="E23" s="16">
        <f t="shared" si="18"/>
        <v>11</v>
      </c>
      <c r="F23" s="308">
        <f t="shared" si="19"/>
        <v>60</v>
      </c>
      <c r="G23" s="308">
        <f t="shared" si="20"/>
        <v>0</v>
      </c>
      <c r="H23" s="308">
        <f t="shared" si="21"/>
        <v>28</v>
      </c>
      <c r="I23" s="314" t="str">
        <f t="shared" si="22"/>
        <v>11 - 60</v>
      </c>
      <c r="J23" s="310" t="str">
        <f t="shared" si="23"/>
        <v>0 - 28</v>
      </c>
      <c r="K23" s="311">
        <f t="shared" si="24"/>
        <v>-30</v>
      </c>
      <c r="L23" s="320">
        <f t="shared" si="25"/>
        <v>-0.72223905814270173</v>
      </c>
      <c r="M23" s="320">
        <f t="shared" si="26"/>
        <v>0.12223905814270175</v>
      </c>
      <c r="N23" s="313">
        <f t="shared" si="27"/>
        <v>0</v>
      </c>
      <c r="O23" s="306" t="str">
        <f t="shared" si="28"/>
        <v>Borders</v>
      </c>
      <c r="P23" s="306" t="s">
        <v>65</v>
      </c>
      <c r="Q23" s="425">
        <f>VLOOKUP(O23,'Chart 10 (2014)'!$B$47:$L$73,9,FALSE)+VLOOKUP(O23,'Chart 10 (2014)'!$B$47:$L$73,11,FALSE)</f>
        <v>3</v>
      </c>
      <c r="R23" s="425">
        <f>VLOOKUP(O23,'Chart 10 (2014)'!$B$47:$L$73,10,FALSE)</f>
        <v>10</v>
      </c>
      <c r="S23" s="425">
        <f>VLOOKUP(O23,'Chart 10 (2015)'!$B$49:$L$75,9,FALSE)+VLOOKUP(O23,'Chart 10 (2015)'!$B$49:$L$75,11,FALSE)</f>
        <v>0</v>
      </c>
      <c r="T23" s="425">
        <f>VLOOKUP(O23,'Chart 10 (2015)'!$B$49:$L$75,10,FALSE)</f>
        <v>10</v>
      </c>
      <c r="X23" s="758"/>
    </row>
    <row r="24" spans="1:24" ht="12">
      <c r="A24" s="321" t="str">
        <f>O24&amp;" 5 (n="&amp;VLOOKUP(O24,$O$3:$T$30,6,FALSE)&amp;")"</f>
        <v>GCH 5 (n=8)</v>
      </c>
      <c r="B24" s="307">
        <f t="shared" si="16"/>
        <v>18.181818181818183</v>
      </c>
      <c r="C24" s="307">
        <f t="shared" si="17"/>
        <v>0</v>
      </c>
      <c r="D24" s="308">
        <f>80</f>
        <v>80</v>
      </c>
      <c r="E24" s="16">
        <f t="shared" si="18"/>
        <v>5</v>
      </c>
      <c r="F24" s="308">
        <f t="shared" si="19"/>
        <v>48</v>
      </c>
      <c r="G24" s="308">
        <f t="shared" si="20"/>
        <v>0</v>
      </c>
      <c r="H24" s="308">
        <f t="shared" si="21"/>
        <v>32</v>
      </c>
      <c r="I24" s="314" t="str">
        <f t="shared" si="22"/>
        <v>5 - 48</v>
      </c>
      <c r="J24" s="310" t="str">
        <f t="shared" si="23"/>
        <v>0 - 32</v>
      </c>
      <c r="K24" s="311">
        <f t="shared" si="24"/>
        <v>-18.181818181818183</v>
      </c>
      <c r="L24" s="320">
        <f t="shared" si="25"/>
        <v>-0.52065920272713084</v>
      </c>
      <c r="M24" s="320">
        <f t="shared" si="26"/>
        <v>0.15702283909076714</v>
      </c>
      <c r="N24" s="313">
        <f t="shared" si="27"/>
        <v>0</v>
      </c>
      <c r="O24" s="306" t="str">
        <f t="shared" si="28"/>
        <v>GCH</v>
      </c>
      <c r="P24" s="306" t="s">
        <v>70</v>
      </c>
      <c r="Q24" s="425">
        <f>VLOOKUP(O24,'Chart 10 (2014)'!$B$47:$L$73,9,FALSE)+VLOOKUP(O24,'Chart 10 (2014)'!$B$47:$L$73,11,FALSE)</f>
        <v>2</v>
      </c>
      <c r="R24" s="425">
        <f>VLOOKUP(O24,'Chart 10 (2014)'!$B$47:$L$73,10,FALSE)</f>
        <v>11</v>
      </c>
      <c r="S24" s="425">
        <f>VLOOKUP(O24,'Chart 10 (2015)'!$B$49:$L$75,9,FALSE)+VLOOKUP(O24,'Chart 10 (2015)'!$B$49:$L$75,11,FALSE)</f>
        <v>0</v>
      </c>
      <c r="T24" s="425">
        <f>VLOOKUP(O24,'Chart 10 (2015)'!$B$49:$L$75,10,FALSE)</f>
        <v>8</v>
      </c>
      <c r="X24" s="758"/>
    </row>
    <row r="25" spans="1:24" ht="12">
      <c r="A25" s="306" t="str">
        <f>O25&amp;" (n="&amp;VLOOKUP(O25,$O$3:$T$30,6,FALSE)&amp;")"</f>
        <v>GRI (n=1)</v>
      </c>
      <c r="B25" s="307">
        <f t="shared" si="16"/>
        <v>0</v>
      </c>
      <c r="C25" s="307">
        <f t="shared" si="17"/>
        <v>0</v>
      </c>
      <c r="D25" s="308">
        <f>80</f>
        <v>80</v>
      </c>
      <c r="E25" s="16">
        <f t="shared" si="18"/>
        <v>0</v>
      </c>
      <c r="F25" s="308">
        <f t="shared" si="19"/>
        <v>79</v>
      </c>
      <c r="G25" s="308">
        <f t="shared" si="20"/>
        <v>0</v>
      </c>
      <c r="H25" s="308">
        <f t="shared" si="21"/>
        <v>79</v>
      </c>
      <c r="I25" s="314" t="str">
        <f t="shared" si="22"/>
        <v>0 - 79</v>
      </c>
      <c r="J25" s="310" t="str">
        <f t="shared" si="23"/>
        <v>0 - 79</v>
      </c>
      <c r="K25" s="311">
        <f t="shared" si="24"/>
        <v>0</v>
      </c>
      <c r="L25" s="320">
        <f t="shared" si="25"/>
        <v>0</v>
      </c>
      <c r="M25" s="320">
        <f t="shared" si="26"/>
        <v>0</v>
      </c>
      <c r="N25" s="313">
        <f t="shared" si="27"/>
        <v>0</v>
      </c>
      <c r="O25" s="306" t="str">
        <f t="shared" si="28"/>
        <v>GRI</v>
      </c>
      <c r="P25" s="306" t="s">
        <v>82</v>
      </c>
      <c r="Q25" s="425">
        <f>VLOOKUP(CONCATENATE(O25,"3"),'Chart 10 (2014)'!$B$47:$L$73,9,FALSE)+VLOOKUP(CONCATENATE(O25,"3"),'Chart 10 (2014)'!$B$47:$L$73,11,FALSE)</f>
        <v>0</v>
      </c>
      <c r="R25" s="425">
        <f>VLOOKUP(CONCATENATE(O25,"3"),'Chart 10 (2014)'!$B$47:$L$73,10,FALSE)</f>
        <v>1</v>
      </c>
      <c r="S25" s="425">
        <f>VLOOKUP(CONCATENATE(O25,"3"),'Chart 10 (2015)'!$B$49:$L$75,9,FALSE)+VLOOKUP(CONCATENATE(O25,"3"),'Chart 10 (2015)'!$B$49:$L$75,11,FALSE)</f>
        <v>0</v>
      </c>
      <c r="T25" s="425">
        <f>VLOOKUP(CONCATENATE(O25,"3"),'Chart 10 (2015)'!$B$49:$L$75,10,FALSE)</f>
        <v>1</v>
      </c>
      <c r="X25" s="758"/>
    </row>
    <row r="26" spans="1:24" ht="12">
      <c r="A26" s="306" t="str">
        <f>O26&amp;" (n="&amp;VLOOKUP(O26,$O$3:$T$30,6,FALSE)&amp;")"</f>
        <v>RAH (n=2)</v>
      </c>
      <c r="B26" s="307" t="str">
        <f t="shared" si="16"/>
        <v>-</v>
      </c>
      <c r="C26" s="307">
        <f t="shared" si="17"/>
        <v>0</v>
      </c>
      <c r="D26" s="308">
        <f>80</f>
        <v>80</v>
      </c>
      <c r="E26" s="16" t="str">
        <f t="shared" si="18"/>
        <v>-</v>
      </c>
      <c r="F26" s="308" t="str">
        <f t="shared" si="19"/>
        <v>-</v>
      </c>
      <c r="G26" s="308">
        <f t="shared" si="20"/>
        <v>0</v>
      </c>
      <c r="H26" s="308">
        <f t="shared" si="21"/>
        <v>66</v>
      </c>
      <c r="I26" s="314" t="e">
        <f t="shared" si="22"/>
        <v>#DIV/0!</v>
      </c>
      <c r="J26" s="310" t="str">
        <f t="shared" si="23"/>
        <v>0 - 66</v>
      </c>
      <c r="K26" s="311" t="e">
        <f t="shared" si="24"/>
        <v>#VALUE!</v>
      </c>
      <c r="L26" s="320" t="e">
        <f t="shared" si="25"/>
        <v>#DIV/0!</v>
      </c>
      <c r="M26" s="320" t="e">
        <f t="shared" si="26"/>
        <v>#DIV/0!</v>
      </c>
      <c r="N26" s="313" t="str">
        <f t="shared" si="27"/>
        <v/>
      </c>
      <c r="O26" s="306" t="str">
        <f t="shared" si="28"/>
        <v>RAH</v>
      </c>
      <c r="P26" s="306" t="s">
        <v>87</v>
      </c>
      <c r="Q26" s="425">
        <f>VLOOKUP(O26,'Chart 10 (2014)'!$B$47:$L$73,9,FALSE)+VLOOKUP(O26,'Chart 10 (2014)'!$B$47:$L$73,11,FALSE)</f>
        <v>0</v>
      </c>
      <c r="R26" s="425">
        <f>VLOOKUP(O26,'Chart 10 (2014)'!$B$47:$L$73,10,FALSE)</f>
        <v>0</v>
      </c>
      <c r="S26" s="425">
        <f>VLOOKUP(O26,'Chart 10 (2015)'!$B$49:$L$75,9,FALSE)+VLOOKUP(O26,'Chart 10 (2015)'!$B$49:$L$75,11,FALSE)</f>
        <v>0</v>
      </c>
      <c r="T26" s="425">
        <f>VLOOKUP(O26,'Chart 10 (2015)'!$B$49:$L$75,10,FALSE)</f>
        <v>2</v>
      </c>
      <c r="X26" s="758"/>
    </row>
    <row r="27" spans="1:24" ht="12">
      <c r="A27" s="306" t="str">
        <f>O27&amp;" 5 (n="&amp;VLOOKUP(O27,$O$3:$T$30,6,FALSE)&amp;")"</f>
        <v>Belford 5 (n=3)</v>
      </c>
      <c r="B27" s="307">
        <f t="shared" si="16"/>
        <v>0</v>
      </c>
      <c r="C27" s="307">
        <f t="shared" si="17"/>
        <v>0</v>
      </c>
      <c r="D27" s="308">
        <f>80</f>
        <v>80</v>
      </c>
      <c r="E27" s="16">
        <f t="shared" si="18"/>
        <v>0</v>
      </c>
      <c r="F27" s="308">
        <f t="shared" si="19"/>
        <v>56</v>
      </c>
      <c r="G27" s="308">
        <f t="shared" si="20"/>
        <v>0</v>
      </c>
      <c r="H27" s="308">
        <f t="shared" si="21"/>
        <v>56</v>
      </c>
      <c r="I27" s="314" t="str">
        <f t="shared" si="22"/>
        <v>0 - 56</v>
      </c>
      <c r="J27" s="310" t="str">
        <f t="shared" si="23"/>
        <v>0 - 56</v>
      </c>
      <c r="K27" s="311">
        <f t="shared" si="24"/>
        <v>0</v>
      </c>
      <c r="L27" s="320">
        <f t="shared" si="25"/>
        <v>0</v>
      </c>
      <c r="M27" s="320">
        <f t="shared" si="26"/>
        <v>0</v>
      </c>
      <c r="N27" s="313">
        <f t="shared" si="27"/>
        <v>0</v>
      </c>
      <c r="O27" s="306" t="str">
        <f t="shared" si="28"/>
        <v>Belford</v>
      </c>
      <c r="P27" s="306" t="s">
        <v>91</v>
      </c>
      <c r="Q27" s="425">
        <f>VLOOKUP(O27,'Chart 10 (2014)'!$B$47:$L$73,9,FALSE)+VLOOKUP(O27,'Chart 10 (2014)'!$B$47:$L$73,11,FALSE)</f>
        <v>0</v>
      </c>
      <c r="R27" s="425">
        <f>VLOOKUP(O27,'Chart 10 (2014)'!$B$47:$L$73,10,FALSE)</f>
        <v>3</v>
      </c>
      <c r="S27" s="425">
        <f>VLOOKUP(O27,'Chart 10 (2015)'!$B$49:$L$75,9,FALSE)+VLOOKUP(O27,'Chart 10 (2015)'!$B$49:$L$75,11,FALSE)</f>
        <v>0</v>
      </c>
      <c r="T27" s="425">
        <f>VLOOKUP(O27,'Chart 10 (2015)'!$B$49:$L$75,10,FALSE)</f>
        <v>3</v>
      </c>
      <c r="X27" s="758"/>
    </row>
    <row r="28" spans="1:24" ht="12">
      <c r="A28" s="306" t="str">
        <f>O28&amp;" 5 (n="&amp;VLOOKUP(O28,$O$3:$T$30,6,FALSE)&amp;")"</f>
        <v>L&amp;I 5 (n=3)</v>
      </c>
      <c r="B28" s="307">
        <f t="shared" si="16"/>
        <v>37.5</v>
      </c>
      <c r="C28" s="307">
        <f t="shared" si="17"/>
        <v>0</v>
      </c>
      <c r="D28" s="308">
        <f>80</f>
        <v>80</v>
      </c>
      <c r="E28" s="16">
        <f t="shared" si="18"/>
        <v>14</v>
      </c>
      <c r="F28" s="308">
        <f t="shared" si="19"/>
        <v>69</v>
      </c>
      <c r="G28" s="308">
        <f t="shared" si="20"/>
        <v>0</v>
      </c>
      <c r="H28" s="308">
        <f t="shared" si="21"/>
        <v>56</v>
      </c>
      <c r="I28" s="314" t="str">
        <f t="shared" si="22"/>
        <v>14 - 69</v>
      </c>
      <c r="J28" s="310" t="str">
        <f t="shared" si="23"/>
        <v>0 - 56</v>
      </c>
      <c r="K28" s="311">
        <f t="shared" si="24"/>
        <v>-37.5</v>
      </c>
      <c r="L28" s="320">
        <f t="shared" si="25"/>
        <v>-0.87372300967130845</v>
      </c>
      <c r="M28" s="320">
        <f t="shared" si="26"/>
        <v>0.1237230096713085</v>
      </c>
      <c r="N28" s="313">
        <f t="shared" si="27"/>
        <v>0</v>
      </c>
      <c r="O28" s="306" t="str">
        <f t="shared" si="28"/>
        <v>L&amp;I</v>
      </c>
      <c r="P28" s="306" t="s">
        <v>97</v>
      </c>
      <c r="Q28" s="425">
        <f>VLOOKUP(O28,'Chart 10 (2014)'!$B$47:$L$73,9,FALSE)+VLOOKUP(O28,'Chart 10 (2014)'!$B$47:$L$73,11,FALSE)</f>
        <v>3</v>
      </c>
      <c r="R28" s="425">
        <f>VLOOKUP(O28,'Chart 10 (2014)'!$B$47:$L$73,10,FALSE)</f>
        <v>8</v>
      </c>
      <c r="S28" s="425">
        <f>VLOOKUP(O28,'Chart 10 (2015)'!$B$49:$L$75,9,FALSE)+VLOOKUP(O28,'Chart 10 (2015)'!$B$49:$L$75,11,FALSE)</f>
        <v>0</v>
      </c>
      <c r="T28" s="425">
        <f>VLOOKUP(O28,'Chart 10 (2015)'!$B$49:$L$75,10,FALSE)</f>
        <v>3</v>
      </c>
      <c r="X28" s="758"/>
    </row>
    <row r="29" spans="1:24" ht="12">
      <c r="A29" s="306" t="str">
        <f>O29&amp;" 5 (n="&amp;VLOOKUP(O29,$O$3:$T$30,6,FALSE)&amp;")"</f>
        <v>Balfour 5 (n=2)</v>
      </c>
      <c r="B29" s="307">
        <f t="shared" si="16"/>
        <v>0</v>
      </c>
      <c r="C29" s="307">
        <f t="shared" si="17"/>
        <v>0</v>
      </c>
      <c r="D29" s="308">
        <f>80</f>
        <v>80</v>
      </c>
      <c r="E29" s="16">
        <f t="shared" si="18"/>
        <v>0</v>
      </c>
      <c r="F29" s="308">
        <f t="shared" si="19"/>
        <v>79</v>
      </c>
      <c r="G29" s="308">
        <f t="shared" si="20"/>
        <v>0</v>
      </c>
      <c r="H29" s="308">
        <f t="shared" si="21"/>
        <v>66</v>
      </c>
      <c r="I29" s="314" t="str">
        <f t="shared" si="22"/>
        <v>0 - 79</v>
      </c>
      <c r="J29" s="310" t="str">
        <f t="shared" si="23"/>
        <v>0 - 66</v>
      </c>
      <c r="K29" s="311">
        <f t="shared" si="24"/>
        <v>0</v>
      </c>
      <c r="L29" s="320">
        <f t="shared" si="25"/>
        <v>0</v>
      </c>
      <c r="M29" s="320">
        <f t="shared" si="26"/>
        <v>0</v>
      </c>
      <c r="N29" s="313">
        <f t="shared" si="27"/>
        <v>0</v>
      </c>
      <c r="O29" s="306" t="str">
        <f t="shared" si="28"/>
        <v>Balfour</v>
      </c>
      <c r="P29" s="306" t="s">
        <v>120</v>
      </c>
      <c r="Q29" s="425">
        <f>VLOOKUP(O29,'Chart 10 (2014)'!$B$47:$L$73,9,FALSE)+VLOOKUP(O29,'Chart 10 (2014)'!$B$47:$L$73,11,FALSE)</f>
        <v>0</v>
      </c>
      <c r="R29" s="425">
        <f>VLOOKUP(O29,'Chart 10 (2014)'!$B$47:$L$73,10,FALSE)</f>
        <v>1</v>
      </c>
      <c r="S29" s="425">
        <f>VLOOKUP(O29,'Chart 10 (2015)'!$B$49:$L$75,9,FALSE)+VLOOKUP(O29,'Chart 10 (2015)'!$B$49:$L$75,11,FALSE)</f>
        <v>0</v>
      </c>
      <c r="T29" s="425">
        <f>VLOOKUP(O29,'Chart 10 (2015)'!$B$49:$L$75,10,FALSE)</f>
        <v>2</v>
      </c>
      <c r="X29" s="758"/>
    </row>
    <row r="30" spans="1:24" ht="12">
      <c r="A30" s="306" t="str">
        <f>O30&amp;" 5 (n="&amp;VLOOKUP(O30,$O$3:$T$30,6,FALSE)&amp;")"</f>
        <v>Gilbert Bain 5 (n=2)</v>
      </c>
      <c r="B30" s="307">
        <f t="shared" si="16"/>
        <v>0</v>
      </c>
      <c r="C30" s="307">
        <f t="shared" si="17"/>
        <v>0</v>
      </c>
      <c r="D30" s="308">
        <f>80</f>
        <v>80</v>
      </c>
      <c r="E30" s="16">
        <f t="shared" si="18"/>
        <v>0</v>
      </c>
      <c r="F30" s="308">
        <f t="shared" si="19"/>
        <v>79</v>
      </c>
      <c r="G30" s="308">
        <f t="shared" si="20"/>
        <v>0</v>
      </c>
      <c r="H30" s="308">
        <f t="shared" si="21"/>
        <v>66</v>
      </c>
      <c r="I30" s="346" t="str">
        <f t="shared" si="22"/>
        <v>0 - 79</v>
      </c>
      <c r="J30" s="347" t="str">
        <f t="shared" si="23"/>
        <v>0 - 66</v>
      </c>
      <c r="K30" s="348">
        <f t="shared" si="24"/>
        <v>0</v>
      </c>
      <c r="L30" s="349">
        <f t="shared" si="25"/>
        <v>0</v>
      </c>
      <c r="M30" s="349">
        <f t="shared" si="26"/>
        <v>0</v>
      </c>
      <c r="N30" s="350">
        <f t="shared" si="27"/>
        <v>0</v>
      </c>
      <c r="O30" s="306" t="str">
        <f t="shared" si="28"/>
        <v>Gilbert Bain</v>
      </c>
      <c r="P30" s="306" t="s">
        <v>123</v>
      </c>
      <c r="Q30" s="425">
        <f>VLOOKUP(O30,'Chart 10 (2014)'!$B$47:$L$73,9,FALSE)+VLOOKUP(O30,'Chart 10 (2014)'!$B$47:$L$73,11,FALSE)</f>
        <v>0</v>
      </c>
      <c r="R30" s="425">
        <f>VLOOKUP(O30,'Chart 10 (2014)'!$B$47:$L$73,10,FALSE)</f>
        <v>1</v>
      </c>
      <c r="S30" s="425">
        <f>VLOOKUP(O30,'Chart 10 (2015)'!$B$49:$L$75,9,FALSE)+VLOOKUP(O30,'Chart 10 (2015)'!$B$49:$L$75,11,FALSE)</f>
        <v>0</v>
      </c>
      <c r="T30" s="425">
        <f>VLOOKUP(O30,'Chart 10 (2015)'!$B$49:$L$75,10,FALSE)</f>
        <v>2</v>
      </c>
      <c r="X30" s="758"/>
    </row>
    <row r="33" spans="15:23" ht="15">
      <c r="O33"/>
      <c r="P33"/>
      <c r="Q33"/>
      <c r="R33"/>
      <c r="S33"/>
      <c r="T33"/>
      <c r="U33"/>
      <c r="V33"/>
      <c r="W33"/>
    </row>
    <row r="34" spans="15:23" ht="15">
      <c r="O34"/>
      <c r="P34"/>
      <c r="Q34"/>
      <c r="R34"/>
      <c r="S34"/>
      <c r="T34"/>
      <c r="U34"/>
      <c r="V34"/>
      <c r="W34"/>
    </row>
    <row r="35" spans="15:23" ht="15">
      <c r="O35"/>
      <c r="P35"/>
      <c r="Q35"/>
      <c r="R35"/>
      <c r="S35"/>
      <c r="T35"/>
      <c r="U35"/>
      <c r="V35"/>
      <c r="W35"/>
    </row>
    <row r="36" spans="15:23" ht="15">
      <c r="O36"/>
      <c r="P36"/>
      <c r="Q36"/>
      <c r="R36"/>
      <c r="S36"/>
      <c r="T36"/>
      <c r="U36"/>
      <c r="V36"/>
      <c r="W36"/>
    </row>
    <row r="37" spans="15:23" ht="15">
      <c r="O37"/>
      <c r="P37"/>
      <c r="Q37"/>
      <c r="R37"/>
      <c r="S37"/>
      <c r="T37"/>
      <c r="U37"/>
      <c r="V37"/>
      <c r="W37"/>
    </row>
    <row r="38" spans="15:23" ht="15">
      <c r="O38"/>
      <c r="P38"/>
      <c r="Q38"/>
      <c r="R38"/>
      <c r="S38"/>
      <c r="T38"/>
      <c r="U38"/>
      <c r="V38"/>
      <c r="W38"/>
    </row>
    <row r="39" spans="15:23" ht="15">
      <c r="O39"/>
      <c r="P39"/>
      <c r="Q39"/>
      <c r="R39"/>
      <c r="S39"/>
      <c r="T39"/>
      <c r="U39"/>
      <c r="V39"/>
      <c r="W39"/>
    </row>
    <row r="40" spans="15:23" ht="15">
      <c r="O40"/>
      <c r="P40"/>
      <c r="Q40"/>
      <c r="R40"/>
      <c r="S40"/>
      <c r="T40"/>
      <c r="U40"/>
      <c r="V40"/>
      <c r="W40"/>
    </row>
    <row r="41" spans="15:23" ht="15">
      <c r="O41"/>
      <c r="P41"/>
      <c r="Q41"/>
      <c r="R41"/>
      <c r="S41"/>
      <c r="T41"/>
      <c r="U41"/>
      <c r="V41"/>
      <c r="W41"/>
    </row>
    <row r="42" spans="15:23" ht="15">
      <c r="O42"/>
      <c r="P42"/>
      <c r="Q42"/>
      <c r="R42"/>
      <c r="S42"/>
      <c r="T42"/>
      <c r="U42"/>
      <c r="V42"/>
      <c r="W42"/>
    </row>
    <row r="43" spans="15:23" ht="15">
      <c r="O43"/>
      <c r="P43"/>
      <c r="Q43"/>
      <c r="R43"/>
      <c r="S43"/>
      <c r="T43"/>
      <c r="U43"/>
      <c r="V43"/>
      <c r="W43"/>
    </row>
    <row r="44" spans="15:23" ht="15">
      <c r="O44"/>
      <c r="P44"/>
      <c r="Q44"/>
      <c r="R44"/>
      <c r="S44"/>
      <c r="T44"/>
      <c r="U44"/>
      <c r="V44"/>
      <c r="W44"/>
    </row>
    <row r="45" spans="15:23" ht="15">
      <c r="O45"/>
      <c r="P45"/>
      <c r="Q45"/>
      <c r="R45"/>
      <c r="S45"/>
      <c r="T45"/>
      <c r="U45"/>
      <c r="V45"/>
      <c r="W45"/>
    </row>
    <row r="46" spans="15:23" ht="15">
      <c r="O46"/>
      <c r="P46"/>
      <c r="Q46"/>
      <c r="R46"/>
      <c r="S46"/>
      <c r="T46"/>
      <c r="U46"/>
      <c r="V46"/>
      <c r="W46"/>
    </row>
    <row r="47" spans="15:23" ht="15">
      <c r="O47"/>
      <c r="P47"/>
      <c r="Q47"/>
      <c r="R47"/>
      <c r="S47"/>
      <c r="T47"/>
      <c r="U47"/>
      <c r="V47"/>
      <c r="W47"/>
    </row>
    <row r="48" spans="15:23" ht="15">
      <c r="O48"/>
      <c r="P48"/>
      <c r="Q48"/>
      <c r="R48"/>
      <c r="S48"/>
      <c r="T48"/>
      <c r="U48"/>
      <c r="V48"/>
      <c r="W48"/>
    </row>
    <row r="49" spans="15:23" ht="15">
      <c r="O49"/>
      <c r="P49"/>
      <c r="Q49"/>
      <c r="R49"/>
      <c r="S49"/>
      <c r="T49"/>
      <c r="U49"/>
      <c r="V49"/>
      <c r="W49"/>
    </row>
    <row r="50" spans="15:23" ht="15">
      <c r="O50"/>
      <c r="P50"/>
      <c r="Q50"/>
      <c r="R50"/>
      <c r="S50"/>
      <c r="T50"/>
      <c r="U50"/>
      <c r="V50"/>
      <c r="W50"/>
    </row>
    <row r="51" spans="15:23" ht="15">
      <c r="O51"/>
      <c r="P51"/>
      <c r="Q51"/>
      <c r="R51"/>
      <c r="S51"/>
      <c r="T51"/>
      <c r="U51"/>
      <c r="V51"/>
      <c r="W51"/>
    </row>
    <row r="52" spans="15:23" ht="15">
      <c r="O52"/>
      <c r="P52"/>
      <c r="Q52"/>
      <c r="R52"/>
      <c r="S52"/>
      <c r="T52"/>
      <c r="U52"/>
      <c r="V52"/>
      <c r="W52"/>
    </row>
    <row r="53" spans="15:23" ht="15">
      <c r="O53"/>
      <c r="P53"/>
      <c r="Q53"/>
      <c r="R53"/>
      <c r="S53"/>
      <c r="T53"/>
      <c r="U53"/>
      <c r="V53"/>
      <c r="W53"/>
    </row>
    <row r="54" spans="15:23" ht="15">
      <c r="O54"/>
      <c r="P54"/>
      <c r="Q54"/>
      <c r="R54"/>
      <c r="S54"/>
      <c r="T54"/>
      <c r="U54"/>
      <c r="V54"/>
      <c r="W54"/>
    </row>
    <row r="55" spans="15:23" ht="15">
      <c r="O55"/>
      <c r="P55"/>
      <c r="Q55"/>
      <c r="R55"/>
      <c r="S55"/>
      <c r="T55"/>
      <c r="U55"/>
      <c r="V55"/>
      <c r="W55"/>
    </row>
    <row r="56" spans="15:23" ht="15">
      <c r="O56"/>
      <c r="P56"/>
      <c r="Q56"/>
      <c r="R56"/>
      <c r="S56"/>
      <c r="T56"/>
      <c r="U56"/>
      <c r="V56"/>
      <c r="W56"/>
    </row>
    <row r="57" spans="15:23" ht="15">
      <c r="O57"/>
      <c r="P57"/>
      <c r="Q57"/>
      <c r="R57"/>
      <c r="S57"/>
      <c r="T57"/>
      <c r="U57"/>
      <c r="V57"/>
      <c r="W57"/>
    </row>
    <row r="58" spans="15:23" ht="15">
      <c r="O58"/>
      <c r="P58"/>
      <c r="Q58"/>
      <c r="R58"/>
      <c r="S58"/>
      <c r="T58"/>
      <c r="U58"/>
      <c r="V58"/>
      <c r="W58"/>
    </row>
    <row r="59" spans="15:23" ht="15">
      <c r="O59"/>
      <c r="P59"/>
      <c r="Q59"/>
      <c r="R59"/>
      <c r="S59"/>
      <c r="T59"/>
      <c r="U59"/>
      <c r="V59"/>
      <c r="W59"/>
    </row>
    <row r="60" spans="15:23" ht="15">
      <c r="O60"/>
      <c r="P60"/>
      <c r="Q60"/>
      <c r="R60"/>
      <c r="S60"/>
      <c r="T60"/>
      <c r="U60"/>
      <c r="V60"/>
      <c r="W60"/>
    </row>
  </sheetData>
  <sheetProtection password="B8D9" sheet="1" objects="1" scenarios="1"/>
  <sortState ref="A4:T30">
    <sortCondition descending="1" ref="C4:C30"/>
  </sortState>
  <mergeCells count="7">
    <mergeCell ref="A1:A2"/>
    <mergeCell ref="B1:H1"/>
    <mergeCell ref="O1:P1"/>
    <mergeCell ref="Q1:R1"/>
    <mergeCell ref="S1:T1"/>
    <mergeCell ref="E2:F2"/>
    <mergeCell ref="G2:H2"/>
  </mergeCells>
  <printOptions horizontalCentered="1"/>
  <pageMargins left="0" right="0" top="0.74803149606299213" bottom="0.74803149606299213" header="0.31496062992125984" footer="0.31496062992125984"/>
  <pageSetup paperSize="9" scale="68" orientation="landscape" r:id="rId1"/>
  <headerFooter alignWithMargins="0">
    <oddHeader>&amp;LChart 9 DATA
Percentage of patients with door-to-needle times for thrombolysis within 1 hour, 2014 and 2015 data.</oddHeader>
    <oddFooter>&amp;L&amp;8Scottish Stroke Care Audit 2016 National Report
Stroke Services in Scottish Hospitals, Data relating to 2015&amp;R&amp;8© NHS National Services Scotland/Crown Copyright</oddFooter>
  </headerFooter>
</worksheet>
</file>

<file path=xl/worksheets/sheet52.xml><?xml version="1.0" encoding="utf-8"?>
<worksheet xmlns="http://schemas.openxmlformats.org/spreadsheetml/2006/main" xmlns:r="http://schemas.openxmlformats.org/officeDocument/2006/relationships">
  <sheetPr codeName="Sheet69">
    <pageSetUpPr fitToPage="1"/>
  </sheetPr>
  <dimension ref="A1:S105"/>
  <sheetViews>
    <sheetView showGridLines="0" zoomScaleNormal="100" workbookViewId="0">
      <pane ySplit="5" topLeftCell="A6" activePane="bottomLeft" state="frozen"/>
      <selection activeCell="B38" sqref="B38:J38"/>
      <selection pane="bottomLeft" activeCell="A6" sqref="A6"/>
    </sheetView>
  </sheetViews>
  <sheetFormatPr defaultRowHeight="12.75"/>
  <cols>
    <col min="1" max="1" width="1.7109375" style="463" customWidth="1"/>
    <col min="2" max="2" width="16.7109375" style="463" customWidth="1"/>
    <col min="3" max="3" width="45.7109375" style="463" customWidth="1"/>
    <col min="4" max="6" width="10.7109375" style="462" customWidth="1"/>
    <col min="7" max="9" width="1.7109375" style="462" customWidth="1"/>
    <col min="10" max="10" width="9.28515625" style="462" customWidth="1"/>
    <col min="11" max="11" width="11.28515625" style="463" customWidth="1"/>
    <col min="12" max="12" width="9.28515625" style="463" customWidth="1"/>
    <col min="13" max="13" width="11.28515625" style="463" customWidth="1"/>
    <col min="14" max="14" width="9.28515625" style="463" customWidth="1"/>
    <col min="15" max="15" width="11.28515625" style="463" customWidth="1"/>
    <col min="16" max="256" width="9.140625" style="463"/>
    <col min="257" max="257" width="1.7109375" style="463" customWidth="1"/>
    <col min="258" max="258" width="16.7109375" style="463" customWidth="1"/>
    <col min="259" max="259" width="45.7109375" style="463" customWidth="1"/>
    <col min="260" max="262" width="10.7109375" style="463" customWidth="1"/>
    <col min="263" max="265" width="1.7109375" style="463" customWidth="1"/>
    <col min="266" max="266" width="9.28515625" style="463" customWidth="1"/>
    <col min="267" max="267" width="11.28515625" style="463" customWidth="1"/>
    <col min="268" max="268" width="9.28515625" style="463" customWidth="1"/>
    <col min="269" max="269" width="11.28515625" style="463" customWidth="1"/>
    <col min="270" max="270" width="9.28515625" style="463" customWidth="1"/>
    <col min="271" max="271" width="11.28515625" style="463" customWidth="1"/>
    <col min="272" max="512" width="9.140625" style="463"/>
    <col min="513" max="513" width="1.7109375" style="463" customWidth="1"/>
    <col min="514" max="514" width="16.7109375" style="463" customWidth="1"/>
    <col min="515" max="515" width="45.7109375" style="463" customWidth="1"/>
    <col min="516" max="518" width="10.7109375" style="463" customWidth="1"/>
    <col min="519" max="521" width="1.7109375" style="463" customWidth="1"/>
    <col min="522" max="522" width="9.28515625" style="463" customWidth="1"/>
    <col min="523" max="523" width="11.28515625" style="463" customWidth="1"/>
    <col min="524" max="524" width="9.28515625" style="463" customWidth="1"/>
    <col min="525" max="525" width="11.28515625" style="463" customWidth="1"/>
    <col min="526" max="526" width="9.28515625" style="463" customWidth="1"/>
    <col min="527" max="527" width="11.28515625" style="463" customWidth="1"/>
    <col min="528" max="768" width="9.140625" style="463"/>
    <col min="769" max="769" width="1.7109375" style="463" customWidth="1"/>
    <col min="770" max="770" width="16.7109375" style="463" customWidth="1"/>
    <col min="771" max="771" width="45.7109375" style="463" customWidth="1"/>
    <col min="772" max="774" width="10.7109375" style="463" customWidth="1"/>
    <col min="775" max="777" width="1.7109375" style="463" customWidth="1"/>
    <col min="778" max="778" width="9.28515625" style="463" customWidth="1"/>
    <col min="779" max="779" width="11.28515625" style="463" customWidth="1"/>
    <col min="780" max="780" width="9.28515625" style="463" customWidth="1"/>
    <col min="781" max="781" width="11.28515625" style="463" customWidth="1"/>
    <col min="782" max="782" width="9.28515625" style="463" customWidth="1"/>
    <col min="783" max="783" width="11.28515625" style="463" customWidth="1"/>
    <col min="784" max="1024" width="9.140625" style="463"/>
    <col min="1025" max="1025" width="1.7109375" style="463" customWidth="1"/>
    <col min="1026" max="1026" width="16.7109375" style="463" customWidth="1"/>
    <col min="1027" max="1027" width="45.7109375" style="463" customWidth="1"/>
    <col min="1028" max="1030" width="10.7109375" style="463" customWidth="1"/>
    <col min="1031" max="1033" width="1.7109375" style="463" customWidth="1"/>
    <col min="1034" max="1034" width="9.28515625" style="463" customWidth="1"/>
    <col min="1035" max="1035" width="11.28515625" style="463" customWidth="1"/>
    <col min="1036" max="1036" width="9.28515625" style="463" customWidth="1"/>
    <col min="1037" max="1037" width="11.28515625" style="463" customWidth="1"/>
    <col min="1038" max="1038" width="9.28515625" style="463" customWidth="1"/>
    <col min="1039" max="1039" width="11.28515625" style="463" customWidth="1"/>
    <col min="1040" max="1280" width="9.140625" style="463"/>
    <col min="1281" max="1281" width="1.7109375" style="463" customWidth="1"/>
    <col min="1282" max="1282" width="16.7109375" style="463" customWidth="1"/>
    <col min="1283" max="1283" width="45.7109375" style="463" customWidth="1"/>
    <col min="1284" max="1286" width="10.7109375" style="463" customWidth="1"/>
    <col min="1287" max="1289" width="1.7109375" style="463" customWidth="1"/>
    <col min="1290" max="1290" width="9.28515625" style="463" customWidth="1"/>
    <col min="1291" max="1291" width="11.28515625" style="463" customWidth="1"/>
    <col min="1292" max="1292" width="9.28515625" style="463" customWidth="1"/>
    <col min="1293" max="1293" width="11.28515625" style="463" customWidth="1"/>
    <col min="1294" max="1294" width="9.28515625" style="463" customWidth="1"/>
    <col min="1295" max="1295" width="11.28515625" style="463" customWidth="1"/>
    <col min="1296" max="1536" width="9.140625" style="463"/>
    <col min="1537" max="1537" width="1.7109375" style="463" customWidth="1"/>
    <col min="1538" max="1538" width="16.7109375" style="463" customWidth="1"/>
    <col min="1539" max="1539" width="45.7109375" style="463" customWidth="1"/>
    <col min="1540" max="1542" width="10.7109375" style="463" customWidth="1"/>
    <col min="1543" max="1545" width="1.7109375" style="463" customWidth="1"/>
    <col min="1546" max="1546" width="9.28515625" style="463" customWidth="1"/>
    <col min="1547" max="1547" width="11.28515625" style="463" customWidth="1"/>
    <col min="1548" max="1548" width="9.28515625" style="463" customWidth="1"/>
    <col min="1549" max="1549" width="11.28515625" style="463" customWidth="1"/>
    <col min="1550" max="1550" width="9.28515625" style="463" customWidth="1"/>
    <col min="1551" max="1551" width="11.28515625" style="463" customWidth="1"/>
    <col min="1552" max="1792" width="9.140625" style="463"/>
    <col min="1793" max="1793" width="1.7109375" style="463" customWidth="1"/>
    <col min="1794" max="1794" width="16.7109375" style="463" customWidth="1"/>
    <col min="1795" max="1795" width="45.7109375" style="463" customWidth="1"/>
    <col min="1796" max="1798" width="10.7109375" style="463" customWidth="1"/>
    <col min="1799" max="1801" width="1.7109375" style="463" customWidth="1"/>
    <col min="1802" max="1802" width="9.28515625" style="463" customWidth="1"/>
    <col min="1803" max="1803" width="11.28515625" style="463" customWidth="1"/>
    <col min="1804" max="1804" width="9.28515625" style="463" customWidth="1"/>
    <col min="1805" max="1805" width="11.28515625" style="463" customWidth="1"/>
    <col min="1806" max="1806" width="9.28515625" style="463" customWidth="1"/>
    <col min="1807" max="1807" width="11.28515625" style="463" customWidth="1"/>
    <col min="1808" max="2048" width="9.140625" style="463"/>
    <col min="2049" max="2049" width="1.7109375" style="463" customWidth="1"/>
    <col min="2050" max="2050" width="16.7109375" style="463" customWidth="1"/>
    <col min="2051" max="2051" width="45.7109375" style="463" customWidth="1"/>
    <col min="2052" max="2054" width="10.7109375" style="463" customWidth="1"/>
    <col min="2055" max="2057" width="1.7109375" style="463" customWidth="1"/>
    <col min="2058" max="2058" width="9.28515625" style="463" customWidth="1"/>
    <col min="2059" max="2059" width="11.28515625" style="463" customWidth="1"/>
    <col min="2060" max="2060" width="9.28515625" style="463" customWidth="1"/>
    <col min="2061" max="2061" width="11.28515625" style="463" customWidth="1"/>
    <col min="2062" max="2062" width="9.28515625" style="463" customWidth="1"/>
    <col min="2063" max="2063" width="11.28515625" style="463" customWidth="1"/>
    <col min="2064" max="2304" width="9.140625" style="463"/>
    <col min="2305" max="2305" width="1.7109375" style="463" customWidth="1"/>
    <col min="2306" max="2306" width="16.7109375" style="463" customWidth="1"/>
    <col min="2307" max="2307" width="45.7109375" style="463" customWidth="1"/>
    <col min="2308" max="2310" width="10.7109375" style="463" customWidth="1"/>
    <col min="2311" max="2313" width="1.7109375" style="463" customWidth="1"/>
    <col min="2314" max="2314" width="9.28515625" style="463" customWidth="1"/>
    <col min="2315" max="2315" width="11.28515625" style="463" customWidth="1"/>
    <col min="2316" max="2316" width="9.28515625" style="463" customWidth="1"/>
    <col min="2317" max="2317" width="11.28515625" style="463" customWidth="1"/>
    <col min="2318" max="2318" width="9.28515625" style="463" customWidth="1"/>
    <col min="2319" max="2319" width="11.28515625" style="463" customWidth="1"/>
    <col min="2320" max="2560" width="9.140625" style="463"/>
    <col min="2561" max="2561" width="1.7109375" style="463" customWidth="1"/>
    <col min="2562" max="2562" width="16.7109375" style="463" customWidth="1"/>
    <col min="2563" max="2563" width="45.7109375" style="463" customWidth="1"/>
    <col min="2564" max="2566" width="10.7109375" style="463" customWidth="1"/>
    <col min="2567" max="2569" width="1.7109375" style="463" customWidth="1"/>
    <col min="2570" max="2570" width="9.28515625" style="463" customWidth="1"/>
    <col min="2571" max="2571" width="11.28515625" style="463" customWidth="1"/>
    <col min="2572" max="2572" width="9.28515625" style="463" customWidth="1"/>
    <col min="2573" max="2573" width="11.28515625" style="463" customWidth="1"/>
    <col min="2574" max="2574" width="9.28515625" style="463" customWidth="1"/>
    <col min="2575" max="2575" width="11.28515625" style="463" customWidth="1"/>
    <col min="2576" max="2816" width="9.140625" style="463"/>
    <col min="2817" max="2817" width="1.7109375" style="463" customWidth="1"/>
    <col min="2818" max="2818" width="16.7109375" style="463" customWidth="1"/>
    <col min="2819" max="2819" width="45.7109375" style="463" customWidth="1"/>
    <col min="2820" max="2822" width="10.7109375" style="463" customWidth="1"/>
    <col min="2823" max="2825" width="1.7109375" style="463" customWidth="1"/>
    <col min="2826" max="2826" width="9.28515625" style="463" customWidth="1"/>
    <col min="2827" max="2827" width="11.28515625" style="463" customWidth="1"/>
    <col min="2828" max="2828" width="9.28515625" style="463" customWidth="1"/>
    <col min="2829" max="2829" width="11.28515625" style="463" customWidth="1"/>
    <col min="2830" max="2830" width="9.28515625" style="463" customWidth="1"/>
    <col min="2831" max="2831" width="11.28515625" style="463" customWidth="1"/>
    <col min="2832" max="3072" width="9.140625" style="463"/>
    <col min="3073" max="3073" width="1.7109375" style="463" customWidth="1"/>
    <col min="3074" max="3074" width="16.7109375" style="463" customWidth="1"/>
    <col min="3075" max="3075" width="45.7109375" style="463" customWidth="1"/>
    <col min="3076" max="3078" width="10.7109375" style="463" customWidth="1"/>
    <col min="3079" max="3081" width="1.7109375" style="463" customWidth="1"/>
    <col min="3082" max="3082" width="9.28515625" style="463" customWidth="1"/>
    <col min="3083" max="3083" width="11.28515625" style="463" customWidth="1"/>
    <col min="3084" max="3084" width="9.28515625" style="463" customWidth="1"/>
    <col min="3085" max="3085" width="11.28515625" style="463" customWidth="1"/>
    <col min="3086" max="3086" width="9.28515625" style="463" customWidth="1"/>
    <col min="3087" max="3087" width="11.28515625" style="463" customWidth="1"/>
    <col min="3088" max="3328" width="9.140625" style="463"/>
    <col min="3329" max="3329" width="1.7109375" style="463" customWidth="1"/>
    <col min="3330" max="3330" width="16.7109375" style="463" customWidth="1"/>
    <col min="3331" max="3331" width="45.7109375" style="463" customWidth="1"/>
    <col min="3332" max="3334" width="10.7109375" style="463" customWidth="1"/>
    <col min="3335" max="3337" width="1.7109375" style="463" customWidth="1"/>
    <col min="3338" max="3338" width="9.28515625" style="463" customWidth="1"/>
    <col min="3339" max="3339" width="11.28515625" style="463" customWidth="1"/>
    <col min="3340" max="3340" width="9.28515625" style="463" customWidth="1"/>
    <col min="3341" max="3341" width="11.28515625" style="463" customWidth="1"/>
    <col min="3342" max="3342" width="9.28515625" style="463" customWidth="1"/>
    <col min="3343" max="3343" width="11.28515625" style="463" customWidth="1"/>
    <col min="3344" max="3584" width="9.140625" style="463"/>
    <col min="3585" max="3585" width="1.7109375" style="463" customWidth="1"/>
    <col min="3586" max="3586" width="16.7109375" style="463" customWidth="1"/>
    <col min="3587" max="3587" width="45.7109375" style="463" customWidth="1"/>
    <col min="3588" max="3590" width="10.7109375" style="463" customWidth="1"/>
    <col min="3591" max="3593" width="1.7109375" style="463" customWidth="1"/>
    <col min="3594" max="3594" width="9.28515625" style="463" customWidth="1"/>
    <col min="3595" max="3595" width="11.28515625" style="463" customWidth="1"/>
    <col min="3596" max="3596" width="9.28515625" style="463" customWidth="1"/>
    <col min="3597" max="3597" width="11.28515625" style="463" customWidth="1"/>
    <col min="3598" max="3598" width="9.28515625" style="463" customWidth="1"/>
    <col min="3599" max="3599" width="11.28515625" style="463" customWidth="1"/>
    <col min="3600" max="3840" width="9.140625" style="463"/>
    <col min="3841" max="3841" width="1.7109375" style="463" customWidth="1"/>
    <col min="3842" max="3842" width="16.7109375" style="463" customWidth="1"/>
    <col min="3843" max="3843" width="45.7109375" style="463" customWidth="1"/>
    <col min="3844" max="3846" width="10.7109375" style="463" customWidth="1"/>
    <col min="3847" max="3849" width="1.7109375" style="463" customWidth="1"/>
    <col min="3850" max="3850" width="9.28515625" style="463" customWidth="1"/>
    <col min="3851" max="3851" width="11.28515625" style="463" customWidth="1"/>
    <col min="3852" max="3852" width="9.28515625" style="463" customWidth="1"/>
    <col min="3853" max="3853" width="11.28515625" style="463" customWidth="1"/>
    <col min="3854" max="3854" width="9.28515625" style="463" customWidth="1"/>
    <col min="3855" max="3855" width="11.28515625" style="463" customWidth="1"/>
    <col min="3856" max="4096" width="9.140625" style="463"/>
    <col min="4097" max="4097" width="1.7109375" style="463" customWidth="1"/>
    <col min="4098" max="4098" width="16.7109375" style="463" customWidth="1"/>
    <col min="4099" max="4099" width="45.7109375" style="463" customWidth="1"/>
    <col min="4100" max="4102" width="10.7109375" style="463" customWidth="1"/>
    <col min="4103" max="4105" width="1.7109375" style="463" customWidth="1"/>
    <col min="4106" max="4106" width="9.28515625" style="463" customWidth="1"/>
    <col min="4107" max="4107" width="11.28515625" style="463" customWidth="1"/>
    <col min="4108" max="4108" width="9.28515625" style="463" customWidth="1"/>
    <col min="4109" max="4109" width="11.28515625" style="463" customWidth="1"/>
    <col min="4110" max="4110" width="9.28515625" style="463" customWidth="1"/>
    <col min="4111" max="4111" width="11.28515625" style="463" customWidth="1"/>
    <col min="4112" max="4352" width="9.140625" style="463"/>
    <col min="4353" max="4353" width="1.7109375" style="463" customWidth="1"/>
    <col min="4354" max="4354" width="16.7109375" style="463" customWidth="1"/>
    <col min="4355" max="4355" width="45.7109375" style="463" customWidth="1"/>
    <col min="4356" max="4358" width="10.7109375" style="463" customWidth="1"/>
    <col min="4359" max="4361" width="1.7109375" style="463" customWidth="1"/>
    <col min="4362" max="4362" width="9.28515625" style="463" customWidth="1"/>
    <col min="4363" max="4363" width="11.28515625" style="463" customWidth="1"/>
    <col min="4364" max="4364" width="9.28515625" style="463" customWidth="1"/>
    <col min="4365" max="4365" width="11.28515625" style="463" customWidth="1"/>
    <col min="4366" max="4366" width="9.28515625" style="463" customWidth="1"/>
    <col min="4367" max="4367" width="11.28515625" style="463" customWidth="1"/>
    <col min="4368" max="4608" width="9.140625" style="463"/>
    <col min="4609" max="4609" width="1.7109375" style="463" customWidth="1"/>
    <col min="4610" max="4610" width="16.7109375" style="463" customWidth="1"/>
    <col min="4611" max="4611" width="45.7109375" style="463" customWidth="1"/>
    <col min="4612" max="4614" width="10.7109375" style="463" customWidth="1"/>
    <col min="4615" max="4617" width="1.7109375" style="463" customWidth="1"/>
    <col min="4618" max="4618" width="9.28515625" style="463" customWidth="1"/>
    <col min="4619" max="4619" width="11.28515625" style="463" customWidth="1"/>
    <col min="4620" max="4620" width="9.28515625" style="463" customWidth="1"/>
    <col min="4621" max="4621" width="11.28515625" style="463" customWidth="1"/>
    <col min="4622" max="4622" width="9.28515625" style="463" customWidth="1"/>
    <col min="4623" max="4623" width="11.28515625" style="463" customWidth="1"/>
    <col min="4624" max="4864" width="9.140625" style="463"/>
    <col min="4865" max="4865" width="1.7109375" style="463" customWidth="1"/>
    <col min="4866" max="4866" width="16.7109375" style="463" customWidth="1"/>
    <col min="4867" max="4867" width="45.7109375" style="463" customWidth="1"/>
    <col min="4868" max="4870" width="10.7109375" style="463" customWidth="1"/>
    <col min="4871" max="4873" width="1.7109375" style="463" customWidth="1"/>
    <col min="4874" max="4874" width="9.28515625" style="463" customWidth="1"/>
    <col min="4875" max="4875" width="11.28515625" style="463" customWidth="1"/>
    <col min="4876" max="4876" width="9.28515625" style="463" customWidth="1"/>
    <col min="4877" max="4877" width="11.28515625" style="463" customWidth="1"/>
    <col min="4878" max="4878" width="9.28515625" style="463" customWidth="1"/>
    <col min="4879" max="4879" width="11.28515625" style="463" customWidth="1"/>
    <col min="4880" max="5120" width="9.140625" style="463"/>
    <col min="5121" max="5121" width="1.7109375" style="463" customWidth="1"/>
    <col min="5122" max="5122" width="16.7109375" style="463" customWidth="1"/>
    <col min="5123" max="5123" width="45.7109375" style="463" customWidth="1"/>
    <col min="5124" max="5126" width="10.7109375" style="463" customWidth="1"/>
    <col min="5127" max="5129" width="1.7109375" style="463" customWidth="1"/>
    <col min="5130" max="5130" width="9.28515625" style="463" customWidth="1"/>
    <col min="5131" max="5131" width="11.28515625" style="463" customWidth="1"/>
    <col min="5132" max="5132" width="9.28515625" style="463" customWidth="1"/>
    <col min="5133" max="5133" width="11.28515625" style="463" customWidth="1"/>
    <col min="5134" max="5134" width="9.28515625" style="463" customWidth="1"/>
    <col min="5135" max="5135" width="11.28515625" style="463" customWidth="1"/>
    <col min="5136" max="5376" width="9.140625" style="463"/>
    <col min="5377" max="5377" width="1.7109375" style="463" customWidth="1"/>
    <col min="5378" max="5378" width="16.7109375" style="463" customWidth="1"/>
    <col min="5379" max="5379" width="45.7109375" style="463" customWidth="1"/>
    <col min="5380" max="5382" width="10.7109375" style="463" customWidth="1"/>
    <col min="5383" max="5385" width="1.7109375" style="463" customWidth="1"/>
    <col min="5386" max="5386" width="9.28515625" style="463" customWidth="1"/>
    <col min="5387" max="5387" width="11.28515625" style="463" customWidth="1"/>
    <col min="5388" max="5388" width="9.28515625" style="463" customWidth="1"/>
    <col min="5389" max="5389" width="11.28515625" style="463" customWidth="1"/>
    <col min="5390" max="5390" width="9.28515625" style="463" customWidth="1"/>
    <col min="5391" max="5391" width="11.28515625" style="463" customWidth="1"/>
    <col min="5392" max="5632" width="9.140625" style="463"/>
    <col min="5633" max="5633" width="1.7109375" style="463" customWidth="1"/>
    <col min="5634" max="5634" width="16.7109375" style="463" customWidth="1"/>
    <col min="5635" max="5635" width="45.7109375" style="463" customWidth="1"/>
    <col min="5636" max="5638" width="10.7109375" style="463" customWidth="1"/>
    <col min="5639" max="5641" width="1.7109375" style="463" customWidth="1"/>
    <col min="5642" max="5642" width="9.28515625" style="463" customWidth="1"/>
    <col min="5643" max="5643" width="11.28515625" style="463" customWidth="1"/>
    <col min="5644" max="5644" width="9.28515625" style="463" customWidth="1"/>
    <col min="5645" max="5645" width="11.28515625" style="463" customWidth="1"/>
    <col min="5646" max="5646" width="9.28515625" style="463" customWidth="1"/>
    <col min="5647" max="5647" width="11.28515625" style="463" customWidth="1"/>
    <col min="5648" max="5888" width="9.140625" style="463"/>
    <col min="5889" max="5889" width="1.7109375" style="463" customWidth="1"/>
    <col min="5890" max="5890" width="16.7109375" style="463" customWidth="1"/>
    <col min="5891" max="5891" width="45.7109375" style="463" customWidth="1"/>
    <col min="5892" max="5894" width="10.7109375" style="463" customWidth="1"/>
    <col min="5895" max="5897" width="1.7109375" style="463" customWidth="1"/>
    <col min="5898" max="5898" width="9.28515625" style="463" customWidth="1"/>
    <col min="5899" max="5899" width="11.28515625" style="463" customWidth="1"/>
    <col min="5900" max="5900" width="9.28515625" style="463" customWidth="1"/>
    <col min="5901" max="5901" width="11.28515625" style="463" customWidth="1"/>
    <col min="5902" max="5902" width="9.28515625" style="463" customWidth="1"/>
    <col min="5903" max="5903" width="11.28515625" style="463" customWidth="1"/>
    <col min="5904" max="6144" width="9.140625" style="463"/>
    <col min="6145" max="6145" width="1.7109375" style="463" customWidth="1"/>
    <col min="6146" max="6146" width="16.7109375" style="463" customWidth="1"/>
    <col min="6147" max="6147" width="45.7109375" style="463" customWidth="1"/>
    <col min="6148" max="6150" width="10.7109375" style="463" customWidth="1"/>
    <col min="6151" max="6153" width="1.7109375" style="463" customWidth="1"/>
    <col min="6154" max="6154" width="9.28515625" style="463" customWidth="1"/>
    <col min="6155" max="6155" width="11.28515625" style="463" customWidth="1"/>
    <col min="6156" max="6156" width="9.28515625" style="463" customWidth="1"/>
    <col min="6157" max="6157" width="11.28515625" style="463" customWidth="1"/>
    <col min="6158" max="6158" width="9.28515625" style="463" customWidth="1"/>
    <col min="6159" max="6159" width="11.28515625" style="463" customWidth="1"/>
    <col min="6160" max="6400" width="9.140625" style="463"/>
    <col min="6401" max="6401" width="1.7109375" style="463" customWidth="1"/>
    <col min="6402" max="6402" width="16.7109375" style="463" customWidth="1"/>
    <col min="6403" max="6403" width="45.7109375" style="463" customWidth="1"/>
    <col min="6404" max="6406" width="10.7109375" style="463" customWidth="1"/>
    <col min="6407" max="6409" width="1.7109375" style="463" customWidth="1"/>
    <col min="6410" max="6410" width="9.28515625" style="463" customWidth="1"/>
    <col min="6411" max="6411" width="11.28515625" style="463" customWidth="1"/>
    <col min="6412" max="6412" width="9.28515625" style="463" customWidth="1"/>
    <col min="6413" max="6413" width="11.28515625" style="463" customWidth="1"/>
    <col min="6414" max="6414" width="9.28515625" style="463" customWidth="1"/>
    <col min="6415" max="6415" width="11.28515625" style="463" customWidth="1"/>
    <col min="6416" max="6656" width="9.140625" style="463"/>
    <col min="6657" max="6657" width="1.7109375" style="463" customWidth="1"/>
    <col min="6658" max="6658" width="16.7109375" style="463" customWidth="1"/>
    <col min="6659" max="6659" width="45.7109375" style="463" customWidth="1"/>
    <col min="6660" max="6662" width="10.7109375" style="463" customWidth="1"/>
    <col min="6663" max="6665" width="1.7109375" style="463" customWidth="1"/>
    <col min="6666" max="6666" width="9.28515625" style="463" customWidth="1"/>
    <col min="6667" max="6667" width="11.28515625" style="463" customWidth="1"/>
    <col min="6668" max="6668" width="9.28515625" style="463" customWidth="1"/>
    <col min="6669" max="6669" width="11.28515625" style="463" customWidth="1"/>
    <col min="6670" max="6670" width="9.28515625" style="463" customWidth="1"/>
    <col min="6671" max="6671" width="11.28515625" style="463" customWidth="1"/>
    <col min="6672" max="6912" width="9.140625" style="463"/>
    <col min="6913" max="6913" width="1.7109375" style="463" customWidth="1"/>
    <col min="6914" max="6914" width="16.7109375" style="463" customWidth="1"/>
    <col min="6915" max="6915" width="45.7109375" style="463" customWidth="1"/>
    <col min="6916" max="6918" width="10.7109375" style="463" customWidth="1"/>
    <col min="6919" max="6921" width="1.7109375" style="463" customWidth="1"/>
    <col min="6922" max="6922" width="9.28515625" style="463" customWidth="1"/>
    <col min="6923" max="6923" width="11.28515625" style="463" customWidth="1"/>
    <col min="6924" max="6924" width="9.28515625" style="463" customWidth="1"/>
    <col min="6925" max="6925" width="11.28515625" style="463" customWidth="1"/>
    <col min="6926" max="6926" width="9.28515625" style="463" customWidth="1"/>
    <col min="6927" max="6927" width="11.28515625" style="463" customWidth="1"/>
    <col min="6928" max="7168" width="9.140625" style="463"/>
    <col min="7169" max="7169" width="1.7109375" style="463" customWidth="1"/>
    <col min="7170" max="7170" width="16.7109375" style="463" customWidth="1"/>
    <col min="7171" max="7171" width="45.7109375" style="463" customWidth="1"/>
    <col min="7172" max="7174" width="10.7109375" style="463" customWidth="1"/>
    <col min="7175" max="7177" width="1.7109375" style="463" customWidth="1"/>
    <col min="7178" max="7178" width="9.28515625" style="463" customWidth="1"/>
    <col min="7179" max="7179" width="11.28515625" style="463" customWidth="1"/>
    <col min="7180" max="7180" width="9.28515625" style="463" customWidth="1"/>
    <col min="7181" max="7181" width="11.28515625" style="463" customWidth="1"/>
    <col min="7182" max="7182" width="9.28515625" style="463" customWidth="1"/>
    <col min="7183" max="7183" width="11.28515625" style="463" customWidth="1"/>
    <col min="7184" max="7424" width="9.140625" style="463"/>
    <col min="7425" max="7425" width="1.7109375" style="463" customWidth="1"/>
    <col min="7426" max="7426" width="16.7109375" style="463" customWidth="1"/>
    <col min="7427" max="7427" width="45.7109375" style="463" customWidth="1"/>
    <col min="7428" max="7430" width="10.7109375" style="463" customWidth="1"/>
    <col min="7431" max="7433" width="1.7109375" style="463" customWidth="1"/>
    <col min="7434" max="7434" width="9.28515625" style="463" customWidth="1"/>
    <col min="7435" max="7435" width="11.28515625" style="463" customWidth="1"/>
    <col min="7436" max="7436" width="9.28515625" style="463" customWidth="1"/>
    <col min="7437" max="7437" width="11.28515625" style="463" customWidth="1"/>
    <col min="7438" max="7438" width="9.28515625" style="463" customWidth="1"/>
    <col min="7439" max="7439" width="11.28515625" style="463" customWidth="1"/>
    <col min="7440" max="7680" width="9.140625" style="463"/>
    <col min="7681" max="7681" width="1.7109375" style="463" customWidth="1"/>
    <col min="7682" max="7682" width="16.7109375" style="463" customWidth="1"/>
    <col min="7683" max="7683" width="45.7109375" style="463" customWidth="1"/>
    <col min="7684" max="7686" width="10.7109375" style="463" customWidth="1"/>
    <col min="7687" max="7689" width="1.7109375" style="463" customWidth="1"/>
    <col min="7690" max="7690" width="9.28515625" style="463" customWidth="1"/>
    <col min="7691" max="7691" width="11.28515625" style="463" customWidth="1"/>
    <col min="7692" max="7692" width="9.28515625" style="463" customWidth="1"/>
    <col min="7693" max="7693" width="11.28515625" style="463" customWidth="1"/>
    <col min="7694" max="7694" width="9.28515625" style="463" customWidth="1"/>
    <col min="7695" max="7695" width="11.28515625" style="463" customWidth="1"/>
    <col min="7696" max="7936" width="9.140625" style="463"/>
    <col min="7937" max="7937" width="1.7109375" style="463" customWidth="1"/>
    <col min="7938" max="7938" width="16.7109375" style="463" customWidth="1"/>
    <col min="7939" max="7939" width="45.7109375" style="463" customWidth="1"/>
    <col min="7940" max="7942" width="10.7109375" style="463" customWidth="1"/>
    <col min="7943" max="7945" width="1.7109375" style="463" customWidth="1"/>
    <col min="7946" max="7946" width="9.28515625" style="463" customWidth="1"/>
    <col min="7947" max="7947" width="11.28515625" style="463" customWidth="1"/>
    <col min="7948" max="7948" width="9.28515625" style="463" customWidth="1"/>
    <col min="7949" max="7949" width="11.28515625" style="463" customWidth="1"/>
    <col min="7950" max="7950" width="9.28515625" style="463" customWidth="1"/>
    <col min="7951" max="7951" width="11.28515625" style="463" customWidth="1"/>
    <col min="7952" max="8192" width="9.140625" style="463"/>
    <col min="8193" max="8193" width="1.7109375" style="463" customWidth="1"/>
    <col min="8194" max="8194" width="16.7109375" style="463" customWidth="1"/>
    <col min="8195" max="8195" width="45.7109375" style="463" customWidth="1"/>
    <col min="8196" max="8198" width="10.7109375" style="463" customWidth="1"/>
    <col min="8199" max="8201" width="1.7109375" style="463" customWidth="1"/>
    <col min="8202" max="8202" width="9.28515625" style="463" customWidth="1"/>
    <col min="8203" max="8203" width="11.28515625" style="463" customWidth="1"/>
    <col min="8204" max="8204" width="9.28515625" style="463" customWidth="1"/>
    <col min="8205" max="8205" width="11.28515625" style="463" customWidth="1"/>
    <col min="8206" max="8206" width="9.28515625" style="463" customWidth="1"/>
    <col min="8207" max="8207" width="11.28515625" style="463" customWidth="1"/>
    <col min="8208" max="8448" width="9.140625" style="463"/>
    <col min="8449" max="8449" width="1.7109375" style="463" customWidth="1"/>
    <col min="8450" max="8450" width="16.7109375" style="463" customWidth="1"/>
    <col min="8451" max="8451" width="45.7109375" style="463" customWidth="1"/>
    <col min="8452" max="8454" width="10.7109375" style="463" customWidth="1"/>
    <col min="8455" max="8457" width="1.7109375" style="463" customWidth="1"/>
    <col min="8458" max="8458" width="9.28515625" style="463" customWidth="1"/>
    <col min="8459" max="8459" width="11.28515625" style="463" customWidth="1"/>
    <col min="8460" max="8460" width="9.28515625" style="463" customWidth="1"/>
    <col min="8461" max="8461" width="11.28515625" style="463" customWidth="1"/>
    <col min="8462" max="8462" width="9.28515625" style="463" customWidth="1"/>
    <col min="8463" max="8463" width="11.28515625" style="463" customWidth="1"/>
    <col min="8464" max="8704" width="9.140625" style="463"/>
    <col min="8705" max="8705" width="1.7109375" style="463" customWidth="1"/>
    <col min="8706" max="8706" width="16.7109375" style="463" customWidth="1"/>
    <col min="8707" max="8707" width="45.7109375" style="463" customWidth="1"/>
    <col min="8708" max="8710" width="10.7109375" style="463" customWidth="1"/>
    <col min="8711" max="8713" width="1.7109375" style="463" customWidth="1"/>
    <col min="8714" max="8714" width="9.28515625" style="463" customWidth="1"/>
    <col min="8715" max="8715" width="11.28515625" style="463" customWidth="1"/>
    <col min="8716" max="8716" width="9.28515625" style="463" customWidth="1"/>
    <col min="8717" max="8717" width="11.28515625" style="463" customWidth="1"/>
    <col min="8718" max="8718" width="9.28515625" style="463" customWidth="1"/>
    <col min="8719" max="8719" width="11.28515625" style="463" customWidth="1"/>
    <col min="8720" max="8960" width="9.140625" style="463"/>
    <col min="8961" max="8961" width="1.7109375" style="463" customWidth="1"/>
    <col min="8962" max="8962" width="16.7109375" style="463" customWidth="1"/>
    <col min="8963" max="8963" width="45.7109375" style="463" customWidth="1"/>
    <col min="8964" max="8966" width="10.7109375" style="463" customWidth="1"/>
    <col min="8967" max="8969" width="1.7109375" style="463" customWidth="1"/>
    <col min="8970" max="8970" width="9.28515625" style="463" customWidth="1"/>
    <col min="8971" max="8971" width="11.28515625" style="463" customWidth="1"/>
    <col min="8972" max="8972" width="9.28515625" style="463" customWidth="1"/>
    <col min="8973" max="8973" width="11.28515625" style="463" customWidth="1"/>
    <col min="8974" max="8974" width="9.28515625" style="463" customWidth="1"/>
    <col min="8975" max="8975" width="11.28515625" style="463" customWidth="1"/>
    <col min="8976" max="9216" width="9.140625" style="463"/>
    <col min="9217" max="9217" width="1.7109375" style="463" customWidth="1"/>
    <col min="9218" max="9218" width="16.7109375" style="463" customWidth="1"/>
    <col min="9219" max="9219" width="45.7109375" style="463" customWidth="1"/>
    <col min="9220" max="9222" width="10.7109375" style="463" customWidth="1"/>
    <col min="9223" max="9225" width="1.7109375" style="463" customWidth="1"/>
    <col min="9226" max="9226" width="9.28515625" style="463" customWidth="1"/>
    <col min="9227" max="9227" width="11.28515625" style="463" customWidth="1"/>
    <col min="9228" max="9228" width="9.28515625" style="463" customWidth="1"/>
    <col min="9229" max="9229" width="11.28515625" style="463" customWidth="1"/>
    <col min="9230" max="9230" width="9.28515625" style="463" customWidth="1"/>
    <col min="9231" max="9231" width="11.28515625" style="463" customWidth="1"/>
    <col min="9232" max="9472" width="9.140625" style="463"/>
    <col min="9473" max="9473" width="1.7109375" style="463" customWidth="1"/>
    <col min="9474" max="9474" width="16.7109375" style="463" customWidth="1"/>
    <col min="9475" max="9475" width="45.7109375" style="463" customWidth="1"/>
    <col min="9476" max="9478" width="10.7109375" style="463" customWidth="1"/>
    <col min="9479" max="9481" width="1.7109375" style="463" customWidth="1"/>
    <col min="9482" max="9482" width="9.28515625" style="463" customWidth="1"/>
    <col min="9483" max="9483" width="11.28515625" style="463" customWidth="1"/>
    <col min="9484" max="9484" width="9.28515625" style="463" customWidth="1"/>
    <col min="9485" max="9485" width="11.28515625" style="463" customWidth="1"/>
    <col min="9486" max="9486" width="9.28515625" style="463" customWidth="1"/>
    <col min="9487" max="9487" width="11.28515625" style="463" customWidth="1"/>
    <col min="9488" max="9728" width="9.140625" style="463"/>
    <col min="9729" max="9729" width="1.7109375" style="463" customWidth="1"/>
    <col min="9730" max="9730" width="16.7109375" style="463" customWidth="1"/>
    <col min="9731" max="9731" width="45.7109375" style="463" customWidth="1"/>
    <col min="9732" max="9734" width="10.7109375" style="463" customWidth="1"/>
    <col min="9735" max="9737" width="1.7109375" style="463" customWidth="1"/>
    <col min="9738" max="9738" width="9.28515625" style="463" customWidth="1"/>
    <col min="9739" max="9739" width="11.28515625" style="463" customWidth="1"/>
    <col min="9740" max="9740" width="9.28515625" style="463" customWidth="1"/>
    <col min="9741" max="9741" width="11.28515625" style="463" customWidth="1"/>
    <col min="9742" max="9742" width="9.28515625" style="463" customWidth="1"/>
    <col min="9743" max="9743" width="11.28515625" style="463" customWidth="1"/>
    <col min="9744" max="9984" width="9.140625" style="463"/>
    <col min="9985" max="9985" width="1.7109375" style="463" customWidth="1"/>
    <col min="9986" max="9986" width="16.7109375" style="463" customWidth="1"/>
    <col min="9987" max="9987" width="45.7109375" style="463" customWidth="1"/>
    <col min="9988" max="9990" width="10.7109375" style="463" customWidth="1"/>
    <col min="9991" max="9993" width="1.7109375" style="463" customWidth="1"/>
    <col min="9994" max="9994" width="9.28515625" style="463" customWidth="1"/>
    <col min="9995" max="9995" width="11.28515625" style="463" customWidth="1"/>
    <col min="9996" max="9996" width="9.28515625" style="463" customWidth="1"/>
    <col min="9997" max="9997" width="11.28515625" style="463" customWidth="1"/>
    <col min="9998" max="9998" width="9.28515625" style="463" customWidth="1"/>
    <col min="9999" max="9999" width="11.28515625" style="463" customWidth="1"/>
    <col min="10000" max="10240" width="9.140625" style="463"/>
    <col min="10241" max="10241" width="1.7109375" style="463" customWidth="1"/>
    <col min="10242" max="10242" width="16.7109375" style="463" customWidth="1"/>
    <col min="10243" max="10243" width="45.7109375" style="463" customWidth="1"/>
    <col min="10244" max="10246" width="10.7109375" style="463" customWidth="1"/>
    <col min="10247" max="10249" width="1.7109375" style="463" customWidth="1"/>
    <col min="10250" max="10250" width="9.28515625" style="463" customWidth="1"/>
    <col min="10251" max="10251" width="11.28515625" style="463" customWidth="1"/>
    <col min="10252" max="10252" width="9.28515625" style="463" customWidth="1"/>
    <col min="10253" max="10253" width="11.28515625" style="463" customWidth="1"/>
    <col min="10254" max="10254" width="9.28515625" style="463" customWidth="1"/>
    <col min="10255" max="10255" width="11.28515625" style="463" customWidth="1"/>
    <col min="10256" max="10496" width="9.140625" style="463"/>
    <col min="10497" max="10497" width="1.7109375" style="463" customWidth="1"/>
    <col min="10498" max="10498" width="16.7109375" style="463" customWidth="1"/>
    <col min="10499" max="10499" width="45.7109375" style="463" customWidth="1"/>
    <col min="10500" max="10502" width="10.7109375" style="463" customWidth="1"/>
    <col min="10503" max="10505" width="1.7109375" style="463" customWidth="1"/>
    <col min="10506" max="10506" width="9.28515625" style="463" customWidth="1"/>
    <col min="10507" max="10507" width="11.28515625" style="463" customWidth="1"/>
    <col min="10508" max="10508" width="9.28515625" style="463" customWidth="1"/>
    <col min="10509" max="10509" width="11.28515625" style="463" customWidth="1"/>
    <col min="10510" max="10510" width="9.28515625" style="463" customWidth="1"/>
    <col min="10511" max="10511" width="11.28515625" style="463" customWidth="1"/>
    <col min="10512" max="10752" width="9.140625" style="463"/>
    <col min="10753" max="10753" width="1.7109375" style="463" customWidth="1"/>
    <col min="10754" max="10754" width="16.7109375" style="463" customWidth="1"/>
    <col min="10755" max="10755" width="45.7109375" style="463" customWidth="1"/>
    <col min="10756" max="10758" width="10.7109375" style="463" customWidth="1"/>
    <col min="10759" max="10761" width="1.7109375" style="463" customWidth="1"/>
    <col min="10762" max="10762" width="9.28515625" style="463" customWidth="1"/>
    <col min="10763" max="10763" width="11.28515625" style="463" customWidth="1"/>
    <col min="10764" max="10764" width="9.28515625" style="463" customWidth="1"/>
    <col min="10765" max="10765" width="11.28515625" style="463" customWidth="1"/>
    <col min="10766" max="10766" width="9.28515625" style="463" customWidth="1"/>
    <col min="10767" max="10767" width="11.28515625" style="463" customWidth="1"/>
    <col min="10768" max="11008" width="9.140625" style="463"/>
    <col min="11009" max="11009" width="1.7109375" style="463" customWidth="1"/>
    <col min="11010" max="11010" width="16.7109375" style="463" customWidth="1"/>
    <col min="11011" max="11011" width="45.7109375" style="463" customWidth="1"/>
    <col min="11012" max="11014" width="10.7109375" style="463" customWidth="1"/>
    <col min="11015" max="11017" width="1.7109375" style="463" customWidth="1"/>
    <col min="11018" max="11018" width="9.28515625" style="463" customWidth="1"/>
    <col min="11019" max="11019" width="11.28515625" style="463" customWidth="1"/>
    <col min="11020" max="11020" width="9.28515625" style="463" customWidth="1"/>
    <col min="11021" max="11021" width="11.28515625" style="463" customWidth="1"/>
    <col min="11022" max="11022" width="9.28515625" style="463" customWidth="1"/>
    <col min="11023" max="11023" width="11.28515625" style="463" customWidth="1"/>
    <col min="11024" max="11264" width="9.140625" style="463"/>
    <col min="11265" max="11265" width="1.7109375" style="463" customWidth="1"/>
    <col min="11266" max="11266" width="16.7109375" style="463" customWidth="1"/>
    <col min="11267" max="11267" width="45.7109375" style="463" customWidth="1"/>
    <col min="11268" max="11270" width="10.7109375" style="463" customWidth="1"/>
    <col min="11271" max="11273" width="1.7109375" style="463" customWidth="1"/>
    <col min="11274" max="11274" width="9.28515625" style="463" customWidth="1"/>
    <col min="11275" max="11275" width="11.28515625" style="463" customWidth="1"/>
    <col min="11276" max="11276" width="9.28515625" style="463" customWidth="1"/>
    <col min="11277" max="11277" width="11.28515625" style="463" customWidth="1"/>
    <col min="11278" max="11278" width="9.28515625" style="463" customWidth="1"/>
    <col min="11279" max="11279" width="11.28515625" style="463" customWidth="1"/>
    <col min="11280" max="11520" width="9.140625" style="463"/>
    <col min="11521" max="11521" width="1.7109375" style="463" customWidth="1"/>
    <col min="11522" max="11522" width="16.7109375" style="463" customWidth="1"/>
    <col min="11523" max="11523" width="45.7109375" style="463" customWidth="1"/>
    <col min="11524" max="11526" width="10.7109375" style="463" customWidth="1"/>
    <col min="11527" max="11529" width="1.7109375" style="463" customWidth="1"/>
    <col min="11530" max="11530" width="9.28515625" style="463" customWidth="1"/>
    <col min="11531" max="11531" width="11.28515625" style="463" customWidth="1"/>
    <col min="11532" max="11532" width="9.28515625" style="463" customWidth="1"/>
    <col min="11533" max="11533" width="11.28515625" style="463" customWidth="1"/>
    <col min="11534" max="11534" width="9.28515625" style="463" customWidth="1"/>
    <col min="11535" max="11535" width="11.28515625" style="463" customWidth="1"/>
    <col min="11536" max="11776" width="9.140625" style="463"/>
    <col min="11777" max="11777" width="1.7109375" style="463" customWidth="1"/>
    <col min="11778" max="11778" width="16.7109375" style="463" customWidth="1"/>
    <col min="11779" max="11779" width="45.7109375" style="463" customWidth="1"/>
    <col min="11780" max="11782" width="10.7109375" style="463" customWidth="1"/>
    <col min="11783" max="11785" width="1.7109375" style="463" customWidth="1"/>
    <col min="11786" max="11786" width="9.28515625" style="463" customWidth="1"/>
    <col min="11787" max="11787" width="11.28515625" style="463" customWidth="1"/>
    <col min="11788" max="11788" width="9.28515625" style="463" customWidth="1"/>
    <col min="11789" max="11789" width="11.28515625" style="463" customWidth="1"/>
    <col min="11790" max="11790" width="9.28515625" style="463" customWidth="1"/>
    <col min="11791" max="11791" width="11.28515625" style="463" customWidth="1"/>
    <col min="11792" max="12032" width="9.140625" style="463"/>
    <col min="12033" max="12033" width="1.7109375" style="463" customWidth="1"/>
    <col min="12034" max="12034" width="16.7109375" style="463" customWidth="1"/>
    <col min="12035" max="12035" width="45.7109375" style="463" customWidth="1"/>
    <col min="12036" max="12038" width="10.7109375" style="463" customWidth="1"/>
    <col min="12039" max="12041" width="1.7109375" style="463" customWidth="1"/>
    <col min="12042" max="12042" width="9.28515625" style="463" customWidth="1"/>
    <col min="12043" max="12043" width="11.28515625" style="463" customWidth="1"/>
    <col min="12044" max="12044" width="9.28515625" style="463" customWidth="1"/>
    <col min="12045" max="12045" width="11.28515625" style="463" customWidth="1"/>
    <col min="12046" max="12046" width="9.28515625" style="463" customWidth="1"/>
    <col min="12047" max="12047" width="11.28515625" style="463" customWidth="1"/>
    <col min="12048" max="12288" width="9.140625" style="463"/>
    <col min="12289" max="12289" width="1.7109375" style="463" customWidth="1"/>
    <col min="12290" max="12290" width="16.7109375" style="463" customWidth="1"/>
    <col min="12291" max="12291" width="45.7109375" style="463" customWidth="1"/>
    <col min="12292" max="12294" width="10.7109375" style="463" customWidth="1"/>
    <col min="12295" max="12297" width="1.7109375" style="463" customWidth="1"/>
    <col min="12298" max="12298" width="9.28515625" style="463" customWidth="1"/>
    <col min="12299" max="12299" width="11.28515625" style="463" customWidth="1"/>
    <col min="12300" max="12300" width="9.28515625" style="463" customWidth="1"/>
    <col min="12301" max="12301" width="11.28515625" style="463" customWidth="1"/>
    <col min="12302" max="12302" width="9.28515625" style="463" customWidth="1"/>
    <col min="12303" max="12303" width="11.28515625" style="463" customWidth="1"/>
    <col min="12304" max="12544" width="9.140625" style="463"/>
    <col min="12545" max="12545" width="1.7109375" style="463" customWidth="1"/>
    <col min="12546" max="12546" width="16.7109375" style="463" customWidth="1"/>
    <col min="12547" max="12547" width="45.7109375" style="463" customWidth="1"/>
    <col min="12548" max="12550" width="10.7109375" style="463" customWidth="1"/>
    <col min="12551" max="12553" width="1.7109375" style="463" customWidth="1"/>
    <col min="12554" max="12554" width="9.28515625" style="463" customWidth="1"/>
    <col min="12555" max="12555" width="11.28515625" style="463" customWidth="1"/>
    <col min="12556" max="12556" width="9.28515625" style="463" customWidth="1"/>
    <col min="12557" max="12557" width="11.28515625" style="463" customWidth="1"/>
    <col min="12558" max="12558" width="9.28515625" style="463" customWidth="1"/>
    <col min="12559" max="12559" width="11.28515625" style="463" customWidth="1"/>
    <col min="12560" max="12800" width="9.140625" style="463"/>
    <col min="12801" max="12801" width="1.7109375" style="463" customWidth="1"/>
    <col min="12802" max="12802" width="16.7109375" style="463" customWidth="1"/>
    <col min="12803" max="12803" width="45.7109375" style="463" customWidth="1"/>
    <col min="12804" max="12806" width="10.7109375" style="463" customWidth="1"/>
    <col min="12807" max="12809" width="1.7109375" style="463" customWidth="1"/>
    <col min="12810" max="12810" width="9.28515625" style="463" customWidth="1"/>
    <col min="12811" max="12811" width="11.28515625" style="463" customWidth="1"/>
    <col min="12812" max="12812" width="9.28515625" style="463" customWidth="1"/>
    <col min="12813" max="12813" width="11.28515625" style="463" customWidth="1"/>
    <col min="12814" max="12814" width="9.28515625" style="463" customWidth="1"/>
    <col min="12815" max="12815" width="11.28515625" style="463" customWidth="1"/>
    <col min="12816" max="13056" width="9.140625" style="463"/>
    <col min="13057" max="13057" width="1.7109375" style="463" customWidth="1"/>
    <col min="13058" max="13058" width="16.7109375" style="463" customWidth="1"/>
    <col min="13059" max="13059" width="45.7109375" style="463" customWidth="1"/>
    <col min="13060" max="13062" width="10.7109375" style="463" customWidth="1"/>
    <col min="13063" max="13065" width="1.7109375" style="463" customWidth="1"/>
    <col min="13066" max="13066" width="9.28515625" style="463" customWidth="1"/>
    <col min="13067" max="13067" width="11.28515625" style="463" customWidth="1"/>
    <col min="13068" max="13068" width="9.28515625" style="463" customWidth="1"/>
    <col min="13069" max="13069" width="11.28515625" style="463" customWidth="1"/>
    <col min="13070" max="13070" width="9.28515625" style="463" customWidth="1"/>
    <col min="13071" max="13071" width="11.28515625" style="463" customWidth="1"/>
    <col min="13072" max="13312" width="9.140625" style="463"/>
    <col min="13313" max="13313" width="1.7109375" style="463" customWidth="1"/>
    <col min="13314" max="13314" width="16.7109375" style="463" customWidth="1"/>
    <col min="13315" max="13315" width="45.7109375" style="463" customWidth="1"/>
    <col min="13316" max="13318" width="10.7109375" style="463" customWidth="1"/>
    <col min="13319" max="13321" width="1.7109375" style="463" customWidth="1"/>
    <col min="13322" max="13322" width="9.28515625" style="463" customWidth="1"/>
    <col min="13323" max="13323" width="11.28515625" style="463" customWidth="1"/>
    <col min="13324" max="13324" width="9.28515625" style="463" customWidth="1"/>
    <col min="13325" max="13325" width="11.28515625" style="463" customWidth="1"/>
    <col min="13326" max="13326" width="9.28515625" style="463" customWidth="1"/>
    <col min="13327" max="13327" width="11.28515625" style="463" customWidth="1"/>
    <col min="13328" max="13568" width="9.140625" style="463"/>
    <col min="13569" max="13569" width="1.7109375" style="463" customWidth="1"/>
    <col min="13570" max="13570" width="16.7109375" style="463" customWidth="1"/>
    <col min="13571" max="13571" width="45.7109375" style="463" customWidth="1"/>
    <col min="13572" max="13574" width="10.7109375" style="463" customWidth="1"/>
    <col min="13575" max="13577" width="1.7109375" style="463" customWidth="1"/>
    <col min="13578" max="13578" width="9.28515625" style="463" customWidth="1"/>
    <col min="13579" max="13579" width="11.28515625" style="463" customWidth="1"/>
    <col min="13580" max="13580" width="9.28515625" style="463" customWidth="1"/>
    <col min="13581" max="13581" width="11.28515625" style="463" customWidth="1"/>
    <col min="13582" max="13582" width="9.28515625" style="463" customWidth="1"/>
    <col min="13583" max="13583" width="11.28515625" style="463" customWidth="1"/>
    <col min="13584" max="13824" width="9.140625" style="463"/>
    <col min="13825" max="13825" width="1.7109375" style="463" customWidth="1"/>
    <col min="13826" max="13826" width="16.7109375" style="463" customWidth="1"/>
    <col min="13827" max="13827" width="45.7109375" style="463" customWidth="1"/>
    <col min="13828" max="13830" width="10.7109375" style="463" customWidth="1"/>
    <col min="13831" max="13833" width="1.7109375" style="463" customWidth="1"/>
    <col min="13834" max="13834" width="9.28515625" style="463" customWidth="1"/>
    <col min="13835" max="13835" width="11.28515625" style="463" customWidth="1"/>
    <col min="13836" max="13836" width="9.28515625" style="463" customWidth="1"/>
    <col min="13837" max="13837" width="11.28515625" style="463" customWidth="1"/>
    <col min="13838" max="13838" width="9.28515625" style="463" customWidth="1"/>
    <col min="13839" max="13839" width="11.28515625" style="463" customWidth="1"/>
    <col min="13840" max="14080" width="9.140625" style="463"/>
    <col min="14081" max="14081" width="1.7109375" style="463" customWidth="1"/>
    <col min="14082" max="14082" width="16.7109375" style="463" customWidth="1"/>
    <col min="14083" max="14083" width="45.7109375" style="463" customWidth="1"/>
    <col min="14084" max="14086" width="10.7109375" style="463" customWidth="1"/>
    <col min="14087" max="14089" width="1.7109375" style="463" customWidth="1"/>
    <col min="14090" max="14090" width="9.28515625" style="463" customWidth="1"/>
    <col min="14091" max="14091" width="11.28515625" style="463" customWidth="1"/>
    <col min="14092" max="14092" width="9.28515625" style="463" customWidth="1"/>
    <col min="14093" max="14093" width="11.28515625" style="463" customWidth="1"/>
    <col min="14094" max="14094" width="9.28515625" style="463" customWidth="1"/>
    <col min="14095" max="14095" width="11.28515625" style="463" customWidth="1"/>
    <col min="14096" max="14336" width="9.140625" style="463"/>
    <col min="14337" max="14337" width="1.7109375" style="463" customWidth="1"/>
    <col min="14338" max="14338" width="16.7109375" style="463" customWidth="1"/>
    <col min="14339" max="14339" width="45.7109375" style="463" customWidth="1"/>
    <col min="14340" max="14342" width="10.7109375" style="463" customWidth="1"/>
    <col min="14343" max="14345" width="1.7109375" style="463" customWidth="1"/>
    <col min="14346" max="14346" width="9.28515625" style="463" customWidth="1"/>
    <col min="14347" max="14347" width="11.28515625" style="463" customWidth="1"/>
    <col min="14348" max="14348" width="9.28515625" style="463" customWidth="1"/>
    <col min="14349" max="14349" width="11.28515625" style="463" customWidth="1"/>
    <col min="14350" max="14350" width="9.28515625" style="463" customWidth="1"/>
    <col min="14351" max="14351" width="11.28515625" style="463" customWidth="1"/>
    <col min="14352" max="14592" width="9.140625" style="463"/>
    <col min="14593" max="14593" width="1.7109375" style="463" customWidth="1"/>
    <col min="14594" max="14594" width="16.7109375" style="463" customWidth="1"/>
    <col min="14595" max="14595" width="45.7109375" style="463" customWidth="1"/>
    <col min="14596" max="14598" width="10.7109375" style="463" customWidth="1"/>
    <col min="14599" max="14601" width="1.7109375" style="463" customWidth="1"/>
    <col min="14602" max="14602" width="9.28515625" style="463" customWidth="1"/>
    <col min="14603" max="14603" width="11.28515625" style="463" customWidth="1"/>
    <col min="14604" max="14604" width="9.28515625" style="463" customWidth="1"/>
    <col min="14605" max="14605" width="11.28515625" style="463" customWidth="1"/>
    <col min="14606" max="14606" width="9.28515625" style="463" customWidth="1"/>
    <col min="14607" max="14607" width="11.28515625" style="463" customWidth="1"/>
    <col min="14608" max="14848" width="9.140625" style="463"/>
    <col min="14849" max="14849" width="1.7109375" style="463" customWidth="1"/>
    <col min="14850" max="14850" width="16.7109375" style="463" customWidth="1"/>
    <col min="14851" max="14851" width="45.7109375" style="463" customWidth="1"/>
    <col min="14852" max="14854" width="10.7109375" style="463" customWidth="1"/>
    <col min="14855" max="14857" width="1.7109375" style="463" customWidth="1"/>
    <col min="14858" max="14858" width="9.28515625" style="463" customWidth="1"/>
    <col min="14859" max="14859" width="11.28515625" style="463" customWidth="1"/>
    <col min="14860" max="14860" width="9.28515625" style="463" customWidth="1"/>
    <col min="14861" max="14861" width="11.28515625" style="463" customWidth="1"/>
    <col min="14862" max="14862" width="9.28515625" style="463" customWidth="1"/>
    <col min="14863" max="14863" width="11.28515625" style="463" customWidth="1"/>
    <col min="14864" max="15104" width="9.140625" style="463"/>
    <col min="15105" max="15105" width="1.7109375" style="463" customWidth="1"/>
    <col min="15106" max="15106" width="16.7109375" style="463" customWidth="1"/>
    <col min="15107" max="15107" width="45.7109375" style="463" customWidth="1"/>
    <col min="15108" max="15110" width="10.7109375" style="463" customWidth="1"/>
    <col min="15111" max="15113" width="1.7109375" style="463" customWidth="1"/>
    <col min="15114" max="15114" width="9.28515625" style="463" customWidth="1"/>
    <col min="15115" max="15115" width="11.28515625" style="463" customWidth="1"/>
    <col min="15116" max="15116" width="9.28515625" style="463" customWidth="1"/>
    <col min="15117" max="15117" width="11.28515625" style="463" customWidth="1"/>
    <col min="15118" max="15118" width="9.28515625" style="463" customWidth="1"/>
    <col min="15119" max="15119" width="11.28515625" style="463" customWidth="1"/>
    <col min="15120" max="15360" width="9.140625" style="463"/>
    <col min="15361" max="15361" width="1.7109375" style="463" customWidth="1"/>
    <col min="15362" max="15362" width="16.7109375" style="463" customWidth="1"/>
    <col min="15363" max="15363" width="45.7109375" style="463" customWidth="1"/>
    <col min="15364" max="15366" width="10.7109375" style="463" customWidth="1"/>
    <col min="15367" max="15369" width="1.7109375" style="463" customWidth="1"/>
    <col min="15370" max="15370" width="9.28515625" style="463" customWidth="1"/>
    <col min="15371" max="15371" width="11.28515625" style="463" customWidth="1"/>
    <col min="15372" max="15372" width="9.28515625" style="463" customWidth="1"/>
    <col min="15373" max="15373" width="11.28515625" style="463" customWidth="1"/>
    <col min="15374" max="15374" width="9.28515625" style="463" customWidth="1"/>
    <col min="15375" max="15375" width="11.28515625" style="463" customWidth="1"/>
    <col min="15376" max="15616" width="9.140625" style="463"/>
    <col min="15617" max="15617" width="1.7109375" style="463" customWidth="1"/>
    <col min="15618" max="15618" width="16.7109375" style="463" customWidth="1"/>
    <col min="15619" max="15619" width="45.7109375" style="463" customWidth="1"/>
    <col min="15620" max="15622" width="10.7109375" style="463" customWidth="1"/>
    <col min="15623" max="15625" width="1.7109375" style="463" customWidth="1"/>
    <col min="15626" max="15626" width="9.28515625" style="463" customWidth="1"/>
    <col min="15627" max="15627" width="11.28515625" style="463" customWidth="1"/>
    <col min="15628" max="15628" width="9.28515625" style="463" customWidth="1"/>
    <col min="15629" max="15629" width="11.28515625" style="463" customWidth="1"/>
    <col min="15630" max="15630" width="9.28515625" style="463" customWidth="1"/>
    <col min="15631" max="15631" width="11.28515625" style="463" customWidth="1"/>
    <col min="15632" max="15872" width="9.140625" style="463"/>
    <col min="15873" max="15873" width="1.7109375" style="463" customWidth="1"/>
    <col min="15874" max="15874" width="16.7109375" style="463" customWidth="1"/>
    <col min="15875" max="15875" width="45.7109375" style="463" customWidth="1"/>
    <col min="15876" max="15878" width="10.7109375" style="463" customWidth="1"/>
    <col min="15879" max="15881" width="1.7109375" style="463" customWidth="1"/>
    <col min="15882" max="15882" width="9.28515625" style="463" customWidth="1"/>
    <col min="15883" max="15883" width="11.28515625" style="463" customWidth="1"/>
    <col min="15884" max="15884" width="9.28515625" style="463" customWidth="1"/>
    <col min="15885" max="15885" width="11.28515625" style="463" customWidth="1"/>
    <col min="15886" max="15886" width="9.28515625" style="463" customWidth="1"/>
    <col min="15887" max="15887" width="11.28515625" style="463" customWidth="1"/>
    <col min="15888" max="16128" width="9.140625" style="463"/>
    <col min="16129" max="16129" width="1.7109375" style="463" customWidth="1"/>
    <col min="16130" max="16130" width="16.7109375" style="463" customWidth="1"/>
    <col min="16131" max="16131" width="45.7109375" style="463" customWidth="1"/>
    <col min="16132" max="16134" width="10.7109375" style="463" customWidth="1"/>
    <col min="16135" max="16137" width="1.7109375" style="463" customWidth="1"/>
    <col min="16138" max="16138" width="9.28515625" style="463" customWidth="1"/>
    <col min="16139" max="16139" width="11.28515625" style="463" customWidth="1"/>
    <col min="16140" max="16140" width="9.28515625" style="463" customWidth="1"/>
    <col min="16141" max="16141" width="11.28515625" style="463" customWidth="1"/>
    <col min="16142" max="16142" width="9.28515625" style="463" customWidth="1"/>
    <col min="16143" max="16143" width="11.28515625" style="463" customWidth="1"/>
    <col min="16144" max="16384" width="9.140625" style="463"/>
  </cols>
  <sheetData>
    <row r="1" spans="2:15" ht="12.75" customHeight="1">
      <c r="B1" s="798" t="s">
        <v>684</v>
      </c>
      <c r="C1" s="798"/>
      <c r="D1" s="798"/>
      <c r="E1" s="798"/>
      <c r="F1" s="798"/>
      <c r="G1" s="798"/>
      <c r="H1" s="798"/>
      <c r="I1" s="798"/>
      <c r="J1" s="798"/>
      <c r="K1" s="802" t="s">
        <v>48</v>
      </c>
      <c r="L1" s="926"/>
      <c r="M1" s="72"/>
      <c r="N1" s="72"/>
      <c r="O1" s="72"/>
    </row>
    <row r="2" spans="2:15" ht="12.75" customHeight="1">
      <c r="B2" s="798"/>
      <c r="C2" s="798"/>
      <c r="D2" s="798"/>
      <c r="E2" s="798"/>
      <c r="F2" s="798"/>
      <c r="G2" s="798"/>
      <c r="H2" s="798"/>
      <c r="I2" s="798"/>
      <c r="J2" s="798"/>
      <c r="K2" s="926"/>
      <c r="L2" s="926"/>
      <c r="O2" s="72"/>
    </row>
    <row r="3" spans="2:15" ht="12.75" customHeight="1">
      <c r="B3" s="836" t="s">
        <v>582</v>
      </c>
      <c r="C3" s="836"/>
      <c r="D3" s="836"/>
      <c r="E3" s="836"/>
      <c r="F3" s="836"/>
      <c r="G3" s="836"/>
      <c r="H3" s="836"/>
      <c r="I3" s="836"/>
      <c r="J3" s="461"/>
      <c r="K3" s="464"/>
      <c r="L3" s="464"/>
      <c r="O3" s="72"/>
    </row>
    <row r="4" spans="2:15" ht="12.75" customHeight="1">
      <c r="B4" s="836"/>
      <c r="C4" s="836"/>
      <c r="D4" s="836"/>
      <c r="E4" s="836"/>
      <c r="F4" s="836"/>
      <c r="G4" s="836"/>
      <c r="H4" s="836"/>
      <c r="I4" s="836"/>
      <c r="J4" s="461"/>
      <c r="K4" s="464"/>
      <c r="L4" s="464"/>
      <c r="O4" s="72"/>
    </row>
    <row r="5" spans="2:15">
      <c r="B5" s="836"/>
      <c r="C5" s="836"/>
      <c r="D5" s="836"/>
      <c r="E5" s="836"/>
      <c r="F5" s="836"/>
      <c r="G5" s="836"/>
      <c r="H5" s="836"/>
      <c r="I5" s="836"/>
      <c r="J5" s="285"/>
      <c r="K5" s="285"/>
      <c r="L5" s="285"/>
      <c r="M5" s="285"/>
      <c r="N5" s="285"/>
    </row>
    <row r="31" spans="2:10">
      <c r="B31" s="460"/>
      <c r="C31" s="460"/>
      <c r="D31" s="460"/>
      <c r="E31" s="460"/>
      <c r="F31" s="460"/>
      <c r="G31" s="460"/>
      <c r="H31" s="460"/>
      <c r="I31" s="460"/>
      <c r="J31" s="460"/>
    </row>
    <row r="32" spans="2:10">
      <c r="D32" s="34"/>
      <c r="E32" s="34"/>
      <c r="F32" s="34"/>
      <c r="G32" s="34"/>
      <c r="H32" s="34"/>
    </row>
    <row r="33" spans="2:19">
      <c r="D33" s="34"/>
      <c r="E33" s="34"/>
      <c r="F33" s="34"/>
      <c r="G33" s="34"/>
      <c r="H33" s="34"/>
    </row>
    <row r="34" spans="2:19">
      <c r="B34" s="78"/>
      <c r="C34" s="78"/>
      <c r="D34" s="78"/>
      <c r="E34" s="78"/>
      <c r="F34" s="78"/>
      <c r="G34" s="78"/>
      <c r="H34" s="78"/>
      <c r="I34" s="78"/>
      <c r="J34" s="78"/>
    </row>
    <row r="35" spans="2:19">
      <c r="B35" s="77" t="s">
        <v>686</v>
      </c>
      <c r="C35" s="459"/>
      <c r="D35" s="459"/>
      <c r="E35" s="459"/>
      <c r="F35" s="459"/>
      <c r="G35" s="459"/>
      <c r="H35" s="459"/>
      <c r="I35" s="459"/>
      <c r="J35" s="459"/>
    </row>
    <row r="36" spans="2:19" ht="24.75" customHeight="1">
      <c r="B36" s="927" t="s">
        <v>742</v>
      </c>
      <c r="C36" s="800"/>
      <c r="D36" s="800"/>
      <c r="E36" s="800"/>
      <c r="F36" s="800"/>
      <c r="G36" s="800"/>
      <c r="H36" s="800"/>
      <c r="I36" s="800"/>
      <c r="J36" s="800"/>
      <c r="K36" s="800"/>
      <c r="L36" s="800"/>
    </row>
    <row r="37" spans="2:19">
      <c r="B37" s="50" t="s">
        <v>1</v>
      </c>
      <c r="C37" s="459"/>
      <c r="D37" s="459"/>
      <c r="E37" s="459"/>
      <c r="F37" s="459"/>
      <c r="G37" s="459"/>
      <c r="H37" s="459"/>
      <c r="I37" s="459"/>
      <c r="J37" s="459"/>
      <c r="K37" s="212"/>
      <c r="L37" s="212"/>
    </row>
    <row r="38" spans="2:19" ht="15">
      <c r="B38" s="927" t="s">
        <v>529</v>
      </c>
      <c r="C38" s="928"/>
      <c r="D38" s="928"/>
      <c r="E38" s="928"/>
      <c r="F38" s="928"/>
      <c r="G38" s="928"/>
      <c r="H38" s="928"/>
      <c r="I38" s="928"/>
      <c r="J38" s="928"/>
      <c r="K38" s="928"/>
      <c r="L38" s="928"/>
    </row>
    <row r="39" spans="2:19" ht="24.95" customHeight="1">
      <c r="B39" s="925" t="s">
        <v>2</v>
      </c>
      <c r="C39" s="925"/>
      <c r="D39" s="925"/>
      <c r="E39" s="925"/>
      <c r="F39" s="925"/>
      <c r="G39" s="925"/>
      <c r="H39" s="925"/>
      <c r="I39" s="925"/>
      <c r="J39" s="925"/>
      <c r="K39" s="925"/>
      <c r="L39" s="925"/>
    </row>
    <row r="40" spans="2:19" ht="24.95" customHeight="1">
      <c r="B40" s="925" t="s">
        <v>6</v>
      </c>
      <c r="C40" s="925"/>
      <c r="D40" s="925"/>
      <c r="E40" s="925"/>
      <c r="F40" s="925"/>
      <c r="G40" s="925"/>
      <c r="H40" s="925"/>
      <c r="I40" s="925"/>
      <c r="J40" s="925"/>
      <c r="K40" s="925"/>
      <c r="L40" s="925"/>
    </row>
    <row r="41" spans="2:19" ht="24.95" customHeight="1">
      <c r="B41" s="925" t="s">
        <v>743</v>
      </c>
      <c r="C41" s="925"/>
      <c r="D41" s="925"/>
      <c r="E41" s="925"/>
      <c r="F41" s="925"/>
      <c r="G41" s="925"/>
      <c r="H41" s="925"/>
      <c r="I41" s="925"/>
      <c r="J41" s="925"/>
      <c r="K41" s="925"/>
      <c r="L41" s="925"/>
    </row>
    <row r="42" spans="2:19" ht="24.95" customHeight="1">
      <c r="B42" s="925"/>
      <c r="C42" s="925"/>
      <c r="D42" s="925"/>
      <c r="E42" s="925"/>
      <c r="F42" s="925"/>
      <c r="G42" s="925"/>
      <c r="H42" s="925"/>
      <c r="I42" s="925"/>
      <c r="J42" s="925"/>
      <c r="K42" s="925"/>
      <c r="L42" s="925"/>
    </row>
    <row r="43" spans="2:19" s="750" customFormat="1">
      <c r="B43" s="801" t="s">
        <v>779</v>
      </c>
      <c r="C43" s="801"/>
      <c r="D43" s="801"/>
      <c r="E43" s="801"/>
      <c r="F43" s="801"/>
      <c r="G43" s="801"/>
      <c r="H43" s="801"/>
      <c r="I43" s="801"/>
      <c r="J43" s="801"/>
      <c r="K43" s="801"/>
      <c r="L43" s="801"/>
    </row>
    <row r="44" spans="2:19" s="757" customFormat="1">
      <c r="B44" s="801" t="s">
        <v>780</v>
      </c>
      <c r="C44" s="801"/>
      <c r="D44" s="801"/>
      <c r="E44" s="801"/>
      <c r="F44" s="801"/>
      <c r="G44" s="801"/>
      <c r="H44" s="801"/>
      <c r="I44" s="801"/>
      <c r="J44" s="801"/>
      <c r="K44" s="801"/>
      <c r="L44" s="801"/>
    </row>
    <row r="45" spans="2:19">
      <c r="B45" s="459"/>
      <c r="C45" s="459"/>
      <c r="D45" s="459"/>
      <c r="E45" s="459"/>
      <c r="F45" s="459"/>
      <c r="G45" s="459"/>
      <c r="H45" s="459"/>
      <c r="I45" s="459"/>
      <c r="J45" s="459"/>
    </row>
    <row r="46" spans="2:19" ht="25.5" customHeight="1">
      <c r="B46" s="853">
        <v>2015</v>
      </c>
      <c r="C46" s="850"/>
      <c r="D46" s="881" t="s">
        <v>44</v>
      </c>
      <c r="E46" s="882"/>
      <c r="F46" s="883"/>
      <c r="G46" s="79"/>
      <c r="H46" s="79"/>
      <c r="I46" s="79"/>
      <c r="J46" s="881" t="s">
        <v>577</v>
      </c>
      <c r="K46" s="883"/>
      <c r="L46" s="881" t="s">
        <v>578</v>
      </c>
      <c r="M46" s="883"/>
      <c r="N46" s="881" t="s">
        <v>579</v>
      </c>
      <c r="O46" s="883"/>
      <c r="P46" s="501"/>
      <c r="Q46" s="501"/>
      <c r="R46" s="501"/>
      <c r="S46" s="501"/>
    </row>
    <row r="47" spans="2:19" ht="45" customHeight="1">
      <c r="B47" s="80" t="s">
        <v>26</v>
      </c>
      <c r="C47" s="53" t="s">
        <v>27</v>
      </c>
      <c r="D47" s="40" t="s">
        <v>580</v>
      </c>
      <c r="E47" s="40" t="s">
        <v>184</v>
      </c>
      <c r="F47" s="40" t="s">
        <v>185</v>
      </c>
      <c r="G47" s="82" t="s">
        <v>581</v>
      </c>
      <c r="H47" s="82" t="s">
        <v>3</v>
      </c>
      <c r="I47" s="82" t="s">
        <v>21</v>
      </c>
      <c r="J47" s="43" t="s">
        <v>28</v>
      </c>
      <c r="K47" s="43" t="s">
        <v>29</v>
      </c>
      <c r="L47" s="43" t="s">
        <v>28</v>
      </c>
      <c r="M47" s="43" t="s">
        <v>29</v>
      </c>
      <c r="N47" s="43" t="s">
        <v>28</v>
      </c>
      <c r="O47" s="43" t="s">
        <v>29</v>
      </c>
      <c r="P47" s="501"/>
      <c r="Q47" s="501"/>
      <c r="R47" s="501"/>
      <c r="S47" s="501"/>
    </row>
    <row r="48" spans="2:19">
      <c r="B48" s="351" t="str">
        <f t="shared" ref="B48" si="0">VLOOKUP(C48,Hospitals,3,FALSE)</f>
        <v>Scotland</v>
      </c>
      <c r="C48" s="45" t="s">
        <v>286</v>
      </c>
      <c r="D48" s="46">
        <f>IF(ISERROR(J48/K48*100),"-",J48/K48*100)</f>
        <v>9.375</v>
      </c>
      <c r="E48" s="46">
        <f>IF(ISERROR((J48+L48)/M48*100),"-",(J48+L48)/M48*100)</f>
        <v>50.862068965517238</v>
      </c>
      <c r="F48" s="46">
        <f>IF(ISERROR((J48+L48+N48)/O48*100),"-",(J48+L48+N48)/O48*100)</f>
        <v>64.762931034482762</v>
      </c>
      <c r="G48" s="49">
        <f t="shared" ref="G48:H75" si="1">E48-D48</f>
        <v>41.487068965517238</v>
      </c>
      <c r="H48" s="88">
        <f t="shared" si="1"/>
        <v>13.900862068965523</v>
      </c>
      <c r="I48" s="94">
        <v>80</v>
      </c>
      <c r="J48" s="431">
        <f>SUM(J49:J75)</f>
        <v>87</v>
      </c>
      <c r="K48" s="431">
        <f t="shared" ref="K48:O48" si="2">SUM(K49:K75)</f>
        <v>928</v>
      </c>
      <c r="L48" s="431">
        <f t="shared" si="2"/>
        <v>385</v>
      </c>
      <c r="M48" s="431">
        <f t="shared" si="2"/>
        <v>928</v>
      </c>
      <c r="N48" s="431">
        <f t="shared" si="2"/>
        <v>129</v>
      </c>
      <c r="O48" s="427">
        <f t="shared" si="2"/>
        <v>928</v>
      </c>
      <c r="P48" s="501" t="str">
        <f>B48&amp;" (n="&amp;O48&amp;")"</f>
        <v>Scotland (n=928)</v>
      </c>
      <c r="Q48" s="501"/>
      <c r="R48" s="501"/>
      <c r="S48" s="501"/>
    </row>
    <row r="49" spans="1:19">
      <c r="A49" s="44"/>
      <c r="B49" s="351" t="s">
        <v>61</v>
      </c>
      <c r="C49" s="351" t="s">
        <v>60</v>
      </c>
      <c r="D49" s="46">
        <f t="shared" ref="D49:D75" si="3">IF(ISERROR(J49/K49*100),"-",J49/K49*100)</f>
        <v>0</v>
      </c>
      <c r="E49" s="46">
        <f t="shared" ref="E49:E75" si="4">IF(ISERROR((J49+L49)/M49*100),"-",(J49+L49)/M49*100)</f>
        <v>54.54545454545454</v>
      </c>
      <c r="F49" s="46">
        <f t="shared" ref="F49:F75" si="5">IF(ISERROR((J49+L49+N49)/O49*100),"-",(J49+L49+N49)/O49*100)</f>
        <v>72.727272727272734</v>
      </c>
      <c r="G49" s="47">
        <f t="shared" si="1"/>
        <v>54.54545454545454</v>
      </c>
      <c r="H49" s="84">
        <f t="shared" si="1"/>
        <v>18.181818181818194</v>
      </c>
      <c r="I49" s="93">
        <v>80</v>
      </c>
      <c r="J49" s="431">
        <v>0</v>
      </c>
      <c r="K49" s="431">
        <v>11</v>
      </c>
      <c r="L49" s="431">
        <v>6</v>
      </c>
      <c r="M49" s="431">
        <v>11</v>
      </c>
      <c r="N49" s="431">
        <v>2</v>
      </c>
      <c r="O49" s="427">
        <v>11</v>
      </c>
      <c r="P49" s="501" t="str">
        <f t="shared" ref="P49:P75" si="6">B49&amp;" (n="&amp;O49&amp;")"</f>
        <v>Ayr (n=11)</v>
      </c>
      <c r="Q49" s="501"/>
      <c r="R49" s="501"/>
      <c r="S49" s="501"/>
    </row>
    <row r="50" spans="1:19">
      <c r="A50" s="44"/>
      <c r="B50" s="351" t="s">
        <v>63</v>
      </c>
      <c r="C50" s="45" t="s">
        <v>64</v>
      </c>
      <c r="D50" s="46">
        <f t="shared" si="3"/>
        <v>3.225806451612903</v>
      </c>
      <c r="E50" s="46">
        <f t="shared" si="4"/>
        <v>70.967741935483872</v>
      </c>
      <c r="F50" s="46">
        <f t="shared" si="5"/>
        <v>83.870967741935488</v>
      </c>
      <c r="G50" s="47">
        <f t="shared" si="1"/>
        <v>67.741935483870975</v>
      </c>
      <c r="H50" s="84">
        <f t="shared" si="1"/>
        <v>12.903225806451616</v>
      </c>
      <c r="I50" s="93">
        <v>80</v>
      </c>
      <c r="J50" s="431">
        <v>1</v>
      </c>
      <c r="K50" s="431">
        <v>31</v>
      </c>
      <c r="L50" s="431">
        <v>21</v>
      </c>
      <c r="M50" s="431">
        <v>31</v>
      </c>
      <c r="N50" s="431">
        <v>4</v>
      </c>
      <c r="O50" s="427">
        <v>31</v>
      </c>
      <c r="P50" s="501" t="str">
        <f t="shared" si="6"/>
        <v>Crosshouse (n=31)</v>
      </c>
      <c r="Q50" s="501"/>
      <c r="R50" s="501"/>
      <c r="S50" s="501"/>
    </row>
    <row r="51" spans="1:19">
      <c r="A51" s="44"/>
      <c r="B51" s="351" t="s">
        <v>30</v>
      </c>
      <c r="C51" s="45" t="s">
        <v>66</v>
      </c>
      <c r="D51" s="46">
        <f t="shared" si="3"/>
        <v>0</v>
      </c>
      <c r="E51" s="46">
        <f t="shared" si="4"/>
        <v>0</v>
      </c>
      <c r="F51" s="46">
        <f t="shared" si="5"/>
        <v>40</v>
      </c>
      <c r="G51" s="48">
        <f t="shared" si="1"/>
        <v>0</v>
      </c>
      <c r="H51" s="85">
        <f t="shared" si="1"/>
        <v>40</v>
      </c>
      <c r="I51" s="93">
        <v>80</v>
      </c>
      <c r="J51" s="431">
        <v>0</v>
      </c>
      <c r="K51" s="431">
        <v>10</v>
      </c>
      <c r="L51" s="431">
        <v>0</v>
      </c>
      <c r="M51" s="431">
        <v>10</v>
      </c>
      <c r="N51" s="431">
        <v>4</v>
      </c>
      <c r="O51" s="427">
        <v>10</v>
      </c>
      <c r="P51" s="501" t="str">
        <f t="shared" si="6"/>
        <v>Borders (n=10)</v>
      </c>
      <c r="Q51" s="501"/>
      <c r="R51" s="501"/>
      <c r="S51" s="501"/>
    </row>
    <row r="52" spans="1:19">
      <c r="A52" s="44"/>
      <c r="B52" s="351" t="s">
        <v>68</v>
      </c>
      <c r="C52" s="45" t="s">
        <v>69</v>
      </c>
      <c r="D52" s="46">
        <f t="shared" si="3"/>
        <v>19.230769230769234</v>
      </c>
      <c r="E52" s="46">
        <f t="shared" si="4"/>
        <v>50</v>
      </c>
      <c r="F52" s="46">
        <f t="shared" si="5"/>
        <v>65.384615384615387</v>
      </c>
      <c r="G52" s="48">
        <f t="shared" si="1"/>
        <v>30.769230769230766</v>
      </c>
      <c r="H52" s="85">
        <f t="shared" si="1"/>
        <v>15.384615384615387</v>
      </c>
      <c r="I52" s="93">
        <v>80</v>
      </c>
      <c r="J52" s="431">
        <v>5</v>
      </c>
      <c r="K52" s="431">
        <v>26</v>
      </c>
      <c r="L52" s="431">
        <v>8</v>
      </c>
      <c r="M52" s="431">
        <v>26</v>
      </c>
      <c r="N52" s="431">
        <v>4</v>
      </c>
      <c r="O52" s="427">
        <v>26</v>
      </c>
      <c r="P52" s="501" t="str">
        <f t="shared" si="6"/>
        <v>DGRI (n=26)</v>
      </c>
      <c r="Q52" s="501"/>
      <c r="R52" s="501"/>
      <c r="S52" s="501"/>
    </row>
    <row r="53" spans="1:19">
      <c r="A53" s="44"/>
      <c r="B53" s="351" t="s">
        <v>71</v>
      </c>
      <c r="C53" s="45" t="s">
        <v>72</v>
      </c>
      <c r="D53" s="46">
        <f t="shared" si="3"/>
        <v>0</v>
      </c>
      <c r="E53" s="46">
        <f t="shared" si="4"/>
        <v>0</v>
      </c>
      <c r="F53" s="46">
        <f t="shared" si="5"/>
        <v>50</v>
      </c>
      <c r="G53" s="48">
        <f t="shared" si="1"/>
        <v>0</v>
      </c>
      <c r="H53" s="85">
        <f t="shared" si="1"/>
        <v>50</v>
      </c>
      <c r="I53" s="93">
        <v>80</v>
      </c>
      <c r="J53" s="431">
        <v>0</v>
      </c>
      <c r="K53" s="431">
        <v>8</v>
      </c>
      <c r="L53" s="431">
        <v>0</v>
      </c>
      <c r="M53" s="431">
        <v>8</v>
      </c>
      <c r="N53" s="431">
        <v>4</v>
      </c>
      <c r="O53" s="427">
        <v>8</v>
      </c>
      <c r="P53" s="501" t="str">
        <f t="shared" si="6"/>
        <v>GCH (n=8)</v>
      </c>
      <c r="Q53" s="501"/>
      <c r="R53" s="501"/>
      <c r="S53" s="501"/>
    </row>
    <row r="54" spans="1:19">
      <c r="A54" s="44"/>
      <c r="B54" s="351" t="s">
        <v>177</v>
      </c>
      <c r="C54" s="45" t="s">
        <v>74</v>
      </c>
      <c r="D54" s="46">
        <f t="shared" si="3"/>
        <v>5.2631578947368416</v>
      </c>
      <c r="E54" s="46">
        <f t="shared" si="4"/>
        <v>49.122807017543856</v>
      </c>
      <c r="F54" s="46">
        <f t="shared" si="5"/>
        <v>64.912280701754383</v>
      </c>
      <c r="G54" s="48">
        <f t="shared" si="1"/>
        <v>43.859649122807014</v>
      </c>
      <c r="H54" s="85">
        <f t="shared" si="1"/>
        <v>15.789473684210527</v>
      </c>
      <c r="I54" s="93">
        <v>80</v>
      </c>
      <c r="J54" s="431">
        <v>3</v>
      </c>
      <c r="K54" s="431">
        <v>57</v>
      </c>
      <c r="L54" s="431">
        <v>25</v>
      </c>
      <c r="M54" s="431">
        <v>57</v>
      </c>
      <c r="N54" s="431">
        <v>9</v>
      </c>
      <c r="O54" s="427">
        <v>57</v>
      </c>
      <c r="P54" s="501" t="str">
        <f t="shared" si="6"/>
        <v>VHK (n=57)</v>
      </c>
      <c r="Q54" s="501"/>
      <c r="R54" s="501"/>
      <c r="S54" s="501"/>
    </row>
    <row r="55" spans="1:19">
      <c r="A55" s="44"/>
      <c r="B55" s="351" t="s">
        <v>574</v>
      </c>
      <c r="C55" s="45" t="s">
        <v>76</v>
      </c>
      <c r="D55" s="46">
        <f t="shared" si="3"/>
        <v>0</v>
      </c>
      <c r="E55" s="46">
        <f t="shared" si="4"/>
        <v>30.76923076923077</v>
      </c>
      <c r="F55" s="46">
        <f t="shared" si="5"/>
        <v>53.846153846153847</v>
      </c>
      <c r="G55" s="48">
        <f t="shared" si="1"/>
        <v>30.76923076923077</v>
      </c>
      <c r="H55" s="85">
        <f t="shared" si="1"/>
        <v>23.076923076923077</v>
      </c>
      <c r="I55" s="93">
        <v>80</v>
      </c>
      <c r="J55" s="431">
        <v>0</v>
      </c>
      <c r="K55" s="431">
        <v>39</v>
      </c>
      <c r="L55" s="431">
        <v>12</v>
      </c>
      <c r="M55" s="431">
        <v>39</v>
      </c>
      <c r="N55" s="431">
        <v>9</v>
      </c>
      <c r="O55" s="427">
        <v>39</v>
      </c>
      <c r="P55" s="501" t="str">
        <f t="shared" si="6"/>
        <v>FVRH3 (n=39)</v>
      </c>
      <c r="Q55" s="501"/>
      <c r="R55" s="501"/>
      <c r="S55" s="501"/>
    </row>
    <row r="56" spans="1:19">
      <c r="A56" s="44"/>
      <c r="B56" s="351" t="s">
        <v>178</v>
      </c>
      <c r="C56" s="45" t="s">
        <v>78</v>
      </c>
      <c r="D56" s="46">
        <f t="shared" si="3"/>
        <v>21.710526315789476</v>
      </c>
      <c r="E56" s="46">
        <f t="shared" si="4"/>
        <v>75.657894736842096</v>
      </c>
      <c r="F56" s="46">
        <f t="shared" si="5"/>
        <v>84.210526315789465</v>
      </c>
      <c r="G56" s="48">
        <f t="shared" si="1"/>
        <v>53.947368421052616</v>
      </c>
      <c r="H56" s="85">
        <f t="shared" si="1"/>
        <v>8.5526315789473699</v>
      </c>
      <c r="I56" s="93">
        <v>80</v>
      </c>
      <c r="J56" s="431">
        <v>33</v>
      </c>
      <c r="K56" s="431">
        <v>152</v>
      </c>
      <c r="L56" s="431">
        <v>82</v>
      </c>
      <c r="M56" s="431">
        <v>152</v>
      </c>
      <c r="N56" s="431">
        <v>13</v>
      </c>
      <c r="O56" s="427">
        <v>152</v>
      </c>
      <c r="P56" s="501" t="str">
        <f t="shared" si="6"/>
        <v>ARI (n=152)</v>
      </c>
      <c r="Q56" s="501"/>
      <c r="R56" s="501"/>
      <c r="S56" s="501"/>
    </row>
    <row r="57" spans="1:19">
      <c r="A57" s="44"/>
      <c r="B57" s="351" t="s">
        <v>80</v>
      </c>
      <c r="C57" s="45" t="s">
        <v>81</v>
      </c>
      <c r="D57" s="46">
        <f t="shared" si="3"/>
        <v>0</v>
      </c>
      <c r="E57" s="46">
        <f t="shared" si="4"/>
        <v>25</v>
      </c>
      <c r="F57" s="46">
        <f t="shared" si="5"/>
        <v>25</v>
      </c>
      <c r="G57" s="48">
        <f t="shared" si="1"/>
        <v>25</v>
      </c>
      <c r="H57" s="85">
        <f t="shared" si="1"/>
        <v>0</v>
      </c>
      <c r="I57" s="93">
        <v>80</v>
      </c>
      <c r="J57" s="431">
        <v>0</v>
      </c>
      <c r="K57" s="431">
        <v>8</v>
      </c>
      <c r="L57" s="431">
        <v>2</v>
      </c>
      <c r="M57" s="431">
        <v>8</v>
      </c>
      <c r="N57" s="431">
        <v>0</v>
      </c>
      <c r="O57" s="427">
        <v>8</v>
      </c>
      <c r="P57" s="501" t="str">
        <f t="shared" si="6"/>
        <v>Dr Grays (n=8)</v>
      </c>
      <c r="Q57" s="501"/>
      <c r="R57" s="501"/>
      <c r="S57" s="501"/>
    </row>
    <row r="58" spans="1:19">
      <c r="A58" s="44"/>
      <c r="B58" s="351" t="s">
        <v>575</v>
      </c>
      <c r="C58" s="45" t="s">
        <v>83</v>
      </c>
      <c r="D58" s="46">
        <f t="shared" si="3"/>
        <v>0</v>
      </c>
      <c r="E58" s="46">
        <f t="shared" si="4"/>
        <v>0</v>
      </c>
      <c r="F58" s="46">
        <f t="shared" si="5"/>
        <v>0</v>
      </c>
      <c r="G58" s="48">
        <f t="shared" si="1"/>
        <v>0</v>
      </c>
      <c r="H58" s="85">
        <f t="shared" si="1"/>
        <v>0</v>
      </c>
      <c r="I58" s="93">
        <v>80</v>
      </c>
      <c r="J58" s="431">
        <v>0</v>
      </c>
      <c r="K58" s="431">
        <v>1</v>
      </c>
      <c r="L58" s="431">
        <v>0</v>
      </c>
      <c r="M58" s="431">
        <v>1</v>
      </c>
      <c r="N58" s="431">
        <v>0</v>
      </c>
      <c r="O58" s="427">
        <v>1</v>
      </c>
      <c r="P58" s="501" t="str">
        <f t="shared" si="6"/>
        <v>GRI3 (n=1)</v>
      </c>
      <c r="Q58" s="501"/>
      <c r="R58" s="501"/>
      <c r="S58" s="501"/>
    </row>
    <row r="59" spans="1:19">
      <c r="A59" s="44"/>
      <c r="B59" s="351" t="s">
        <v>532</v>
      </c>
      <c r="C59" s="45" t="s">
        <v>546</v>
      </c>
      <c r="D59" s="46">
        <f t="shared" si="3"/>
        <v>5.7777777777777777</v>
      </c>
      <c r="E59" s="46">
        <f t="shared" si="4"/>
        <v>28.444444444444443</v>
      </c>
      <c r="F59" s="46">
        <f t="shared" si="5"/>
        <v>46.222222222222221</v>
      </c>
      <c r="G59" s="48">
        <f t="shared" si="1"/>
        <v>22.666666666666664</v>
      </c>
      <c r="H59" s="85">
        <f t="shared" si="1"/>
        <v>17.777777777777779</v>
      </c>
      <c r="I59" s="93">
        <v>80</v>
      </c>
      <c r="J59" s="431">
        <v>13</v>
      </c>
      <c r="K59" s="431">
        <v>225</v>
      </c>
      <c r="L59" s="431">
        <v>51</v>
      </c>
      <c r="M59" s="431">
        <v>225</v>
      </c>
      <c r="N59" s="431">
        <v>40</v>
      </c>
      <c r="O59" s="427">
        <v>225</v>
      </c>
      <c r="P59" s="501" t="str">
        <f t="shared" si="6"/>
        <v>QEUH (n=225)</v>
      </c>
      <c r="Q59" s="501"/>
      <c r="R59" s="501"/>
      <c r="S59" s="501"/>
    </row>
    <row r="60" spans="1:19">
      <c r="A60" s="44"/>
      <c r="B60" s="351" t="s">
        <v>188</v>
      </c>
      <c r="C60" s="45" t="s">
        <v>88</v>
      </c>
      <c r="D60" s="46">
        <f t="shared" si="3"/>
        <v>0</v>
      </c>
      <c r="E60" s="46">
        <f t="shared" si="4"/>
        <v>0</v>
      </c>
      <c r="F60" s="46">
        <f t="shared" si="5"/>
        <v>0</v>
      </c>
      <c r="G60" s="48">
        <f t="shared" si="1"/>
        <v>0</v>
      </c>
      <c r="H60" s="85">
        <f t="shared" si="1"/>
        <v>0</v>
      </c>
      <c r="I60" s="93">
        <v>80</v>
      </c>
      <c r="J60" s="431">
        <v>0</v>
      </c>
      <c r="K60" s="431">
        <v>2</v>
      </c>
      <c r="L60" s="431">
        <v>0</v>
      </c>
      <c r="M60" s="431">
        <v>2</v>
      </c>
      <c r="N60" s="431">
        <v>0</v>
      </c>
      <c r="O60" s="427">
        <v>2</v>
      </c>
      <c r="P60" s="501" t="str">
        <f t="shared" si="6"/>
        <v>RAH (n=2)</v>
      </c>
      <c r="Q60" s="501"/>
      <c r="R60" s="501"/>
      <c r="S60" s="501"/>
    </row>
    <row r="61" spans="1:19">
      <c r="A61" s="44"/>
      <c r="B61" s="351" t="s">
        <v>92</v>
      </c>
      <c r="C61" s="45" t="s">
        <v>93</v>
      </c>
      <c r="D61" s="46">
        <f t="shared" si="3"/>
        <v>0</v>
      </c>
      <c r="E61" s="46">
        <f t="shared" si="4"/>
        <v>0</v>
      </c>
      <c r="F61" s="46">
        <f t="shared" si="5"/>
        <v>0</v>
      </c>
      <c r="G61" s="48">
        <f t="shared" si="1"/>
        <v>0</v>
      </c>
      <c r="H61" s="85">
        <f t="shared" si="1"/>
        <v>0</v>
      </c>
      <c r="I61" s="93">
        <v>80</v>
      </c>
      <c r="J61" s="431">
        <v>0</v>
      </c>
      <c r="K61" s="431">
        <v>3</v>
      </c>
      <c r="L61" s="431">
        <v>0</v>
      </c>
      <c r="M61" s="431">
        <v>3</v>
      </c>
      <c r="N61" s="431">
        <v>0</v>
      </c>
      <c r="O61" s="427">
        <v>3</v>
      </c>
      <c r="P61" s="501" t="str">
        <f t="shared" si="6"/>
        <v>Belford (n=3)</v>
      </c>
      <c r="Q61" s="501"/>
      <c r="R61" s="501"/>
      <c r="S61" s="501"/>
    </row>
    <row r="62" spans="1:19">
      <c r="A62" s="44"/>
      <c r="B62" s="351" t="s">
        <v>95</v>
      </c>
      <c r="C62" s="45" t="s">
        <v>96</v>
      </c>
      <c r="D62" s="46">
        <f t="shared" si="3"/>
        <v>0</v>
      </c>
      <c r="E62" s="46">
        <f t="shared" si="4"/>
        <v>27.27272727272727</v>
      </c>
      <c r="F62" s="46">
        <f t="shared" si="5"/>
        <v>54.54545454545454</v>
      </c>
      <c r="G62" s="48">
        <f t="shared" si="1"/>
        <v>27.27272727272727</v>
      </c>
      <c r="H62" s="85">
        <f t="shared" si="1"/>
        <v>27.27272727272727</v>
      </c>
      <c r="I62" s="93">
        <v>80</v>
      </c>
      <c r="J62" s="431">
        <v>0</v>
      </c>
      <c r="K62" s="431">
        <v>11</v>
      </c>
      <c r="L62" s="431">
        <v>3</v>
      </c>
      <c r="M62" s="431">
        <v>11</v>
      </c>
      <c r="N62" s="431">
        <v>3</v>
      </c>
      <c r="O62" s="427">
        <v>11</v>
      </c>
      <c r="P62" s="501" t="str">
        <f t="shared" si="6"/>
        <v>Caithness (n=11)</v>
      </c>
      <c r="Q62" s="501"/>
      <c r="R62" s="501"/>
      <c r="S62" s="501"/>
    </row>
    <row r="63" spans="1:19">
      <c r="A63" s="44"/>
      <c r="B63" s="351" t="s">
        <v>98</v>
      </c>
      <c r="C63" s="45" t="s">
        <v>99</v>
      </c>
      <c r="D63" s="46">
        <f t="shared" si="3"/>
        <v>0</v>
      </c>
      <c r="E63" s="46">
        <f t="shared" si="4"/>
        <v>0</v>
      </c>
      <c r="F63" s="46">
        <f t="shared" si="5"/>
        <v>0</v>
      </c>
      <c r="G63" s="48">
        <f t="shared" si="1"/>
        <v>0</v>
      </c>
      <c r="H63" s="85">
        <f t="shared" si="1"/>
        <v>0</v>
      </c>
      <c r="I63" s="93">
        <v>80</v>
      </c>
      <c r="J63" s="431">
        <v>0</v>
      </c>
      <c r="K63" s="431">
        <v>3</v>
      </c>
      <c r="L63" s="431">
        <v>0</v>
      </c>
      <c r="M63" s="431">
        <v>3</v>
      </c>
      <c r="N63" s="431">
        <v>0</v>
      </c>
      <c r="O63" s="427">
        <v>3</v>
      </c>
      <c r="P63" s="501" t="str">
        <f t="shared" si="6"/>
        <v>L&amp;I (n=3)</v>
      </c>
      <c r="Q63" s="501"/>
      <c r="R63" s="501"/>
      <c r="S63" s="501"/>
    </row>
    <row r="64" spans="1:19">
      <c r="A64" s="44"/>
      <c r="B64" s="351" t="s">
        <v>101</v>
      </c>
      <c r="C64" s="45" t="s">
        <v>102</v>
      </c>
      <c r="D64" s="46">
        <f t="shared" si="3"/>
        <v>0</v>
      </c>
      <c r="E64" s="46">
        <f t="shared" si="4"/>
        <v>19.047619047619047</v>
      </c>
      <c r="F64" s="46">
        <f t="shared" si="5"/>
        <v>47.619047619047613</v>
      </c>
      <c r="G64" s="48">
        <f t="shared" si="1"/>
        <v>19.047619047619047</v>
      </c>
      <c r="H64" s="85">
        <f t="shared" si="1"/>
        <v>28.571428571428566</v>
      </c>
      <c r="I64" s="93">
        <v>80</v>
      </c>
      <c r="J64" s="431">
        <v>0</v>
      </c>
      <c r="K64" s="431">
        <v>21</v>
      </c>
      <c r="L64" s="431">
        <v>4</v>
      </c>
      <c r="M64" s="431">
        <v>21</v>
      </c>
      <c r="N64" s="431">
        <v>6</v>
      </c>
      <c r="O64" s="427">
        <v>21</v>
      </c>
      <c r="P64" s="501" t="str">
        <f t="shared" si="6"/>
        <v>Raigmore (n=21)</v>
      </c>
      <c r="Q64" s="501"/>
      <c r="R64" s="501"/>
      <c r="S64" s="501"/>
    </row>
    <row r="65" spans="1:19">
      <c r="A65" s="44"/>
      <c r="B65" s="351" t="s">
        <v>104</v>
      </c>
      <c r="C65" s="45" t="s">
        <v>105</v>
      </c>
      <c r="D65" s="46">
        <f t="shared" si="3"/>
        <v>3.8461538461538463</v>
      </c>
      <c r="E65" s="46">
        <f t="shared" si="4"/>
        <v>73.076923076923066</v>
      </c>
      <c r="F65" s="46">
        <f t="shared" si="5"/>
        <v>88.461538461538453</v>
      </c>
      <c r="G65" s="48">
        <f t="shared" si="1"/>
        <v>69.230769230769226</v>
      </c>
      <c r="H65" s="85">
        <f t="shared" si="1"/>
        <v>15.384615384615387</v>
      </c>
      <c r="I65" s="93">
        <v>80</v>
      </c>
      <c r="J65" s="431">
        <v>1</v>
      </c>
      <c r="K65" s="431">
        <v>26</v>
      </c>
      <c r="L65" s="431">
        <v>18</v>
      </c>
      <c r="M65" s="431">
        <v>26</v>
      </c>
      <c r="N65" s="431">
        <v>4</v>
      </c>
      <c r="O65" s="427">
        <v>26</v>
      </c>
      <c r="P65" s="501" t="str">
        <f t="shared" si="6"/>
        <v>Hairmyres (n=26)</v>
      </c>
      <c r="Q65" s="501"/>
      <c r="R65" s="501"/>
      <c r="S65" s="501"/>
    </row>
    <row r="66" spans="1:19">
      <c r="A66" s="44"/>
      <c r="B66" s="351" t="s">
        <v>107</v>
      </c>
      <c r="C66" s="45" t="s">
        <v>108</v>
      </c>
      <c r="D66" s="46">
        <f t="shared" si="3"/>
        <v>10.256410256410255</v>
      </c>
      <c r="E66" s="46">
        <f t="shared" si="4"/>
        <v>58.974358974358978</v>
      </c>
      <c r="F66" s="46">
        <f t="shared" si="5"/>
        <v>74.358974358974365</v>
      </c>
      <c r="G66" s="48">
        <f t="shared" si="1"/>
        <v>48.717948717948723</v>
      </c>
      <c r="H66" s="85">
        <f t="shared" si="1"/>
        <v>15.384615384615387</v>
      </c>
      <c r="I66" s="93">
        <v>80</v>
      </c>
      <c r="J66" s="431">
        <v>4</v>
      </c>
      <c r="K66" s="431">
        <v>39</v>
      </c>
      <c r="L66" s="431">
        <v>19</v>
      </c>
      <c r="M66" s="431">
        <v>39</v>
      </c>
      <c r="N66" s="431">
        <v>6</v>
      </c>
      <c r="O66" s="427">
        <v>39</v>
      </c>
      <c r="P66" s="501" t="str">
        <f t="shared" si="6"/>
        <v>Monklands (n=39)</v>
      </c>
      <c r="Q66" s="501"/>
      <c r="R66" s="501"/>
      <c r="S66" s="501"/>
    </row>
    <row r="67" spans="1:19">
      <c r="A67" s="44"/>
      <c r="B67" s="351" t="s">
        <v>110</v>
      </c>
      <c r="C67" s="45" t="s">
        <v>109</v>
      </c>
      <c r="D67" s="46">
        <f t="shared" si="3"/>
        <v>12.76595744680851</v>
      </c>
      <c r="E67" s="46">
        <f t="shared" si="4"/>
        <v>65.957446808510639</v>
      </c>
      <c r="F67" s="46">
        <f t="shared" si="5"/>
        <v>76.59574468085107</v>
      </c>
      <c r="G67" s="48">
        <f t="shared" si="1"/>
        <v>53.191489361702125</v>
      </c>
      <c r="H67" s="85">
        <f t="shared" si="1"/>
        <v>10.638297872340431</v>
      </c>
      <c r="I67" s="93">
        <v>80</v>
      </c>
      <c r="J67" s="431">
        <v>6</v>
      </c>
      <c r="K67" s="431">
        <v>47</v>
      </c>
      <c r="L67" s="431">
        <v>25</v>
      </c>
      <c r="M67" s="431">
        <v>47</v>
      </c>
      <c r="N67" s="431">
        <v>5</v>
      </c>
      <c r="O67" s="427">
        <v>47</v>
      </c>
      <c r="P67" s="501" t="str">
        <f t="shared" si="6"/>
        <v>Wishaw (n=47)</v>
      </c>
      <c r="Q67" s="501"/>
      <c r="R67" s="501"/>
      <c r="S67" s="501"/>
    </row>
    <row r="68" spans="1:19">
      <c r="A68" s="44"/>
      <c r="B68" s="351" t="s">
        <v>112</v>
      </c>
      <c r="C68" s="45" t="s">
        <v>113</v>
      </c>
      <c r="D68" s="46">
        <f t="shared" si="3"/>
        <v>12.941176470588237</v>
      </c>
      <c r="E68" s="46">
        <f t="shared" si="4"/>
        <v>71.764705882352942</v>
      </c>
      <c r="F68" s="46">
        <f t="shared" si="5"/>
        <v>78.82352941176471</v>
      </c>
      <c r="G68" s="48">
        <f t="shared" si="1"/>
        <v>58.823529411764703</v>
      </c>
      <c r="H68" s="85">
        <f t="shared" si="1"/>
        <v>7.058823529411768</v>
      </c>
      <c r="I68" s="93">
        <v>80</v>
      </c>
      <c r="J68" s="431">
        <v>11</v>
      </c>
      <c r="K68" s="431">
        <v>85</v>
      </c>
      <c r="L68" s="431">
        <v>50</v>
      </c>
      <c r="M68" s="431">
        <v>85</v>
      </c>
      <c r="N68" s="431">
        <v>6</v>
      </c>
      <c r="O68" s="427">
        <v>85</v>
      </c>
      <c r="P68" s="501" t="str">
        <f t="shared" si="6"/>
        <v>RIE (n=85)</v>
      </c>
      <c r="Q68" s="501"/>
      <c r="R68" s="501"/>
      <c r="S68" s="501"/>
    </row>
    <row r="69" spans="1:19">
      <c r="A69" s="44"/>
      <c r="B69" s="351" t="s">
        <v>115</v>
      </c>
      <c r="C69" s="45" t="s">
        <v>116</v>
      </c>
      <c r="D69" s="46">
        <f t="shared" si="3"/>
        <v>3.8461538461538463</v>
      </c>
      <c r="E69" s="46">
        <f t="shared" si="4"/>
        <v>65.384615384615387</v>
      </c>
      <c r="F69" s="46">
        <f t="shared" si="5"/>
        <v>76.923076923076934</v>
      </c>
      <c r="G69" s="48">
        <f t="shared" si="1"/>
        <v>61.53846153846154</v>
      </c>
      <c r="H69" s="85">
        <f t="shared" si="1"/>
        <v>11.538461538461547</v>
      </c>
      <c r="I69" s="93">
        <v>80</v>
      </c>
      <c r="J69" s="431">
        <v>1</v>
      </c>
      <c r="K69" s="431">
        <v>26</v>
      </c>
      <c r="L69" s="431">
        <v>16</v>
      </c>
      <c r="M69" s="431">
        <v>26</v>
      </c>
      <c r="N69" s="431">
        <v>3</v>
      </c>
      <c r="O69" s="427">
        <v>26</v>
      </c>
      <c r="P69" s="501" t="str">
        <f t="shared" si="6"/>
        <v>SJH (n=26)</v>
      </c>
      <c r="Q69" s="501"/>
      <c r="R69" s="501"/>
      <c r="S69" s="501"/>
    </row>
    <row r="70" spans="1:19">
      <c r="A70" s="44"/>
      <c r="B70" s="351" t="s">
        <v>118</v>
      </c>
      <c r="C70" s="45" t="s">
        <v>119</v>
      </c>
      <c r="D70" s="46">
        <f t="shared" si="3"/>
        <v>18.181818181818183</v>
      </c>
      <c r="E70" s="46">
        <f t="shared" si="4"/>
        <v>27.27272727272727</v>
      </c>
      <c r="F70" s="46">
        <f t="shared" si="5"/>
        <v>27.27272727272727</v>
      </c>
      <c r="G70" s="48">
        <f t="shared" si="1"/>
        <v>9.0909090909090864</v>
      </c>
      <c r="H70" s="85">
        <f t="shared" si="1"/>
        <v>0</v>
      </c>
      <c r="I70" s="93">
        <v>80</v>
      </c>
      <c r="J70" s="431">
        <v>2</v>
      </c>
      <c r="K70" s="431">
        <v>11</v>
      </c>
      <c r="L70" s="431">
        <v>1</v>
      </c>
      <c r="M70" s="431">
        <v>11</v>
      </c>
      <c r="N70" s="431">
        <v>0</v>
      </c>
      <c r="O70" s="427">
        <v>11</v>
      </c>
      <c r="P70" s="501" t="str">
        <f t="shared" si="6"/>
        <v>WGH (n=11)</v>
      </c>
      <c r="Q70" s="501"/>
      <c r="R70" s="501"/>
      <c r="S70" s="501"/>
    </row>
    <row r="71" spans="1:19">
      <c r="A71" s="44"/>
      <c r="B71" s="351" t="s">
        <v>121</v>
      </c>
      <c r="C71" s="45" t="s">
        <v>122</v>
      </c>
      <c r="D71" s="46">
        <f t="shared" si="3"/>
        <v>0</v>
      </c>
      <c r="E71" s="46">
        <f t="shared" si="4"/>
        <v>0</v>
      </c>
      <c r="F71" s="46">
        <f t="shared" si="5"/>
        <v>0</v>
      </c>
      <c r="G71" s="48">
        <f t="shared" si="1"/>
        <v>0</v>
      </c>
      <c r="H71" s="85">
        <f t="shared" si="1"/>
        <v>0</v>
      </c>
      <c r="I71" s="93">
        <v>80</v>
      </c>
      <c r="J71" s="431">
        <v>0</v>
      </c>
      <c r="K71" s="431">
        <v>2</v>
      </c>
      <c r="L71" s="431">
        <v>0</v>
      </c>
      <c r="M71" s="431">
        <v>2</v>
      </c>
      <c r="N71" s="431">
        <v>0</v>
      </c>
      <c r="O71" s="427">
        <v>2</v>
      </c>
      <c r="P71" s="501" t="str">
        <f t="shared" si="6"/>
        <v>Balfour (n=2)</v>
      </c>
      <c r="Q71" s="501"/>
      <c r="R71" s="501"/>
      <c r="S71" s="501"/>
    </row>
    <row r="72" spans="1:19">
      <c r="A72" s="44"/>
      <c r="B72" s="351" t="s">
        <v>124</v>
      </c>
      <c r="C72" s="45" t="s">
        <v>125</v>
      </c>
      <c r="D72" s="46">
        <f t="shared" si="3"/>
        <v>0</v>
      </c>
      <c r="E72" s="46">
        <f t="shared" si="4"/>
        <v>0</v>
      </c>
      <c r="F72" s="46">
        <f t="shared" si="5"/>
        <v>0</v>
      </c>
      <c r="G72" s="48">
        <f t="shared" si="1"/>
        <v>0</v>
      </c>
      <c r="H72" s="85">
        <f t="shared" si="1"/>
        <v>0</v>
      </c>
      <c r="I72" s="93">
        <v>80</v>
      </c>
      <c r="J72" s="431">
        <v>0</v>
      </c>
      <c r="K72" s="431">
        <v>2</v>
      </c>
      <c r="L72" s="431">
        <v>0</v>
      </c>
      <c r="M72" s="431">
        <v>2</v>
      </c>
      <c r="N72" s="431">
        <v>0</v>
      </c>
      <c r="O72" s="427">
        <v>2</v>
      </c>
      <c r="P72" s="501" t="str">
        <f t="shared" si="6"/>
        <v>Gilbert Bain (n=2)</v>
      </c>
      <c r="Q72" s="501"/>
      <c r="R72" s="501"/>
      <c r="S72" s="501"/>
    </row>
    <row r="73" spans="1:19">
      <c r="A73" s="44"/>
      <c r="B73" s="351" t="s">
        <v>127</v>
      </c>
      <c r="C73" s="45" t="s">
        <v>128</v>
      </c>
      <c r="D73" s="46">
        <f t="shared" si="3"/>
        <v>7.6923076923076925</v>
      </c>
      <c r="E73" s="46">
        <f t="shared" si="4"/>
        <v>63.46153846153846</v>
      </c>
      <c r="F73" s="46">
        <f t="shared" si="5"/>
        <v>73.076923076923066</v>
      </c>
      <c r="G73" s="48">
        <f t="shared" si="1"/>
        <v>55.769230769230766</v>
      </c>
      <c r="H73" s="85">
        <f t="shared" si="1"/>
        <v>9.6153846153846061</v>
      </c>
      <c r="I73" s="93">
        <v>80</v>
      </c>
      <c r="J73" s="431">
        <v>4</v>
      </c>
      <c r="K73" s="431">
        <v>52</v>
      </c>
      <c r="L73" s="431">
        <v>29</v>
      </c>
      <c r="M73" s="431">
        <v>52</v>
      </c>
      <c r="N73" s="431">
        <v>5</v>
      </c>
      <c r="O73" s="427">
        <v>52</v>
      </c>
      <c r="P73" s="501" t="str">
        <f t="shared" si="6"/>
        <v>Ninewells (n=52)</v>
      </c>
      <c r="Q73" s="501"/>
      <c r="R73" s="501"/>
      <c r="S73" s="501"/>
    </row>
    <row r="74" spans="1:19">
      <c r="A74" s="44"/>
      <c r="B74" s="351" t="s">
        <v>130</v>
      </c>
      <c r="C74" s="45" t="s">
        <v>131</v>
      </c>
      <c r="D74" s="46">
        <f t="shared" si="3"/>
        <v>13.636363636363635</v>
      </c>
      <c r="E74" s="46">
        <f t="shared" si="4"/>
        <v>54.54545454545454</v>
      </c>
      <c r="F74" s="46">
        <f t="shared" si="5"/>
        <v>59.090909090909093</v>
      </c>
      <c r="G74" s="86">
        <f t="shared" si="1"/>
        <v>40.909090909090907</v>
      </c>
      <c r="H74" s="87">
        <f t="shared" si="1"/>
        <v>4.5454545454545539</v>
      </c>
      <c r="I74" s="93">
        <v>80</v>
      </c>
      <c r="J74" s="431">
        <v>3</v>
      </c>
      <c r="K74" s="431">
        <v>22</v>
      </c>
      <c r="L74" s="431">
        <v>9</v>
      </c>
      <c r="M74" s="431">
        <v>22</v>
      </c>
      <c r="N74" s="431">
        <v>1</v>
      </c>
      <c r="O74" s="427">
        <v>22</v>
      </c>
      <c r="P74" s="501" t="str">
        <f t="shared" si="6"/>
        <v>PRI (n=22)</v>
      </c>
      <c r="Q74" s="501"/>
      <c r="R74" s="501"/>
      <c r="S74" s="501"/>
    </row>
    <row r="75" spans="1:19">
      <c r="A75" s="44"/>
      <c r="B75" s="351" t="s">
        <v>39</v>
      </c>
      <c r="C75" s="45" t="s">
        <v>136</v>
      </c>
      <c r="D75" s="46">
        <f t="shared" si="3"/>
        <v>0</v>
      </c>
      <c r="E75" s="46">
        <f t="shared" si="4"/>
        <v>50</v>
      </c>
      <c r="F75" s="46">
        <f t="shared" si="5"/>
        <v>62.5</v>
      </c>
      <c r="G75" s="352">
        <f t="shared" si="1"/>
        <v>50</v>
      </c>
      <c r="H75" s="353">
        <f t="shared" si="1"/>
        <v>12.5</v>
      </c>
      <c r="I75" s="354">
        <v>80</v>
      </c>
      <c r="J75" s="431">
        <v>0</v>
      </c>
      <c r="K75" s="431">
        <v>8</v>
      </c>
      <c r="L75" s="431">
        <v>4</v>
      </c>
      <c r="M75" s="431">
        <v>8</v>
      </c>
      <c r="N75" s="431">
        <v>1</v>
      </c>
      <c r="O75" s="427">
        <v>8</v>
      </c>
      <c r="P75" s="501" t="str">
        <f t="shared" si="6"/>
        <v>Western Isles (n=8)</v>
      </c>
      <c r="Q75" s="501"/>
      <c r="R75" s="501"/>
      <c r="S75" s="501"/>
    </row>
    <row r="76" spans="1:19" ht="15">
      <c r="B76" s="51"/>
      <c r="D76"/>
      <c r="E76"/>
      <c r="F76"/>
      <c r="G76"/>
      <c r="H76"/>
      <c r="I76"/>
      <c r="J76"/>
    </row>
    <row r="77" spans="1:19" ht="15">
      <c r="B77" s="51"/>
      <c r="D77"/>
      <c r="E77"/>
      <c r="F77"/>
      <c r="G77"/>
      <c r="H77"/>
      <c r="I77"/>
      <c r="J77"/>
    </row>
    <row r="78" spans="1:19" ht="15">
      <c r="D78"/>
      <c r="E78"/>
      <c r="F78"/>
      <c r="G78"/>
      <c r="H78"/>
      <c r="I78"/>
      <c r="J78"/>
    </row>
    <row r="79" spans="1:19" ht="15">
      <c r="B79" s="51"/>
      <c r="D79"/>
      <c r="E79"/>
      <c r="F79"/>
      <c r="G79"/>
      <c r="H79"/>
      <c r="I79"/>
      <c r="J79"/>
    </row>
    <row r="80" spans="1:19" ht="15">
      <c r="B80" s="51"/>
      <c r="D80"/>
      <c r="E80"/>
      <c r="F80"/>
      <c r="G80"/>
      <c r="H80"/>
      <c r="I80"/>
      <c r="J80"/>
    </row>
    <row r="81" spans="1:16" ht="15">
      <c r="B81" s="51"/>
      <c r="D81"/>
      <c r="E81"/>
      <c r="F81"/>
      <c r="G81"/>
      <c r="H81"/>
      <c r="I81"/>
      <c r="J81"/>
    </row>
    <row r="82" spans="1:16" s="462" customFormat="1" ht="15">
      <c r="A82" s="463"/>
      <c r="B82" s="51"/>
      <c r="C82" s="463"/>
      <c r="D82"/>
      <c r="E82"/>
      <c r="F82"/>
      <c r="G82"/>
      <c r="H82"/>
      <c r="I82"/>
      <c r="J82"/>
      <c r="K82" s="463"/>
      <c r="L82" s="463"/>
      <c r="M82" s="463"/>
      <c r="N82" s="463"/>
      <c r="O82" s="463"/>
      <c r="P82" s="463"/>
    </row>
    <row r="83" spans="1:16" s="462" customFormat="1" ht="15">
      <c r="A83" s="463"/>
      <c r="B83" s="51"/>
      <c r="C83" s="463"/>
      <c r="D83"/>
      <c r="E83"/>
      <c r="F83"/>
      <c r="G83"/>
      <c r="H83"/>
      <c r="I83"/>
      <c r="J83"/>
      <c r="K83" s="463"/>
      <c r="L83" s="463"/>
      <c r="M83" s="463"/>
      <c r="N83" s="463"/>
      <c r="O83" s="463"/>
      <c r="P83" s="463"/>
    </row>
    <row r="84" spans="1:16" s="462" customFormat="1" ht="15">
      <c r="A84" s="463"/>
      <c r="B84" s="51"/>
      <c r="C84" s="463"/>
      <c r="D84"/>
      <c r="E84"/>
      <c r="F84"/>
      <c r="G84"/>
      <c r="H84"/>
      <c r="I84"/>
      <c r="J84"/>
      <c r="K84" s="463"/>
      <c r="L84" s="463"/>
      <c r="M84" s="463"/>
      <c r="N84" s="463"/>
      <c r="O84" s="463"/>
      <c r="P84" s="463"/>
    </row>
    <row r="85" spans="1:16" ht="15">
      <c r="B85" s="51"/>
      <c r="D85"/>
      <c r="E85"/>
      <c r="F85"/>
      <c r="G85"/>
      <c r="H85"/>
      <c r="I85"/>
      <c r="J85"/>
    </row>
    <row r="86" spans="1:16" ht="15">
      <c r="D86"/>
      <c r="E86"/>
      <c r="F86"/>
      <c r="G86"/>
      <c r="H86"/>
      <c r="I86"/>
      <c r="J86"/>
    </row>
    <row r="87" spans="1:16" ht="15">
      <c r="D87"/>
      <c r="E87"/>
      <c r="F87"/>
      <c r="G87"/>
      <c r="H87"/>
      <c r="I87"/>
      <c r="J87"/>
    </row>
    <row r="88" spans="1:16" ht="15">
      <c r="D88"/>
      <c r="E88"/>
      <c r="F88"/>
      <c r="G88"/>
      <c r="H88"/>
      <c r="I88"/>
      <c r="J88"/>
    </row>
    <row r="89" spans="1:16" ht="15">
      <c r="D89"/>
      <c r="E89"/>
      <c r="F89"/>
      <c r="G89"/>
      <c r="H89"/>
      <c r="I89"/>
      <c r="J89"/>
    </row>
    <row r="90" spans="1:16" ht="15">
      <c r="D90"/>
      <c r="E90"/>
      <c r="F90"/>
      <c r="G90"/>
      <c r="H90"/>
      <c r="I90"/>
      <c r="J90"/>
    </row>
    <row r="91" spans="1:16" ht="15">
      <c r="D91"/>
      <c r="E91"/>
      <c r="F91"/>
      <c r="G91"/>
      <c r="H91"/>
      <c r="I91"/>
      <c r="J91"/>
    </row>
    <row r="92" spans="1:16" ht="15">
      <c r="D92"/>
      <c r="E92"/>
      <c r="F92"/>
      <c r="G92"/>
      <c r="H92"/>
      <c r="I92"/>
      <c r="J92"/>
    </row>
    <row r="93" spans="1:16" ht="15">
      <c r="D93"/>
      <c r="E93"/>
      <c r="F93"/>
      <c r="G93"/>
      <c r="H93"/>
      <c r="I93"/>
      <c r="J93"/>
    </row>
    <row r="94" spans="1:16" ht="15">
      <c r="D94"/>
      <c r="E94"/>
      <c r="F94"/>
      <c r="G94"/>
      <c r="H94"/>
      <c r="I94"/>
      <c r="J94"/>
    </row>
    <row r="95" spans="1:16" ht="15">
      <c r="D95"/>
      <c r="E95"/>
      <c r="F95"/>
      <c r="G95"/>
      <c r="H95"/>
      <c r="I95"/>
      <c r="J95"/>
    </row>
    <row r="96" spans="1:16" ht="15">
      <c r="D96"/>
      <c r="E96"/>
      <c r="F96"/>
      <c r="G96"/>
      <c r="H96"/>
      <c r="I96"/>
      <c r="J96"/>
    </row>
    <row r="97" spans="4:10" ht="15">
      <c r="D97"/>
      <c r="E97"/>
      <c r="F97"/>
      <c r="G97"/>
      <c r="H97"/>
      <c r="I97"/>
      <c r="J97"/>
    </row>
    <row r="98" spans="4:10" ht="15">
      <c r="D98"/>
      <c r="E98"/>
      <c r="F98"/>
      <c r="G98"/>
      <c r="H98"/>
      <c r="I98"/>
      <c r="J98"/>
    </row>
    <row r="99" spans="4:10" ht="15">
      <c r="D99"/>
      <c r="E99"/>
      <c r="F99"/>
      <c r="G99"/>
      <c r="H99"/>
      <c r="I99"/>
      <c r="J99"/>
    </row>
    <row r="100" spans="4:10" ht="15">
      <c r="D100"/>
      <c r="E100"/>
      <c r="F100"/>
      <c r="G100"/>
      <c r="H100"/>
      <c r="I100"/>
      <c r="J100"/>
    </row>
    <row r="101" spans="4:10" ht="15">
      <c r="D101"/>
      <c r="E101"/>
      <c r="F101"/>
      <c r="G101"/>
      <c r="H101"/>
      <c r="I101"/>
      <c r="J101"/>
    </row>
    <row r="102" spans="4:10" ht="15">
      <c r="D102"/>
      <c r="E102"/>
      <c r="F102"/>
      <c r="G102"/>
      <c r="H102"/>
      <c r="I102"/>
      <c r="J102"/>
    </row>
    <row r="103" spans="4:10" ht="15">
      <c r="D103"/>
      <c r="E103"/>
      <c r="F103"/>
      <c r="G103"/>
      <c r="H103"/>
      <c r="I103"/>
      <c r="J103"/>
    </row>
    <row r="104" spans="4:10" ht="15">
      <c r="D104"/>
      <c r="E104"/>
      <c r="F104"/>
      <c r="G104"/>
      <c r="H104"/>
      <c r="I104"/>
      <c r="J104"/>
    </row>
    <row r="105" spans="4:10" ht="15">
      <c r="D105"/>
      <c r="E105"/>
      <c r="F105"/>
      <c r="G105"/>
      <c r="H105"/>
      <c r="I105"/>
      <c r="J105"/>
    </row>
  </sheetData>
  <sheetProtection password="B8D9" sheet="1" objects="1" scenarios="1"/>
  <mergeCells count="15">
    <mergeCell ref="N46:O46"/>
    <mergeCell ref="B40:L40"/>
    <mergeCell ref="B41:L42"/>
    <mergeCell ref="B46:C46"/>
    <mergeCell ref="D46:F46"/>
    <mergeCell ref="J46:K46"/>
    <mergeCell ref="L46:M46"/>
    <mergeCell ref="B43:L43"/>
    <mergeCell ref="B44:L44"/>
    <mergeCell ref="B39:L39"/>
    <mergeCell ref="B1:J2"/>
    <mergeCell ref="K1:L2"/>
    <mergeCell ref="B3:I5"/>
    <mergeCell ref="B36:L36"/>
    <mergeCell ref="B38:L38"/>
  </mergeCells>
  <hyperlinks>
    <hyperlink ref="K1:L2" location="'List of Tables &amp; Charts'!A1" display="return to List of Tables &amp; Charts"/>
  </hyperlinks>
  <printOptions horizontalCentered="1"/>
  <pageMargins left="0" right="0" top="0.27559055118110237" bottom="0.51181102362204722" header="0.15748031496062992" footer="0.19685039370078741"/>
  <pageSetup paperSize="9" scale="52" orientation="landscape" r:id="rId1"/>
  <headerFooter alignWithMargins="0">
    <oddFooter>&amp;L&amp;8Scottish Stroke Care Audit 2016 National Report
Stroke Services in Scottish Hospitals, Data relating to 2015&amp;R&amp;8© NHS National Services Scotland/Crown Copyright</oddFooter>
  </headerFooter>
  <rowBreaks count="1" manualBreakCount="1">
    <brk id="44" max="16383" man="1"/>
  </rowBreaks>
  <drawing r:id="rId2"/>
</worksheet>
</file>

<file path=xl/worksheets/sheet53.xml><?xml version="1.0" encoding="utf-8"?>
<worksheet xmlns="http://schemas.openxmlformats.org/spreadsheetml/2006/main" xmlns:r="http://schemas.openxmlformats.org/officeDocument/2006/relationships">
  <sheetPr codeName="Sheet54">
    <pageSetUpPr fitToPage="1"/>
  </sheetPr>
  <dimension ref="A1:S103"/>
  <sheetViews>
    <sheetView showGridLines="0" zoomScaleNormal="100" workbookViewId="0">
      <pane ySplit="5" topLeftCell="A6" activePane="bottomLeft" state="frozen"/>
      <selection activeCell="B38" sqref="B38:J38"/>
      <selection pane="bottomLeft" activeCell="A6" sqref="A6"/>
    </sheetView>
  </sheetViews>
  <sheetFormatPr defaultRowHeight="12.75"/>
  <cols>
    <col min="1" max="1" width="1.7109375" style="496" customWidth="1"/>
    <col min="2" max="2" width="16.7109375" style="496" customWidth="1"/>
    <col min="3" max="3" width="45.7109375" style="496" customWidth="1"/>
    <col min="4" max="6" width="10.7109375" style="494" customWidth="1"/>
    <col min="7" max="9" width="1.7109375" style="494" customWidth="1"/>
    <col min="10" max="10" width="9.28515625" style="494" customWidth="1"/>
    <col min="11" max="11" width="11.28515625" style="496" customWidth="1"/>
    <col min="12" max="12" width="9.28515625" style="496" customWidth="1"/>
    <col min="13" max="13" width="11.28515625" style="496" customWidth="1"/>
    <col min="14" max="14" width="9.28515625" style="496" customWidth="1"/>
    <col min="15" max="15" width="11.28515625" style="496" customWidth="1"/>
    <col min="16" max="256" width="9.140625" style="496"/>
    <col min="257" max="257" width="1.7109375" style="496" customWidth="1"/>
    <col min="258" max="258" width="16.7109375" style="496" customWidth="1"/>
    <col min="259" max="259" width="45.7109375" style="496" customWidth="1"/>
    <col min="260" max="262" width="10.7109375" style="496" customWidth="1"/>
    <col min="263" max="265" width="1.7109375" style="496" customWidth="1"/>
    <col min="266" max="266" width="9.28515625" style="496" customWidth="1"/>
    <col min="267" max="267" width="11.28515625" style="496" customWidth="1"/>
    <col min="268" max="268" width="9.28515625" style="496" customWidth="1"/>
    <col min="269" max="269" width="11.28515625" style="496" customWidth="1"/>
    <col min="270" max="270" width="9.28515625" style="496" customWidth="1"/>
    <col min="271" max="271" width="11.28515625" style="496" customWidth="1"/>
    <col min="272" max="512" width="9.140625" style="496"/>
    <col min="513" max="513" width="1.7109375" style="496" customWidth="1"/>
    <col min="514" max="514" width="16.7109375" style="496" customWidth="1"/>
    <col min="515" max="515" width="45.7109375" style="496" customWidth="1"/>
    <col min="516" max="518" width="10.7109375" style="496" customWidth="1"/>
    <col min="519" max="521" width="1.7109375" style="496" customWidth="1"/>
    <col min="522" max="522" width="9.28515625" style="496" customWidth="1"/>
    <col min="523" max="523" width="11.28515625" style="496" customWidth="1"/>
    <col min="524" max="524" width="9.28515625" style="496" customWidth="1"/>
    <col min="525" max="525" width="11.28515625" style="496" customWidth="1"/>
    <col min="526" max="526" width="9.28515625" style="496" customWidth="1"/>
    <col min="527" max="527" width="11.28515625" style="496" customWidth="1"/>
    <col min="528" max="768" width="9.140625" style="496"/>
    <col min="769" max="769" width="1.7109375" style="496" customWidth="1"/>
    <col min="770" max="770" width="16.7109375" style="496" customWidth="1"/>
    <col min="771" max="771" width="45.7109375" style="496" customWidth="1"/>
    <col min="772" max="774" width="10.7109375" style="496" customWidth="1"/>
    <col min="775" max="777" width="1.7109375" style="496" customWidth="1"/>
    <col min="778" max="778" width="9.28515625" style="496" customWidth="1"/>
    <col min="779" max="779" width="11.28515625" style="496" customWidth="1"/>
    <col min="780" max="780" width="9.28515625" style="496" customWidth="1"/>
    <col min="781" max="781" width="11.28515625" style="496" customWidth="1"/>
    <col min="782" max="782" width="9.28515625" style="496" customWidth="1"/>
    <col min="783" max="783" width="11.28515625" style="496" customWidth="1"/>
    <col min="784" max="1024" width="9.140625" style="496"/>
    <col min="1025" max="1025" width="1.7109375" style="496" customWidth="1"/>
    <col min="1026" max="1026" width="16.7109375" style="496" customWidth="1"/>
    <col min="1027" max="1027" width="45.7109375" style="496" customWidth="1"/>
    <col min="1028" max="1030" width="10.7109375" style="496" customWidth="1"/>
    <col min="1031" max="1033" width="1.7109375" style="496" customWidth="1"/>
    <col min="1034" max="1034" width="9.28515625" style="496" customWidth="1"/>
    <col min="1035" max="1035" width="11.28515625" style="496" customWidth="1"/>
    <col min="1036" max="1036" width="9.28515625" style="496" customWidth="1"/>
    <col min="1037" max="1037" width="11.28515625" style="496" customWidth="1"/>
    <col min="1038" max="1038" width="9.28515625" style="496" customWidth="1"/>
    <col min="1039" max="1039" width="11.28515625" style="496" customWidth="1"/>
    <col min="1040" max="1280" width="9.140625" style="496"/>
    <col min="1281" max="1281" width="1.7109375" style="496" customWidth="1"/>
    <col min="1282" max="1282" width="16.7109375" style="496" customWidth="1"/>
    <col min="1283" max="1283" width="45.7109375" style="496" customWidth="1"/>
    <col min="1284" max="1286" width="10.7109375" style="496" customWidth="1"/>
    <col min="1287" max="1289" width="1.7109375" style="496" customWidth="1"/>
    <col min="1290" max="1290" width="9.28515625" style="496" customWidth="1"/>
    <col min="1291" max="1291" width="11.28515625" style="496" customWidth="1"/>
    <col min="1292" max="1292" width="9.28515625" style="496" customWidth="1"/>
    <col min="1293" max="1293" width="11.28515625" style="496" customWidth="1"/>
    <col min="1294" max="1294" width="9.28515625" style="496" customWidth="1"/>
    <col min="1295" max="1295" width="11.28515625" style="496" customWidth="1"/>
    <col min="1296" max="1536" width="9.140625" style="496"/>
    <col min="1537" max="1537" width="1.7109375" style="496" customWidth="1"/>
    <col min="1538" max="1538" width="16.7109375" style="496" customWidth="1"/>
    <col min="1539" max="1539" width="45.7109375" style="496" customWidth="1"/>
    <col min="1540" max="1542" width="10.7109375" style="496" customWidth="1"/>
    <col min="1543" max="1545" width="1.7109375" style="496" customWidth="1"/>
    <col min="1546" max="1546" width="9.28515625" style="496" customWidth="1"/>
    <col min="1547" max="1547" width="11.28515625" style="496" customWidth="1"/>
    <col min="1548" max="1548" width="9.28515625" style="496" customWidth="1"/>
    <col min="1549" max="1549" width="11.28515625" style="496" customWidth="1"/>
    <col min="1550" max="1550" width="9.28515625" style="496" customWidth="1"/>
    <col min="1551" max="1551" width="11.28515625" style="496" customWidth="1"/>
    <col min="1552" max="1792" width="9.140625" style="496"/>
    <col min="1793" max="1793" width="1.7109375" style="496" customWidth="1"/>
    <col min="1794" max="1794" width="16.7109375" style="496" customWidth="1"/>
    <col min="1795" max="1795" width="45.7109375" style="496" customWidth="1"/>
    <col min="1796" max="1798" width="10.7109375" style="496" customWidth="1"/>
    <col min="1799" max="1801" width="1.7109375" style="496" customWidth="1"/>
    <col min="1802" max="1802" width="9.28515625" style="496" customWidth="1"/>
    <col min="1803" max="1803" width="11.28515625" style="496" customWidth="1"/>
    <col min="1804" max="1804" width="9.28515625" style="496" customWidth="1"/>
    <col min="1805" max="1805" width="11.28515625" style="496" customWidth="1"/>
    <col min="1806" max="1806" width="9.28515625" style="496" customWidth="1"/>
    <col min="1807" max="1807" width="11.28515625" style="496" customWidth="1"/>
    <col min="1808" max="2048" width="9.140625" style="496"/>
    <col min="2049" max="2049" width="1.7109375" style="496" customWidth="1"/>
    <col min="2050" max="2050" width="16.7109375" style="496" customWidth="1"/>
    <col min="2051" max="2051" width="45.7109375" style="496" customWidth="1"/>
    <col min="2052" max="2054" width="10.7109375" style="496" customWidth="1"/>
    <col min="2055" max="2057" width="1.7109375" style="496" customWidth="1"/>
    <col min="2058" max="2058" width="9.28515625" style="496" customWidth="1"/>
    <col min="2059" max="2059" width="11.28515625" style="496" customWidth="1"/>
    <col min="2060" max="2060" width="9.28515625" style="496" customWidth="1"/>
    <col min="2061" max="2061" width="11.28515625" style="496" customWidth="1"/>
    <col min="2062" max="2062" width="9.28515625" style="496" customWidth="1"/>
    <col min="2063" max="2063" width="11.28515625" style="496" customWidth="1"/>
    <col min="2064" max="2304" width="9.140625" style="496"/>
    <col min="2305" max="2305" width="1.7109375" style="496" customWidth="1"/>
    <col min="2306" max="2306" width="16.7109375" style="496" customWidth="1"/>
    <col min="2307" max="2307" width="45.7109375" style="496" customWidth="1"/>
    <col min="2308" max="2310" width="10.7109375" style="496" customWidth="1"/>
    <col min="2311" max="2313" width="1.7109375" style="496" customWidth="1"/>
    <col min="2314" max="2314" width="9.28515625" style="496" customWidth="1"/>
    <col min="2315" max="2315" width="11.28515625" style="496" customWidth="1"/>
    <col min="2316" max="2316" width="9.28515625" style="496" customWidth="1"/>
    <col min="2317" max="2317" width="11.28515625" style="496" customWidth="1"/>
    <col min="2318" max="2318" width="9.28515625" style="496" customWidth="1"/>
    <col min="2319" max="2319" width="11.28515625" style="496" customWidth="1"/>
    <col min="2320" max="2560" width="9.140625" style="496"/>
    <col min="2561" max="2561" width="1.7109375" style="496" customWidth="1"/>
    <col min="2562" max="2562" width="16.7109375" style="496" customWidth="1"/>
    <col min="2563" max="2563" width="45.7109375" style="496" customWidth="1"/>
    <col min="2564" max="2566" width="10.7109375" style="496" customWidth="1"/>
    <col min="2567" max="2569" width="1.7109375" style="496" customWidth="1"/>
    <col min="2570" max="2570" width="9.28515625" style="496" customWidth="1"/>
    <col min="2571" max="2571" width="11.28515625" style="496" customWidth="1"/>
    <col min="2572" max="2572" width="9.28515625" style="496" customWidth="1"/>
    <col min="2573" max="2573" width="11.28515625" style="496" customWidth="1"/>
    <col min="2574" max="2574" width="9.28515625" style="496" customWidth="1"/>
    <col min="2575" max="2575" width="11.28515625" style="496" customWidth="1"/>
    <col min="2576" max="2816" width="9.140625" style="496"/>
    <col min="2817" max="2817" width="1.7109375" style="496" customWidth="1"/>
    <col min="2818" max="2818" width="16.7109375" style="496" customWidth="1"/>
    <col min="2819" max="2819" width="45.7109375" style="496" customWidth="1"/>
    <col min="2820" max="2822" width="10.7109375" style="496" customWidth="1"/>
    <col min="2823" max="2825" width="1.7109375" style="496" customWidth="1"/>
    <col min="2826" max="2826" width="9.28515625" style="496" customWidth="1"/>
    <col min="2827" max="2827" width="11.28515625" style="496" customWidth="1"/>
    <col min="2828" max="2828" width="9.28515625" style="496" customWidth="1"/>
    <col min="2829" max="2829" width="11.28515625" style="496" customWidth="1"/>
    <col min="2830" max="2830" width="9.28515625" style="496" customWidth="1"/>
    <col min="2831" max="2831" width="11.28515625" style="496" customWidth="1"/>
    <col min="2832" max="3072" width="9.140625" style="496"/>
    <col min="3073" max="3073" width="1.7109375" style="496" customWidth="1"/>
    <col min="3074" max="3074" width="16.7109375" style="496" customWidth="1"/>
    <col min="3075" max="3075" width="45.7109375" style="496" customWidth="1"/>
    <col min="3076" max="3078" width="10.7109375" style="496" customWidth="1"/>
    <col min="3079" max="3081" width="1.7109375" style="496" customWidth="1"/>
    <col min="3082" max="3082" width="9.28515625" style="496" customWidth="1"/>
    <col min="3083" max="3083" width="11.28515625" style="496" customWidth="1"/>
    <col min="3084" max="3084" width="9.28515625" style="496" customWidth="1"/>
    <col min="3085" max="3085" width="11.28515625" style="496" customWidth="1"/>
    <col min="3086" max="3086" width="9.28515625" style="496" customWidth="1"/>
    <col min="3087" max="3087" width="11.28515625" style="496" customWidth="1"/>
    <col min="3088" max="3328" width="9.140625" style="496"/>
    <col min="3329" max="3329" width="1.7109375" style="496" customWidth="1"/>
    <col min="3330" max="3330" width="16.7109375" style="496" customWidth="1"/>
    <col min="3331" max="3331" width="45.7109375" style="496" customWidth="1"/>
    <col min="3332" max="3334" width="10.7109375" style="496" customWidth="1"/>
    <col min="3335" max="3337" width="1.7109375" style="496" customWidth="1"/>
    <col min="3338" max="3338" width="9.28515625" style="496" customWidth="1"/>
    <col min="3339" max="3339" width="11.28515625" style="496" customWidth="1"/>
    <col min="3340" max="3340" width="9.28515625" style="496" customWidth="1"/>
    <col min="3341" max="3341" width="11.28515625" style="496" customWidth="1"/>
    <col min="3342" max="3342" width="9.28515625" style="496" customWidth="1"/>
    <col min="3343" max="3343" width="11.28515625" style="496" customWidth="1"/>
    <col min="3344" max="3584" width="9.140625" style="496"/>
    <col min="3585" max="3585" width="1.7109375" style="496" customWidth="1"/>
    <col min="3586" max="3586" width="16.7109375" style="496" customWidth="1"/>
    <col min="3587" max="3587" width="45.7109375" style="496" customWidth="1"/>
    <col min="3588" max="3590" width="10.7109375" style="496" customWidth="1"/>
    <col min="3591" max="3593" width="1.7109375" style="496" customWidth="1"/>
    <col min="3594" max="3594" width="9.28515625" style="496" customWidth="1"/>
    <col min="3595" max="3595" width="11.28515625" style="496" customWidth="1"/>
    <col min="3596" max="3596" width="9.28515625" style="496" customWidth="1"/>
    <col min="3597" max="3597" width="11.28515625" style="496" customWidth="1"/>
    <col min="3598" max="3598" width="9.28515625" style="496" customWidth="1"/>
    <col min="3599" max="3599" width="11.28515625" style="496" customWidth="1"/>
    <col min="3600" max="3840" width="9.140625" style="496"/>
    <col min="3841" max="3841" width="1.7109375" style="496" customWidth="1"/>
    <col min="3842" max="3842" width="16.7109375" style="496" customWidth="1"/>
    <col min="3843" max="3843" width="45.7109375" style="496" customWidth="1"/>
    <col min="3844" max="3846" width="10.7109375" style="496" customWidth="1"/>
    <col min="3847" max="3849" width="1.7109375" style="496" customWidth="1"/>
    <col min="3850" max="3850" width="9.28515625" style="496" customWidth="1"/>
    <col min="3851" max="3851" width="11.28515625" style="496" customWidth="1"/>
    <col min="3852" max="3852" width="9.28515625" style="496" customWidth="1"/>
    <col min="3853" max="3853" width="11.28515625" style="496" customWidth="1"/>
    <col min="3854" max="3854" width="9.28515625" style="496" customWidth="1"/>
    <col min="3855" max="3855" width="11.28515625" style="496" customWidth="1"/>
    <col min="3856" max="4096" width="9.140625" style="496"/>
    <col min="4097" max="4097" width="1.7109375" style="496" customWidth="1"/>
    <col min="4098" max="4098" width="16.7109375" style="496" customWidth="1"/>
    <col min="4099" max="4099" width="45.7109375" style="496" customWidth="1"/>
    <col min="4100" max="4102" width="10.7109375" style="496" customWidth="1"/>
    <col min="4103" max="4105" width="1.7109375" style="496" customWidth="1"/>
    <col min="4106" max="4106" width="9.28515625" style="496" customWidth="1"/>
    <col min="4107" max="4107" width="11.28515625" style="496" customWidth="1"/>
    <col min="4108" max="4108" width="9.28515625" style="496" customWidth="1"/>
    <col min="4109" max="4109" width="11.28515625" style="496" customWidth="1"/>
    <col min="4110" max="4110" width="9.28515625" style="496" customWidth="1"/>
    <col min="4111" max="4111" width="11.28515625" style="496" customWidth="1"/>
    <col min="4112" max="4352" width="9.140625" style="496"/>
    <col min="4353" max="4353" width="1.7109375" style="496" customWidth="1"/>
    <col min="4354" max="4354" width="16.7109375" style="496" customWidth="1"/>
    <col min="4355" max="4355" width="45.7109375" style="496" customWidth="1"/>
    <col min="4356" max="4358" width="10.7109375" style="496" customWidth="1"/>
    <col min="4359" max="4361" width="1.7109375" style="496" customWidth="1"/>
    <col min="4362" max="4362" width="9.28515625" style="496" customWidth="1"/>
    <col min="4363" max="4363" width="11.28515625" style="496" customWidth="1"/>
    <col min="4364" max="4364" width="9.28515625" style="496" customWidth="1"/>
    <col min="4365" max="4365" width="11.28515625" style="496" customWidth="1"/>
    <col min="4366" max="4366" width="9.28515625" style="496" customWidth="1"/>
    <col min="4367" max="4367" width="11.28515625" style="496" customWidth="1"/>
    <col min="4368" max="4608" width="9.140625" style="496"/>
    <col min="4609" max="4609" width="1.7109375" style="496" customWidth="1"/>
    <col min="4610" max="4610" width="16.7109375" style="496" customWidth="1"/>
    <col min="4611" max="4611" width="45.7109375" style="496" customWidth="1"/>
    <col min="4612" max="4614" width="10.7109375" style="496" customWidth="1"/>
    <col min="4615" max="4617" width="1.7109375" style="496" customWidth="1"/>
    <col min="4618" max="4618" width="9.28515625" style="496" customWidth="1"/>
    <col min="4619" max="4619" width="11.28515625" style="496" customWidth="1"/>
    <col min="4620" max="4620" width="9.28515625" style="496" customWidth="1"/>
    <col min="4621" max="4621" width="11.28515625" style="496" customWidth="1"/>
    <col min="4622" max="4622" width="9.28515625" style="496" customWidth="1"/>
    <col min="4623" max="4623" width="11.28515625" style="496" customWidth="1"/>
    <col min="4624" max="4864" width="9.140625" style="496"/>
    <col min="4865" max="4865" width="1.7109375" style="496" customWidth="1"/>
    <col min="4866" max="4866" width="16.7109375" style="496" customWidth="1"/>
    <col min="4867" max="4867" width="45.7109375" style="496" customWidth="1"/>
    <col min="4868" max="4870" width="10.7109375" style="496" customWidth="1"/>
    <col min="4871" max="4873" width="1.7109375" style="496" customWidth="1"/>
    <col min="4874" max="4874" width="9.28515625" style="496" customWidth="1"/>
    <col min="4875" max="4875" width="11.28515625" style="496" customWidth="1"/>
    <col min="4876" max="4876" width="9.28515625" style="496" customWidth="1"/>
    <col min="4877" max="4877" width="11.28515625" style="496" customWidth="1"/>
    <col min="4878" max="4878" width="9.28515625" style="496" customWidth="1"/>
    <col min="4879" max="4879" width="11.28515625" style="496" customWidth="1"/>
    <col min="4880" max="5120" width="9.140625" style="496"/>
    <col min="5121" max="5121" width="1.7109375" style="496" customWidth="1"/>
    <col min="5122" max="5122" width="16.7109375" style="496" customWidth="1"/>
    <col min="5123" max="5123" width="45.7109375" style="496" customWidth="1"/>
    <col min="5124" max="5126" width="10.7109375" style="496" customWidth="1"/>
    <col min="5127" max="5129" width="1.7109375" style="496" customWidth="1"/>
    <col min="5130" max="5130" width="9.28515625" style="496" customWidth="1"/>
    <col min="5131" max="5131" width="11.28515625" style="496" customWidth="1"/>
    <col min="5132" max="5132" width="9.28515625" style="496" customWidth="1"/>
    <col min="5133" max="5133" width="11.28515625" style="496" customWidth="1"/>
    <col min="5134" max="5134" width="9.28515625" style="496" customWidth="1"/>
    <col min="5135" max="5135" width="11.28515625" style="496" customWidth="1"/>
    <col min="5136" max="5376" width="9.140625" style="496"/>
    <col min="5377" max="5377" width="1.7109375" style="496" customWidth="1"/>
    <col min="5378" max="5378" width="16.7109375" style="496" customWidth="1"/>
    <col min="5379" max="5379" width="45.7109375" style="496" customWidth="1"/>
    <col min="5380" max="5382" width="10.7109375" style="496" customWidth="1"/>
    <col min="5383" max="5385" width="1.7109375" style="496" customWidth="1"/>
    <col min="5386" max="5386" width="9.28515625" style="496" customWidth="1"/>
    <col min="5387" max="5387" width="11.28515625" style="496" customWidth="1"/>
    <col min="5388" max="5388" width="9.28515625" style="496" customWidth="1"/>
    <col min="5389" max="5389" width="11.28515625" style="496" customWidth="1"/>
    <col min="5390" max="5390" width="9.28515625" style="496" customWidth="1"/>
    <col min="5391" max="5391" width="11.28515625" style="496" customWidth="1"/>
    <col min="5392" max="5632" width="9.140625" style="496"/>
    <col min="5633" max="5633" width="1.7109375" style="496" customWidth="1"/>
    <col min="5634" max="5634" width="16.7109375" style="496" customWidth="1"/>
    <col min="5635" max="5635" width="45.7109375" style="496" customWidth="1"/>
    <col min="5636" max="5638" width="10.7109375" style="496" customWidth="1"/>
    <col min="5639" max="5641" width="1.7109375" style="496" customWidth="1"/>
    <col min="5642" max="5642" width="9.28515625" style="496" customWidth="1"/>
    <col min="5643" max="5643" width="11.28515625" style="496" customWidth="1"/>
    <col min="5644" max="5644" width="9.28515625" style="496" customWidth="1"/>
    <col min="5645" max="5645" width="11.28515625" style="496" customWidth="1"/>
    <col min="5646" max="5646" width="9.28515625" style="496" customWidth="1"/>
    <col min="5647" max="5647" width="11.28515625" style="496" customWidth="1"/>
    <col min="5648" max="5888" width="9.140625" style="496"/>
    <col min="5889" max="5889" width="1.7109375" style="496" customWidth="1"/>
    <col min="5890" max="5890" width="16.7109375" style="496" customWidth="1"/>
    <col min="5891" max="5891" width="45.7109375" style="496" customWidth="1"/>
    <col min="5892" max="5894" width="10.7109375" style="496" customWidth="1"/>
    <col min="5895" max="5897" width="1.7109375" style="496" customWidth="1"/>
    <col min="5898" max="5898" width="9.28515625" style="496" customWidth="1"/>
    <col min="5899" max="5899" width="11.28515625" style="496" customWidth="1"/>
    <col min="5900" max="5900" width="9.28515625" style="496" customWidth="1"/>
    <col min="5901" max="5901" width="11.28515625" style="496" customWidth="1"/>
    <col min="5902" max="5902" width="9.28515625" style="496" customWidth="1"/>
    <col min="5903" max="5903" width="11.28515625" style="496" customWidth="1"/>
    <col min="5904" max="6144" width="9.140625" style="496"/>
    <col min="6145" max="6145" width="1.7109375" style="496" customWidth="1"/>
    <col min="6146" max="6146" width="16.7109375" style="496" customWidth="1"/>
    <col min="6147" max="6147" width="45.7109375" style="496" customWidth="1"/>
    <col min="6148" max="6150" width="10.7109375" style="496" customWidth="1"/>
    <col min="6151" max="6153" width="1.7109375" style="496" customWidth="1"/>
    <col min="6154" max="6154" width="9.28515625" style="496" customWidth="1"/>
    <col min="6155" max="6155" width="11.28515625" style="496" customWidth="1"/>
    <col min="6156" max="6156" width="9.28515625" style="496" customWidth="1"/>
    <col min="6157" max="6157" width="11.28515625" style="496" customWidth="1"/>
    <col min="6158" max="6158" width="9.28515625" style="496" customWidth="1"/>
    <col min="6159" max="6159" width="11.28515625" style="496" customWidth="1"/>
    <col min="6160" max="6400" width="9.140625" style="496"/>
    <col min="6401" max="6401" width="1.7109375" style="496" customWidth="1"/>
    <col min="6402" max="6402" width="16.7109375" style="496" customWidth="1"/>
    <col min="6403" max="6403" width="45.7109375" style="496" customWidth="1"/>
    <col min="6404" max="6406" width="10.7109375" style="496" customWidth="1"/>
    <col min="6407" max="6409" width="1.7109375" style="496" customWidth="1"/>
    <col min="6410" max="6410" width="9.28515625" style="496" customWidth="1"/>
    <col min="6411" max="6411" width="11.28515625" style="496" customWidth="1"/>
    <col min="6412" max="6412" width="9.28515625" style="496" customWidth="1"/>
    <col min="6413" max="6413" width="11.28515625" style="496" customWidth="1"/>
    <col min="6414" max="6414" width="9.28515625" style="496" customWidth="1"/>
    <col min="6415" max="6415" width="11.28515625" style="496" customWidth="1"/>
    <col min="6416" max="6656" width="9.140625" style="496"/>
    <col min="6657" max="6657" width="1.7109375" style="496" customWidth="1"/>
    <col min="6658" max="6658" width="16.7109375" style="496" customWidth="1"/>
    <col min="6659" max="6659" width="45.7109375" style="496" customWidth="1"/>
    <col min="6660" max="6662" width="10.7109375" style="496" customWidth="1"/>
    <col min="6663" max="6665" width="1.7109375" style="496" customWidth="1"/>
    <col min="6666" max="6666" width="9.28515625" style="496" customWidth="1"/>
    <col min="6667" max="6667" width="11.28515625" style="496" customWidth="1"/>
    <col min="6668" max="6668" width="9.28515625" style="496" customWidth="1"/>
    <col min="6669" max="6669" width="11.28515625" style="496" customWidth="1"/>
    <col min="6670" max="6670" width="9.28515625" style="496" customWidth="1"/>
    <col min="6671" max="6671" width="11.28515625" style="496" customWidth="1"/>
    <col min="6672" max="6912" width="9.140625" style="496"/>
    <col min="6913" max="6913" width="1.7109375" style="496" customWidth="1"/>
    <col min="6914" max="6914" width="16.7109375" style="496" customWidth="1"/>
    <col min="6915" max="6915" width="45.7109375" style="496" customWidth="1"/>
    <col min="6916" max="6918" width="10.7109375" style="496" customWidth="1"/>
    <col min="6919" max="6921" width="1.7109375" style="496" customWidth="1"/>
    <col min="6922" max="6922" width="9.28515625" style="496" customWidth="1"/>
    <col min="6923" max="6923" width="11.28515625" style="496" customWidth="1"/>
    <col min="6924" max="6924" width="9.28515625" style="496" customWidth="1"/>
    <col min="6925" max="6925" width="11.28515625" style="496" customWidth="1"/>
    <col min="6926" max="6926" width="9.28515625" style="496" customWidth="1"/>
    <col min="6927" max="6927" width="11.28515625" style="496" customWidth="1"/>
    <col min="6928" max="7168" width="9.140625" style="496"/>
    <col min="7169" max="7169" width="1.7109375" style="496" customWidth="1"/>
    <col min="7170" max="7170" width="16.7109375" style="496" customWidth="1"/>
    <col min="7171" max="7171" width="45.7109375" style="496" customWidth="1"/>
    <col min="7172" max="7174" width="10.7109375" style="496" customWidth="1"/>
    <col min="7175" max="7177" width="1.7109375" style="496" customWidth="1"/>
    <col min="7178" max="7178" width="9.28515625" style="496" customWidth="1"/>
    <col min="7179" max="7179" width="11.28515625" style="496" customWidth="1"/>
    <col min="7180" max="7180" width="9.28515625" style="496" customWidth="1"/>
    <col min="7181" max="7181" width="11.28515625" style="496" customWidth="1"/>
    <col min="7182" max="7182" width="9.28515625" style="496" customWidth="1"/>
    <col min="7183" max="7183" width="11.28515625" style="496" customWidth="1"/>
    <col min="7184" max="7424" width="9.140625" style="496"/>
    <col min="7425" max="7425" width="1.7109375" style="496" customWidth="1"/>
    <col min="7426" max="7426" width="16.7109375" style="496" customWidth="1"/>
    <col min="7427" max="7427" width="45.7109375" style="496" customWidth="1"/>
    <col min="7428" max="7430" width="10.7109375" style="496" customWidth="1"/>
    <col min="7431" max="7433" width="1.7109375" style="496" customWidth="1"/>
    <col min="7434" max="7434" width="9.28515625" style="496" customWidth="1"/>
    <col min="7435" max="7435" width="11.28515625" style="496" customWidth="1"/>
    <col min="7436" max="7436" width="9.28515625" style="496" customWidth="1"/>
    <col min="7437" max="7437" width="11.28515625" style="496" customWidth="1"/>
    <col min="7438" max="7438" width="9.28515625" style="496" customWidth="1"/>
    <col min="7439" max="7439" width="11.28515625" style="496" customWidth="1"/>
    <col min="7440" max="7680" width="9.140625" style="496"/>
    <col min="7681" max="7681" width="1.7109375" style="496" customWidth="1"/>
    <col min="7682" max="7682" width="16.7109375" style="496" customWidth="1"/>
    <col min="7683" max="7683" width="45.7109375" style="496" customWidth="1"/>
    <col min="7684" max="7686" width="10.7109375" style="496" customWidth="1"/>
    <col min="7687" max="7689" width="1.7109375" style="496" customWidth="1"/>
    <col min="7690" max="7690" width="9.28515625" style="496" customWidth="1"/>
    <col min="7691" max="7691" width="11.28515625" style="496" customWidth="1"/>
    <col min="7692" max="7692" width="9.28515625" style="496" customWidth="1"/>
    <col min="7693" max="7693" width="11.28515625" style="496" customWidth="1"/>
    <col min="7694" max="7694" width="9.28515625" style="496" customWidth="1"/>
    <col min="7695" max="7695" width="11.28515625" style="496" customWidth="1"/>
    <col min="7696" max="7936" width="9.140625" style="496"/>
    <col min="7937" max="7937" width="1.7109375" style="496" customWidth="1"/>
    <col min="7938" max="7938" width="16.7109375" style="496" customWidth="1"/>
    <col min="7939" max="7939" width="45.7109375" style="496" customWidth="1"/>
    <col min="7940" max="7942" width="10.7109375" style="496" customWidth="1"/>
    <col min="7943" max="7945" width="1.7109375" style="496" customWidth="1"/>
    <col min="7946" max="7946" width="9.28515625" style="496" customWidth="1"/>
    <col min="7947" max="7947" width="11.28515625" style="496" customWidth="1"/>
    <col min="7948" max="7948" width="9.28515625" style="496" customWidth="1"/>
    <col min="7949" max="7949" width="11.28515625" style="496" customWidth="1"/>
    <col min="7950" max="7950" width="9.28515625" style="496" customWidth="1"/>
    <col min="7951" max="7951" width="11.28515625" style="496" customWidth="1"/>
    <col min="7952" max="8192" width="9.140625" style="496"/>
    <col min="8193" max="8193" width="1.7109375" style="496" customWidth="1"/>
    <col min="8194" max="8194" width="16.7109375" style="496" customWidth="1"/>
    <col min="8195" max="8195" width="45.7109375" style="496" customWidth="1"/>
    <col min="8196" max="8198" width="10.7109375" style="496" customWidth="1"/>
    <col min="8199" max="8201" width="1.7109375" style="496" customWidth="1"/>
    <col min="8202" max="8202" width="9.28515625" style="496" customWidth="1"/>
    <col min="8203" max="8203" width="11.28515625" style="496" customWidth="1"/>
    <col min="8204" max="8204" width="9.28515625" style="496" customWidth="1"/>
    <col min="8205" max="8205" width="11.28515625" style="496" customWidth="1"/>
    <col min="8206" max="8206" width="9.28515625" style="496" customWidth="1"/>
    <col min="8207" max="8207" width="11.28515625" style="496" customWidth="1"/>
    <col min="8208" max="8448" width="9.140625" style="496"/>
    <col min="8449" max="8449" width="1.7109375" style="496" customWidth="1"/>
    <col min="8450" max="8450" width="16.7109375" style="496" customWidth="1"/>
    <col min="8451" max="8451" width="45.7109375" style="496" customWidth="1"/>
    <col min="8452" max="8454" width="10.7109375" style="496" customWidth="1"/>
    <col min="8455" max="8457" width="1.7109375" style="496" customWidth="1"/>
    <col min="8458" max="8458" width="9.28515625" style="496" customWidth="1"/>
    <col min="8459" max="8459" width="11.28515625" style="496" customWidth="1"/>
    <col min="8460" max="8460" width="9.28515625" style="496" customWidth="1"/>
    <col min="8461" max="8461" width="11.28515625" style="496" customWidth="1"/>
    <col min="8462" max="8462" width="9.28515625" style="496" customWidth="1"/>
    <col min="8463" max="8463" width="11.28515625" style="496" customWidth="1"/>
    <col min="8464" max="8704" width="9.140625" style="496"/>
    <col min="8705" max="8705" width="1.7109375" style="496" customWidth="1"/>
    <col min="8706" max="8706" width="16.7109375" style="496" customWidth="1"/>
    <col min="8707" max="8707" width="45.7109375" style="496" customWidth="1"/>
    <col min="8708" max="8710" width="10.7109375" style="496" customWidth="1"/>
    <col min="8711" max="8713" width="1.7109375" style="496" customWidth="1"/>
    <col min="8714" max="8714" width="9.28515625" style="496" customWidth="1"/>
    <col min="8715" max="8715" width="11.28515625" style="496" customWidth="1"/>
    <col min="8716" max="8716" width="9.28515625" style="496" customWidth="1"/>
    <col min="8717" max="8717" width="11.28515625" style="496" customWidth="1"/>
    <col min="8718" max="8718" width="9.28515625" style="496" customWidth="1"/>
    <col min="8719" max="8719" width="11.28515625" style="496" customWidth="1"/>
    <col min="8720" max="8960" width="9.140625" style="496"/>
    <col min="8961" max="8961" width="1.7109375" style="496" customWidth="1"/>
    <col min="8962" max="8962" width="16.7109375" style="496" customWidth="1"/>
    <col min="8963" max="8963" width="45.7109375" style="496" customWidth="1"/>
    <col min="8964" max="8966" width="10.7109375" style="496" customWidth="1"/>
    <col min="8967" max="8969" width="1.7109375" style="496" customWidth="1"/>
    <col min="8970" max="8970" width="9.28515625" style="496" customWidth="1"/>
    <col min="8971" max="8971" width="11.28515625" style="496" customWidth="1"/>
    <col min="8972" max="8972" width="9.28515625" style="496" customWidth="1"/>
    <col min="8973" max="8973" width="11.28515625" style="496" customWidth="1"/>
    <col min="8974" max="8974" width="9.28515625" style="496" customWidth="1"/>
    <col min="8975" max="8975" width="11.28515625" style="496" customWidth="1"/>
    <col min="8976" max="9216" width="9.140625" style="496"/>
    <col min="9217" max="9217" width="1.7109375" style="496" customWidth="1"/>
    <col min="9218" max="9218" width="16.7109375" style="496" customWidth="1"/>
    <col min="9219" max="9219" width="45.7109375" style="496" customWidth="1"/>
    <col min="9220" max="9222" width="10.7109375" style="496" customWidth="1"/>
    <col min="9223" max="9225" width="1.7109375" style="496" customWidth="1"/>
    <col min="9226" max="9226" width="9.28515625" style="496" customWidth="1"/>
    <col min="9227" max="9227" width="11.28515625" style="496" customWidth="1"/>
    <col min="9228" max="9228" width="9.28515625" style="496" customWidth="1"/>
    <col min="9229" max="9229" width="11.28515625" style="496" customWidth="1"/>
    <col min="9230" max="9230" width="9.28515625" style="496" customWidth="1"/>
    <col min="9231" max="9231" width="11.28515625" style="496" customWidth="1"/>
    <col min="9232" max="9472" width="9.140625" style="496"/>
    <col min="9473" max="9473" width="1.7109375" style="496" customWidth="1"/>
    <col min="9474" max="9474" width="16.7109375" style="496" customWidth="1"/>
    <col min="9475" max="9475" width="45.7109375" style="496" customWidth="1"/>
    <col min="9476" max="9478" width="10.7109375" style="496" customWidth="1"/>
    <col min="9479" max="9481" width="1.7109375" style="496" customWidth="1"/>
    <col min="9482" max="9482" width="9.28515625" style="496" customWidth="1"/>
    <col min="9483" max="9483" width="11.28515625" style="496" customWidth="1"/>
    <col min="9484" max="9484" width="9.28515625" style="496" customWidth="1"/>
    <col min="9485" max="9485" width="11.28515625" style="496" customWidth="1"/>
    <col min="9486" max="9486" width="9.28515625" style="496" customWidth="1"/>
    <col min="9487" max="9487" width="11.28515625" style="496" customWidth="1"/>
    <col min="9488" max="9728" width="9.140625" style="496"/>
    <col min="9729" max="9729" width="1.7109375" style="496" customWidth="1"/>
    <col min="9730" max="9730" width="16.7109375" style="496" customWidth="1"/>
    <col min="9731" max="9731" width="45.7109375" style="496" customWidth="1"/>
    <col min="9732" max="9734" width="10.7109375" style="496" customWidth="1"/>
    <col min="9735" max="9737" width="1.7109375" style="496" customWidth="1"/>
    <col min="9738" max="9738" width="9.28515625" style="496" customWidth="1"/>
    <col min="9739" max="9739" width="11.28515625" style="496" customWidth="1"/>
    <col min="9740" max="9740" width="9.28515625" style="496" customWidth="1"/>
    <col min="9741" max="9741" width="11.28515625" style="496" customWidth="1"/>
    <col min="9742" max="9742" width="9.28515625" style="496" customWidth="1"/>
    <col min="9743" max="9743" width="11.28515625" style="496" customWidth="1"/>
    <col min="9744" max="9984" width="9.140625" style="496"/>
    <col min="9985" max="9985" width="1.7109375" style="496" customWidth="1"/>
    <col min="9986" max="9986" width="16.7109375" style="496" customWidth="1"/>
    <col min="9987" max="9987" width="45.7109375" style="496" customWidth="1"/>
    <col min="9988" max="9990" width="10.7109375" style="496" customWidth="1"/>
    <col min="9991" max="9993" width="1.7109375" style="496" customWidth="1"/>
    <col min="9994" max="9994" width="9.28515625" style="496" customWidth="1"/>
    <col min="9995" max="9995" width="11.28515625" style="496" customWidth="1"/>
    <col min="9996" max="9996" width="9.28515625" style="496" customWidth="1"/>
    <col min="9997" max="9997" width="11.28515625" style="496" customWidth="1"/>
    <col min="9998" max="9998" width="9.28515625" style="496" customWidth="1"/>
    <col min="9999" max="9999" width="11.28515625" style="496" customWidth="1"/>
    <col min="10000" max="10240" width="9.140625" style="496"/>
    <col min="10241" max="10241" width="1.7109375" style="496" customWidth="1"/>
    <col min="10242" max="10242" width="16.7109375" style="496" customWidth="1"/>
    <col min="10243" max="10243" width="45.7109375" style="496" customWidth="1"/>
    <col min="10244" max="10246" width="10.7109375" style="496" customWidth="1"/>
    <col min="10247" max="10249" width="1.7109375" style="496" customWidth="1"/>
    <col min="10250" max="10250" width="9.28515625" style="496" customWidth="1"/>
    <col min="10251" max="10251" width="11.28515625" style="496" customWidth="1"/>
    <col min="10252" max="10252" width="9.28515625" style="496" customWidth="1"/>
    <col min="10253" max="10253" width="11.28515625" style="496" customWidth="1"/>
    <col min="10254" max="10254" width="9.28515625" style="496" customWidth="1"/>
    <col min="10255" max="10255" width="11.28515625" style="496" customWidth="1"/>
    <col min="10256" max="10496" width="9.140625" style="496"/>
    <col min="10497" max="10497" width="1.7109375" style="496" customWidth="1"/>
    <col min="10498" max="10498" width="16.7109375" style="496" customWidth="1"/>
    <col min="10499" max="10499" width="45.7109375" style="496" customWidth="1"/>
    <col min="10500" max="10502" width="10.7109375" style="496" customWidth="1"/>
    <col min="10503" max="10505" width="1.7109375" style="496" customWidth="1"/>
    <col min="10506" max="10506" width="9.28515625" style="496" customWidth="1"/>
    <col min="10507" max="10507" width="11.28515625" style="496" customWidth="1"/>
    <col min="10508" max="10508" width="9.28515625" style="496" customWidth="1"/>
    <col min="10509" max="10509" width="11.28515625" style="496" customWidth="1"/>
    <col min="10510" max="10510" width="9.28515625" style="496" customWidth="1"/>
    <col min="10511" max="10511" width="11.28515625" style="496" customWidth="1"/>
    <col min="10512" max="10752" width="9.140625" style="496"/>
    <col min="10753" max="10753" width="1.7109375" style="496" customWidth="1"/>
    <col min="10754" max="10754" width="16.7109375" style="496" customWidth="1"/>
    <col min="10755" max="10755" width="45.7109375" style="496" customWidth="1"/>
    <col min="10756" max="10758" width="10.7109375" style="496" customWidth="1"/>
    <col min="10759" max="10761" width="1.7109375" style="496" customWidth="1"/>
    <col min="10762" max="10762" width="9.28515625" style="496" customWidth="1"/>
    <col min="10763" max="10763" width="11.28515625" style="496" customWidth="1"/>
    <col min="10764" max="10764" width="9.28515625" style="496" customWidth="1"/>
    <col min="10765" max="10765" width="11.28515625" style="496" customWidth="1"/>
    <col min="10766" max="10766" width="9.28515625" style="496" customWidth="1"/>
    <col min="10767" max="10767" width="11.28515625" style="496" customWidth="1"/>
    <col min="10768" max="11008" width="9.140625" style="496"/>
    <col min="11009" max="11009" width="1.7109375" style="496" customWidth="1"/>
    <col min="11010" max="11010" width="16.7109375" style="496" customWidth="1"/>
    <col min="11011" max="11011" width="45.7109375" style="496" customWidth="1"/>
    <col min="11012" max="11014" width="10.7109375" style="496" customWidth="1"/>
    <col min="11015" max="11017" width="1.7109375" style="496" customWidth="1"/>
    <col min="11018" max="11018" width="9.28515625" style="496" customWidth="1"/>
    <col min="11019" max="11019" width="11.28515625" style="496" customWidth="1"/>
    <col min="11020" max="11020" width="9.28515625" style="496" customWidth="1"/>
    <col min="11021" max="11021" width="11.28515625" style="496" customWidth="1"/>
    <col min="11022" max="11022" width="9.28515625" style="496" customWidth="1"/>
    <col min="11023" max="11023" width="11.28515625" style="496" customWidth="1"/>
    <col min="11024" max="11264" width="9.140625" style="496"/>
    <col min="11265" max="11265" width="1.7109375" style="496" customWidth="1"/>
    <col min="11266" max="11266" width="16.7109375" style="496" customWidth="1"/>
    <col min="11267" max="11267" width="45.7109375" style="496" customWidth="1"/>
    <col min="11268" max="11270" width="10.7109375" style="496" customWidth="1"/>
    <col min="11271" max="11273" width="1.7109375" style="496" customWidth="1"/>
    <col min="11274" max="11274" width="9.28515625" style="496" customWidth="1"/>
    <col min="11275" max="11275" width="11.28515625" style="496" customWidth="1"/>
    <col min="11276" max="11276" width="9.28515625" style="496" customWidth="1"/>
    <col min="11277" max="11277" width="11.28515625" style="496" customWidth="1"/>
    <col min="11278" max="11278" width="9.28515625" style="496" customWidth="1"/>
    <col min="11279" max="11279" width="11.28515625" style="496" customWidth="1"/>
    <col min="11280" max="11520" width="9.140625" style="496"/>
    <col min="11521" max="11521" width="1.7109375" style="496" customWidth="1"/>
    <col min="11522" max="11522" width="16.7109375" style="496" customWidth="1"/>
    <col min="11523" max="11523" width="45.7109375" style="496" customWidth="1"/>
    <col min="11524" max="11526" width="10.7109375" style="496" customWidth="1"/>
    <col min="11527" max="11529" width="1.7109375" style="496" customWidth="1"/>
    <col min="11530" max="11530" width="9.28515625" style="496" customWidth="1"/>
    <col min="11531" max="11531" width="11.28515625" style="496" customWidth="1"/>
    <col min="11532" max="11532" width="9.28515625" style="496" customWidth="1"/>
    <col min="11533" max="11533" width="11.28515625" style="496" customWidth="1"/>
    <col min="11534" max="11534" width="9.28515625" style="496" customWidth="1"/>
    <col min="11535" max="11535" width="11.28515625" style="496" customWidth="1"/>
    <col min="11536" max="11776" width="9.140625" style="496"/>
    <col min="11777" max="11777" width="1.7109375" style="496" customWidth="1"/>
    <col min="11778" max="11778" width="16.7109375" style="496" customWidth="1"/>
    <col min="11779" max="11779" width="45.7109375" style="496" customWidth="1"/>
    <col min="11780" max="11782" width="10.7109375" style="496" customWidth="1"/>
    <col min="11783" max="11785" width="1.7109375" style="496" customWidth="1"/>
    <col min="11786" max="11786" width="9.28515625" style="496" customWidth="1"/>
    <col min="11787" max="11787" width="11.28515625" style="496" customWidth="1"/>
    <col min="11788" max="11788" width="9.28515625" style="496" customWidth="1"/>
    <col min="11789" max="11789" width="11.28515625" style="496" customWidth="1"/>
    <col min="11790" max="11790" width="9.28515625" style="496" customWidth="1"/>
    <col min="11791" max="11791" width="11.28515625" style="496" customWidth="1"/>
    <col min="11792" max="12032" width="9.140625" style="496"/>
    <col min="12033" max="12033" width="1.7109375" style="496" customWidth="1"/>
    <col min="12034" max="12034" width="16.7109375" style="496" customWidth="1"/>
    <col min="12035" max="12035" width="45.7109375" style="496" customWidth="1"/>
    <col min="12036" max="12038" width="10.7109375" style="496" customWidth="1"/>
    <col min="12039" max="12041" width="1.7109375" style="496" customWidth="1"/>
    <col min="12042" max="12042" width="9.28515625" style="496" customWidth="1"/>
    <col min="12043" max="12043" width="11.28515625" style="496" customWidth="1"/>
    <col min="12044" max="12044" width="9.28515625" style="496" customWidth="1"/>
    <col min="12045" max="12045" width="11.28515625" style="496" customWidth="1"/>
    <col min="12046" max="12046" width="9.28515625" style="496" customWidth="1"/>
    <col min="12047" max="12047" width="11.28515625" style="496" customWidth="1"/>
    <col min="12048" max="12288" width="9.140625" style="496"/>
    <col min="12289" max="12289" width="1.7109375" style="496" customWidth="1"/>
    <col min="12290" max="12290" width="16.7109375" style="496" customWidth="1"/>
    <col min="12291" max="12291" width="45.7109375" style="496" customWidth="1"/>
    <col min="12292" max="12294" width="10.7109375" style="496" customWidth="1"/>
    <col min="12295" max="12297" width="1.7109375" style="496" customWidth="1"/>
    <col min="12298" max="12298" width="9.28515625" style="496" customWidth="1"/>
    <col min="12299" max="12299" width="11.28515625" style="496" customWidth="1"/>
    <col min="12300" max="12300" width="9.28515625" style="496" customWidth="1"/>
    <col min="12301" max="12301" width="11.28515625" style="496" customWidth="1"/>
    <col min="12302" max="12302" width="9.28515625" style="496" customWidth="1"/>
    <col min="12303" max="12303" width="11.28515625" style="496" customWidth="1"/>
    <col min="12304" max="12544" width="9.140625" style="496"/>
    <col min="12545" max="12545" width="1.7109375" style="496" customWidth="1"/>
    <col min="12546" max="12546" width="16.7109375" style="496" customWidth="1"/>
    <col min="12547" max="12547" width="45.7109375" style="496" customWidth="1"/>
    <col min="12548" max="12550" width="10.7109375" style="496" customWidth="1"/>
    <col min="12551" max="12553" width="1.7109375" style="496" customWidth="1"/>
    <col min="12554" max="12554" width="9.28515625" style="496" customWidth="1"/>
    <col min="12555" max="12555" width="11.28515625" style="496" customWidth="1"/>
    <col min="12556" max="12556" width="9.28515625" style="496" customWidth="1"/>
    <col min="12557" max="12557" width="11.28515625" style="496" customWidth="1"/>
    <col min="12558" max="12558" width="9.28515625" style="496" customWidth="1"/>
    <col min="12559" max="12559" width="11.28515625" style="496" customWidth="1"/>
    <col min="12560" max="12800" width="9.140625" style="496"/>
    <col min="12801" max="12801" width="1.7109375" style="496" customWidth="1"/>
    <col min="12802" max="12802" width="16.7109375" style="496" customWidth="1"/>
    <col min="12803" max="12803" width="45.7109375" style="496" customWidth="1"/>
    <col min="12804" max="12806" width="10.7109375" style="496" customWidth="1"/>
    <col min="12807" max="12809" width="1.7109375" style="496" customWidth="1"/>
    <col min="12810" max="12810" width="9.28515625" style="496" customWidth="1"/>
    <col min="12811" max="12811" width="11.28515625" style="496" customWidth="1"/>
    <col min="12812" max="12812" width="9.28515625" style="496" customWidth="1"/>
    <col min="12813" max="12813" width="11.28515625" style="496" customWidth="1"/>
    <col min="12814" max="12814" width="9.28515625" style="496" customWidth="1"/>
    <col min="12815" max="12815" width="11.28515625" style="496" customWidth="1"/>
    <col min="12816" max="13056" width="9.140625" style="496"/>
    <col min="13057" max="13057" width="1.7109375" style="496" customWidth="1"/>
    <col min="13058" max="13058" width="16.7109375" style="496" customWidth="1"/>
    <col min="13059" max="13059" width="45.7109375" style="496" customWidth="1"/>
    <col min="13060" max="13062" width="10.7109375" style="496" customWidth="1"/>
    <col min="13063" max="13065" width="1.7109375" style="496" customWidth="1"/>
    <col min="13066" max="13066" width="9.28515625" style="496" customWidth="1"/>
    <col min="13067" max="13067" width="11.28515625" style="496" customWidth="1"/>
    <col min="13068" max="13068" width="9.28515625" style="496" customWidth="1"/>
    <col min="13069" max="13069" width="11.28515625" style="496" customWidth="1"/>
    <col min="13070" max="13070" width="9.28515625" style="496" customWidth="1"/>
    <col min="13071" max="13071" width="11.28515625" style="496" customWidth="1"/>
    <col min="13072" max="13312" width="9.140625" style="496"/>
    <col min="13313" max="13313" width="1.7109375" style="496" customWidth="1"/>
    <col min="13314" max="13314" width="16.7109375" style="496" customWidth="1"/>
    <col min="13315" max="13315" width="45.7109375" style="496" customWidth="1"/>
    <col min="13316" max="13318" width="10.7109375" style="496" customWidth="1"/>
    <col min="13319" max="13321" width="1.7109375" style="496" customWidth="1"/>
    <col min="13322" max="13322" width="9.28515625" style="496" customWidth="1"/>
    <col min="13323" max="13323" width="11.28515625" style="496" customWidth="1"/>
    <col min="13324" max="13324" width="9.28515625" style="496" customWidth="1"/>
    <col min="13325" max="13325" width="11.28515625" style="496" customWidth="1"/>
    <col min="13326" max="13326" width="9.28515625" style="496" customWidth="1"/>
    <col min="13327" max="13327" width="11.28515625" style="496" customWidth="1"/>
    <col min="13328" max="13568" width="9.140625" style="496"/>
    <col min="13569" max="13569" width="1.7109375" style="496" customWidth="1"/>
    <col min="13570" max="13570" width="16.7109375" style="496" customWidth="1"/>
    <col min="13571" max="13571" width="45.7109375" style="496" customWidth="1"/>
    <col min="13572" max="13574" width="10.7109375" style="496" customWidth="1"/>
    <col min="13575" max="13577" width="1.7109375" style="496" customWidth="1"/>
    <col min="13578" max="13578" width="9.28515625" style="496" customWidth="1"/>
    <col min="13579" max="13579" width="11.28515625" style="496" customWidth="1"/>
    <col min="13580" max="13580" width="9.28515625" style="496" customWidth="1"/>
    <col min="13581" max="13581" width="11.28515625" style="496" customWidth="1"/>
    <col min="13582" max="13582" width="9.28515625" style="496" customWidth="1"/>
    <col min="13583" max="13583" width="11.28515625" style="496" customWidth="1"/>
    <col min="13584" max="13824" width="9.140625" style="496"/>
    <col min="13825" max="13825" width="1.7109375" style="496" customWidth="1"/>
    <col min="13826" max="13826" width="16.7109375" style="496" customWidth="1"/>
    <col min="13827" max="13827" width="45.7109375" style="496" customWidth="1"/>
    <col min="13828" max="13830" width="10.7109375" style="496" customWidth="1"/>
    <col min="13831" max="13833" width="1.7109375" style="496" customWidth="1"/>
    <col min="13834" max="13834" width="9.28515625" style="496" customWidth="1"/>
    <col min="13835" max="13835" width="11.28515625" style="496" customWidth="1"/>
    <col min="13836" max="13836" width="9.28515625" style="496" customWidth="1"/>
    <col min="13837" max="13837" width="11.28515625" style="496" customWidth="1"/>
    <col min="13838" max="13838" width="9.28515625" style="496" customWidth="1"/>
    <col min="13839" max="13839" width="11.28515625" style="496" customWidth="1"/>
    <col min="13840" max="14080" width="9.140625" style="496"/>
    <col min="14081" max="14081" width="1.7109375" style="496" customWidth="1"/>
    <col min="14082" max="14082" width="16.7109375" style="496" customWidth="1"/>
    <col min="14083" max="14083" width="45.7109375" style="496" customWidth="1"/>
    <col min="14084" max="14086" width="10.7109375" style="496" customWidth="1"/>
    <col min="14087" max="14089" width="1.7109375" style="496" customWidth="1"/>
    <col min="14090" max="14090" width="9.28515625" style="496" customWidth="1"/>
    <col min="14091" max="14091" width="11.28515625" style="496" customWidth="1"/>
    <col min="14092" max="14092" width="9.28515625" style="496" customWidth="1"/>
    <col min="14093" max="14093" width="11.28515625" style="496" customWidth="1"/>
    <col min="14094" max="14094" width="9.28515625" style="496" customWidth="1"/>
    <col min="14095" max="14095" width="11.28515625" style="496" customWidth="1"/>
    <col min="14096" max="14336" width="9.140625" style="496"/>
    <col min="14337" max="14337" width="1.7109375" style="496" customWidth="1"/>
    <col min="14338" max="14338" width="16.7109375" style="496" customWidth="1"/>
    <col min="14339" max="14339" width="45.7109375" style="496" customWidth="1"/>
    <col min="14340" max="14342" width="10.7109375" style="496" customWidth="1"/>
    <col min="14343" max="14345" width="1.7109375" style="496" customWidth="1"/>
    <col min="14346" max="14346" width="9.28515625" style="496" customWidth="1"/>
    <col min="14347" max="14347" width="11.28515625" style="496" customWidth="1"/>
    <col min="14348" max="14348" width="9.28515625" style="496" customWidth="1"/>
    <col min="14349" max="14349" width="11.28515625" style="496" customWidth="1"/>
    <col min="14350" max="14350" width="9.28515625" style="496" customWidth="1"/>
    <col min="14351" max="14351" width="11.28515625" style="496" customWidth="1"/>
    <col min="14352" max="14592" width="9.140625" style="496"/>
    <col min="14593" max="14593" width="1.7109375" style="496" customWidth="1"/>
    <col min="14594" max="14594" width="16.7109375" style="496" customWidth="1"/>
    <col min="14595" max="14595" width="45.7109375" style="496" customWidth="1"/>
    <col min="14596" max="14598" width="10.7109375" style="496" customWidth="1"/>
    <col min="14599" max="14601" width="1.7109375" style="496" customWidth="1"/>
    <col min="14602" max="14602" width="9.28515625" style="496" customWidth="1"/>
    <col min="14603" max="14603" width="11.28515625" style="496" customWidth="1"/>
    <col min="14604" max="14604" width="9.28515625" style="496" customWidth="1"/>
    <col min="14605" max="14605" width="11.28515625" style="496" customWidth="1"/>
    <col min="14606" max="14606" width="9.28515625" style="496" customWidth="1"/>
    <col min="14607" max="14607" width="11.28515625" style="496" customWidth="1"/>
    <col min="14608" max="14848" width="9.140625" style="496"/>
    <col min="14849" max="14849" width="1.7109375" style="496" customWidth="1"/>
    <col min="14850" max="14850" width="16.7109375" style="496" customWidth="1"/>
    <col min="14851" max="14851" width="45.7109375" style="496" customWidth="1"/>
    <col min="14852" max="14854" width="10.7109375" style="496" customWidth="1"/>
    <col min="14855" max="14857" width="1.7109375" style="496" customWidth="1"/>
    <col min="14858" max="14858" width="9.28515625" style="496" customWidth="1"/>
    <col min="14859" max="14859" width="11.28515625" style="496" customWidth="1"/>
    <col min="14860" max="14860" width="9.28515625" style="496" customWidth="1"/>
    <col min="14861" max="14861" width="11.28515625" style="496" customWidth="1"/>
    <col min="14862" max="14862" width="9.28515625" style="496" customWidth="1"/>
    <col min="14863" max="14863" width="11.28515625" style="496" customWidth="1"/>
    <col min="14864" max="15104" width="9.140625" style="496"/>
    <col min="15105" max="15105" width="1.7109375" style="496" customWidth="1"/>
    <col min="15106" max="15106" width="16.7109375" style="496" customWidth="1"/>
    <col min="15107" max="15107" width="45.7109375" style="496" customWidth="1"/>
    <col min="15108" max="15110" width="10.7109375" style="496" customWidth="1"/>
    <col min="15111" max="15113" width="1.7109375" style="496" customWidth="1"/>
    <col min="15114" max="15114" width="9.28515625" style="496" customWidth="1"/>
    <col min="15115" max="15115" width="11.28515625" style="496" customWidth="1"/>
    <col min="15116" max="15116" width="9.28515625" style="496" customWidth="1"/>
    <col min="15117" max="15117" width="11.28515625" style="496" customWidth="1"/>
    <col min="15118" max="15118" width="9.28515625" style="496" customWidth="1"/>
    <col min="15119" max="15119" width="11.28515625" style="496" customWidth="1"/>
    <col min="15120" max="15360" width="9.140625" style="496"/>
    <col min="15361" max="15361" width="1.7109375" style="496" customWidth="1"/>
    <col min="15362" max="15362" width="16.7109375" style="496" customWidth="1"/>
    <col min="15363" max="15363" width="45.7109375" style="496" customWidth="1"/>
    <col min="15364" max="15366" width="10.7109375" style="496" customWidth="1"/>
    <col min="15367" max="15369" width="1.7109375" style="496" customWidth="1"/>
    <col min="15370" max="15370" width="9.28515625" style="496" customWidth="1"/>
    <col min="15371" max="15371" width="11.28515625" style="496" customWidth="1"/>
    <col min="15372" max="15372" width="9.28515625" style="496" customWidth="1"/>
    <col min="15373" max="15373" width="11.28515625" style="496" customWidth="1"/>
    <col min="15374" max="15374" width="9.28515625" style="496" customWidth="1"/>
    <col min="15375" max="15375" width="11.28515625" style="496" customWidth="1"/>
    <col min="15376" max="15616" width="9.140625" style="496"/>
    <col min="15617" max="15617" width="1.7109375" style="496" customWidth="1"/>
    <col min="15618" max="15618" width="16.7109375" style="496" customWidth="1"/>
    <col min="15619" max="15619" width="45.7109375" style="496" customWidth="1"/>
    <col min="15620" max="15622" width="10.7109375" style="496" customWidth="1"/>
    <col min="15623" max="15625" width="1.7109375" style="496" customWidth="1"/>
    <col min="15626" max="15626" width="9.28515625" style="496" customWidth="1"/>
    <col min="15627" max="15627" width="11.28515625" style="496" customWidth="1"/>
    <col min="15628" max="15628" width="9.28515625" style="496" customWidth="1"/>
    <col min="15629" max="15629" width="11.28515625" style="496" customWidth="1"/>
    <col min="15630" max="15630" width="9.28515625" style="496" customWidth="1"/>
    <col min="15631" max="15631" width="11.28515625" style="496" customWidth="1"/>
    <col min="15632" max="15872" width="9.140625" style="496"/>
    <col min="15873" max="15873" width="1.7109375" style="496" customWidth="1"/>
    <col min="15874" max="15874" width="16.7109375" style="496" customWidth="1"/>
    <col min="15875" max="15875" width="45.7109375" style="496" customWidth="1"/>
    <col min="15876" max="15878" width="10.7109375" style="496" customWidth="1"/>
    <col min="15879" max="15881" width="1.7109375" style="496" customWidth="1"/>
    <col min="15882" max="15882" width="9.28515625" style="496" customWidth="1"/>
    <col min="15883" max="15883" width="11.28515625" style="496" customWidth="1"/>
    <col min="15884" max="15884" width="9.28515625" style="496" customWidth="1"/>
    <col min="15885" max="15885" width="11.28515625" style="496" customWidth="1"/>
    <col min="15886" max="15886" width="9.28515625" style="496" customWidth="1"/>
    <col min="15887" max="15887" width="11.28515625" style="496" customWidth="1"/>
    <col min="15888" max="16128" width="9.140625" style="496"/>
    <col min="16129" max="16129" width="1.7109375" style="496" customWidth="1"/>
    <col min="16130" max="16130" width="16.7109375" style="496" customWidth="1"/>
    <col min="16131" max="16131" width="45.7109375" style="496" customWidth="1"/>
    <col min="16132" max="16134" width="10.7109375" style="496" customWidth="1"/>
    <col min="16135" max="16137" width="1.7109375" style="496" customWidth="1"/>
    <col min="16138" max="16138" width="9.28515625" style="496" customWidth="1"/>
    <col min="16139" max="16139" width="11.28515625" style="496" customWidth="1"/>
    <col min="16140" max="16140" width="9.28515625" style="496" customWidth="1"/>
    <col min="16141" max="16141" width="11.28515625" style="496" customWidth="1"/>
    <col min="16142" max="16142" width="9.28515625" style="496" customWidth="1"/>
    <col min="16143" max="16143" width="11.28515625" style="496" customWidth="1"/>
    <col min="16144" max="16384" width="9.140625" style="496"/>
  </cols>
  <sheetData>
    <row r="1" spans="2:15" ht="12.75" customHeight="1">
      <c r="B1" s="798" t="s">
        <v>685</v>
      </c>
      <c r="C1" s="798"/>
      <c r="D1" s="798"/>
      <c r="E1" s="798"/>
      <c r="F1" s="798"/>
      <c r="G1" s="798"/>
      <c r="H1" s="798"/>
      <c r="I1" s="798"/>
      <c r="J1" s="798"/>
      <c r="K1" s="802" t="s">
        <v>48</v>
      </c>
      <c r="L1" s="926"/>
      <c r="M1" s="72"/>
      <c r="N1" s="72"/>
      <c r="O1" s="72"/>
    </row>
    <row r="2" spans="2:15" ht="12.75" customHeight="1">
      <c r="B2" s="798"/>
      <c r="C2" s="798"/>
      <c r="D2" s="798"/>
      <c r="E2" s="798"/>
      <c r="F2" s="798"/>
      <c r="G2" s="798"/>
      <c r="H2" s="798"/>
      <c r="I2" s="798"/>
      <c r="J2" s="798"/>
      <c r="K2" s="926"/>
      <c r="L2" s="926"/>
      <c r="O2" s="72"/>
    </row>
    <row r="3" spans="2:15" ht="12.75" customHeight="1">
      <c r="B3" s="836" t="s">
        <v>582</v>
      </c>
      <c r="C3" s="836"/>
      <c r="D3" s="836"/>
      <c r="E3" s="836"/>
      <c r="F3" s="836"/>
      <c r="G3" s="836"/>
      <c r="H3" s="836"/>
      <c r="I3" s="836"/>
      <c r="J3" s="495"/>
      <c r="K3" s="497"/>
      <c r="L3" s="497"/>
      <c r="O3" s="72"/>
    </row>
    <row r="4" spans="2:15" ht="12.75" customHeight="1">
      <c r="B4" s="836"/>
      <c r="C4" s="836"/>
      <c r="D4" s="836"/>
      <c r="E4" s="836"/>
      <c r="F4" s="836"/>
      <c r="G4" s="836"/>
      <c r="H4" s="836"/>
      <c r="I4" s="836"/>
      <c r="J4" s="495"/>
      <c r="K4" s="497"/>
      <c r="L4" s="497"/>
      <c r="O4" s="72"/>
    </row>
    <row r="5" spans="2:15">
      <c r="B5" s="836"/>
      <c r="C5" s="836"/>
      <c r="D5" s="836"/>
      <c r="E5" s="836"/>
      <c r="F5" s="836"/>
      <c r="G5" s="836"/>
      <c r="H5" s="836"/>
      <c r="I5" s="836"/>
      <c r="J5" s="285"/>
      <c r="K5" s="285"/>
      <c r="L5" s="285"/>
      <c r="M5" s="285"/>
      <c r="N5" s="285"/>
    </row>
    <row r="31" spans="2:10">
      <c r="B31" s="493"/>
      <c r="C31" s="493"/>
      <c r="D31" s="493"/>
      <c r="E31" s="493"/>
      <c r="F31" s="493"/>
      <c r="G31" s="493"/>
      <c r="H31" s="493"/>
      <c r="I31" s="493"/>
      <c r="J31" s="493"/>
    </row>
    <row r="32" spans="2:10">
      <c r="D32" s="34"/>
      <c r="E32" s="34"/>
      <c r="F32" s="34"/>
      <c r="G32" s="34"/>
      <c r="H32" s="34"/>
    </row>
    <row r="33" spans="1:19">
      <c r="D33" s="34"/>
      <c r="E33" s="34"/>
      <c r="F33" s="34"/>
      <c r="G33" s="34"/>
      <c r="H33" s="34"/>
    </row>
    <row r="34" spans="1:19">
      <c r="B34" s="78"/>
      <c r="C34" s="78"/>
      <c r="D34" s="78"/>
      <c r="E34" s="78"/>
      <c r="F34" s="78"/>
      <c r="G34" s="78"/>
      <c r="H34" s="78"/>
      <c r="I34" s="78"/>
      <c r="J34" s="78"/>
    </row>
    <row r="35" spans="1:19">
      <c r="B35" s="77" t="s">
        <v>687</v>
      </c>
      <c r="C35" s="492"/>
      <c r="D35" s="492"/>
      <c r="E35" s="492"/>
      <c r="F35" s="492"/>
      <c r="G35" s="492"/>
      <c r="H35" s="492"/>
      <c r="I35" s="492"/>
      <c r="J35" s="492"/>
    </row>
    <row r="36" spans="1:19" ht="24.75" customHeight="1">
      <c r="B36" s="927" t="s">
        <v>742</v>
      </c>
      <c r="C36" s="800"/>
      <c r="D36" s="800"/>
      <c r="E36" s="800"/>
      <c r="F36" s="800"/>
      <c r="G36" s="800"/>
      <c r="H36" s="800"/>
      <c r="I36" s="800"/>
      <c r="J36" s="800"/>
      <c r="K36" s="800"/>
      <c r="L36" s="800"/>
    </row>
    <row r="37" spans="1:19">
      <c r="B37" s="50" t="s">
        <v>1</v>
      </c>
      <c r="C37" s="492"/>
      <c r="D37" s="492"/>
      <c r="E37" s="492"/>
      <c r="F37" s="492"/>
      <c r="G37" s="492"/>
      <c r="H37" s="492"/>
      <c r="I37" s="492"/>
      <c r="J37" s="492"/>
      <c r="K37" s="212"/>
      <c r="L37" s="212"/>
    </row>
    <row r="38" spans="1:19" ht="25.5" customHeight="1">
      <c r="B38" s="927" t="s">
        <v>529</v>
      </c>
      <c r="C38" s="928"/>
      <c r="D38" s="928"/>
      <c r="E38" s="928"/>
      <c r="F38" s="928"/>
      <c r="G38" s="928"/>
      <c r="H38" s="928"/>
      <c r="I38" s="928"/>
      <c r="J38" s="928"/>
      <c r="K38" s="928"/>
      <c r="L38" s="928"/>
    </row>
    <row r="39" spans="1:19" ht="24.95" customHeight="1">
      <c r="B39" s="925" t="s">
        <v>2</v>
      </c>
      <c r="C39" s="925"/>
      <c r="D39" s="925"/>
      <c r="E39" s="925"/>
      <c r="F39" s="925"/>
      <c r="G39" s="925"/>
      <c r="H39" s="925"/>
      <c r="I39" s="925"/>
      <c r="J39" s="925"/>
      <c r="K39" s="925"/>
      <c r="L39" s="925"/>
    </row>
    <row r="40" spans="1:19" ht="24.95" customHeight="1">
      <c r="B40" s="925" t="s">
        <v>6</v>
      </c>
      <c r="C40" s="925"/>
      <c r="D40" s="925"/>
      <c r="E40" s="925"/>
      <c r="F40" s="925"/>
      <c r="G40" s="925"/>
      <c r="H40" s="925"/>
      <c r="I40" s="925"/>
      <c r="J40" s="925"/>
      <c r="K40" s="925"/>
      <c r="L40" s="925"/>
    </row>
    <row r="41" spans="1:19" ht="24.95" customHeight="1">
      <c r="B41" s="925" t="s">
        <v>743</v>
      </c>
      <c r="C41" s="925"/>
      <c r="D41" s="925"/>
      <c r="E41" s="925"/>
      <c r="F41" s="925"/>
      <c r="G41" s="925"/>
      <c r="H41" s="925"/>
      <c r="I41" s="925"/>
      <c r="J41" s="925"/>
      <c r="K41" s="925"/>
      <c r="L41" s="925"/>
    </row>
    <row r="42" spans="1:19" ht="24.95" customHeight="1">
      <c r="B42" s="925"/>
      <c r="C42" s="925"/>
      <c r="D42" s="925"/>
      <c r="E42" s="925"/>
      <c r="F42" s="925"/>
      <c r="G42" s="925"/>
      <c r="H42" s="925"/>
      <c r="I42" s="925"/>
      <c r="J42" s="925"/>
      <c r="K42" s="925"/>
      <c r="L42" s="925"/>
    </row>
    <row r="43" spans="1:19">
      <c r="B43" s="492"/>
      <c r="C43" s="492"/>
      <c r="D43" s="492"/>
      <c r="E43" s="492"/>
      <c r="F43" s="492"/>
      <c r="G43" s="492"/>
      <c r="H43" s="492"/>
      <c r="I43" s="492"/>
      <c r="J43" s="492"/>
    </row>
    <row r="44" spans="1:19" ht="25.5" customHeight="1">
      <c r="B44" s="853">
        <v>2014</v>
      </c>
      <c r="C44" s="850"/>
      <c r="D44" s="881" t="s">
        <v>44</v>
      </c>
      <c r="E44" s="882"/>
      <c r="F44" s="883"/>
      <c r="G44" s="79"/>
      <c r="H44" s="79"/>
      <c r="I44" s="79"/>
      <c r="J44" s="881" t="s">
        <v>577</v>
      </c>
      <c r="K44" s="883"/>
      <c r="L44" s="881" t="s">
        <v>578</v>
      </c>
      <c r="M44" s="883"/>
      <c r="N44" s="881" t="s">
        <v>579</v>
      </c>
      <c r="O44" s="883"/>
      <c r="P44" s="501"/>
      <c r="Q44" s="501"/>
      <c r="R44" s="501"/>
      <c r="S44" s="501"/>
    </row>
    <row r="45" spans="1:19" ht="45" customHeight="1">
      <c r="B45" s="80" t="s">
        <v>26</v>
      </c>
      <c r="C45" s="53" t="s">
        <v>27</v>
      </c>
      <c r="D45" s="40" t="s">
        <v>580</v>
      </c>
      <c r="E45" s="40" t="s">
        <v>184</v>
      </c>
      <c r="F45" s="40" t="s">
        <v>185</v>
      </c>
      <c r="G45" s="82" t="s">
        <v>581</v>
      </c>
      <c r="H45" s="82" t="s">
        <v>3</v>
      </c>
      <c r="I45" s="82" t="s">
        <v>21</v>
      </c>
      <c r="J45" s="43" t="s">
        <v>28</v>
      </c>
      <c r="K45" s="43" t="s">
        <v>29</v>
      </c>
      <c r="L45" s="43" t="s">
        <v>28</v>
      </c>
      <c r="M45" s="43" t="s">
        <v>29</v>
      </c>
      <c r="N45" s="43" t="s">
        <v>28</v>
      </c>
      <c r="O45" s="43" t="s">
        <v>29</v>
      </c>
      <c r="P45" s="501"/>
      <c r="Q45" s="501"/>
      <c r="R45" s="501"/>
      <c r="S45" s="501"/>
    </row>
    <row r="46" spans="1:19">
      <c r="B46" s="351" t="str">
        <f t="shared" ref="B46" si="0">VLOOKUP(C46,Hospitals,3,FALSE)</f>
        <v>Scotland</v>
      </c>
      <c r="C46" s="45" t="s">
        <v>286</v>
      </c>
      <c r="D46" s="46">
        <f>IF(ISERROR(J46/K46*100),"-",J46/K46*100)</f>
        <v>6.1771561771561769</v>
      </c>
      <c r="E46" s="46">
        <f>IF(ISERROR((J46+L46)/M46*100),"-",(J46+L46)/M46*100)</f>
        <v>42.657342657342653</v>
      </c>
      <c r="F46" s="46">
        <f>IF(ISERROR((J46+L46+N46)/O46*100),"-",(J46+L46+N46)/O46*100)</f>
        <v>59.324009324009317</v>
      </c>
      <c r="G46" s="49">
        <f t="shared" ref="G46:H73" si="1">E46-D46</f>
        <v>36.480186480186475</v>
      </c>
      <c r="H46" s="88">
        <f t="shared" si="1"/>
        <v>16.666666666666664</v>
      </c>
      <c r="I46" s="94">
        <v>80</v>
      </c>
      <c r="J46" s="431">
        <f>SUM(J47:J73)</f>
        <v>53</v>
      </c>
      <c r="K46" s="431">
        <f t="shared" ref="K46:O46" si="2">SUM(K47:K73)</f>
        <v>858</v>
      </c>
      <c r="L46" s="431">
        <f t="shared" si="2"/>
        <v>313</v>
      </c>
      <c r="M46" s="431">
        <f t="shared" si="2"/>
        <v>858</v>
      </c>
      <c r="N46" s="431">
        <f t="shared" si="2"/>
        <v>143</v>
      </c>
      <c r="O46" s="427">
        <f t="shared" si="2"/>
        <v>858</v>
      </c>
      <c r="P46" s="501" t="str">
        <f>B46&amp;" (n="&amp;O46&amp;")"</f>
        <v>Scotland (n=858)</v>
      </c>
      <c r="Q46" s="501"/>
      <c r="R46" s="501"/>
      <c r="S46" s="501"/>
    </row>
    <row r="47" spans="1:19">
      <c r="A47" s="44"/>
      <c r="B47" s="351" t="s">
        <v>61</v>
      </c>
      <c r="C47" s="351" t="s">
        <v>60</v>
      </c>
      <c r="D47" s="46">
        <f t="shared" ref="D47:D73" si="3">IF(ISERROR(J47/K47*100),"-",J47/K47*100)</f>
        <v>0</v>
      </c>
      <c r="E47" s="46">
        <f t="shared" ref="E47:E73" si="4">IF(ISERROR((J47+L47)/M47*100),"-",(J47+L47)/M47*100)</f>
        <v>47.368421052631575</v>
      </c>
      <c r="F47" s="46">
        <f t="shared" ref="F47:F73" si="5">IF(ISERROR((J47+L47+N47)/O47*100),"-",(J47+L47+N47)/O47*100)</f>
        <v>68.421052631578945</v>
      </c>
      <c r="G47" s="47">
        <f t="shared" si="1"/>
        <v>47.368421052631575</v>
      </c>
      <c r="H47" s="84">
        <f t="shared" si="1"/>
        <v>21.05263157894737</v>
      </c>
      <c r="I47" s="93">
        <v>80</v>
      </c>
      <c r="J47" s="431">
        <v>0</v>
      </c>
      <c r="K47" s="431">
        <v>19</v>
      </c>
      <c r="L47" s="431">
        <v>9</v>
      </c>
      <c r="M47" s="431">
        <v>19</v>
      </c>
      <c r="N47" s="431">
        <v>4</v>
      </c>
      <c r="O47" s="427">
        <v>19</v>
      </c>
      <c r="P47" s="501" t="str">
        <f t="shared" ref="P47:P73" si="6">B47&amp;" (n="&amp;O47&amp;")"</f>
        <v>Ayr (n=19)</v>
      </c>
      <c r="Q47" s="501"/>
      <c r="R47" s="501"/>
      <c r="S47" s="501"/>
    </row>
    <row r="48" spans="1:19">
      <c r="A48" s="44"/>
      <c r="B48" s="351" t="s">
        <v>63</v>
      </c>
      <c r="C48" s="45" t="s">
        <v>64</v>
      </c>
      <c r="D48" s="46">
        <f t="shared" si="3"/>
        <v>10</v>
      </c>
      <c r="E48" s="46">
        <f t="shared" si="4"/>
        <v>76.666666666666671</v>
      </c>
      <c r="F48" s="46">
        <f t="shared" si="5"/>
        <v>86.666666666666671</v>
      </c>
      <c r="G48" s="47">
        <f t="shared" si="1"/>
        <v>66.666666666666671</v>
      </c>
      <c r="H48" s="84">
        <f t="shared" si="1"/>
        <v>10</v>
      </c>
      <c r="I48" s="93">
        <v>80</v>
      </c>
      <c r="J48" s="431">
        <v>3</v>
      </c>
      <c r="K48" s="431">
        <v>30</v>
      </c>
      <c r="L48" s="431">
        <v>20</v>
      </c>
      <c r="M48" s="431">
        <v>30</v>
      </c>
      <c r="N48" s="431">
        <v>3</v>
      </c>
      <c r="O48" s="427">
        <v>30</v>
      </c>
      <c r="P48" s="501" t="str">
        <f t="shared" si="6"/>
        <v>Crosshouse (n=30)</v>
      </c>
      <c r="Q48" s="501"/>
      <c r="R48" s="501"/>
      <c r="S48" s="501"/>
    </row>
    <row r="49" spans="1:19">
      <c r="A49" s="44"/>
      <c r="B49" s="351" t="s">
        <v>30</v>
      </c>
      <c r="C49" s="45" t="s">
        <v>66</v>
      </c>
      <c r="D49" s="46">
        <f t="shared" si="3"/>
        <v>0</v>
      </c>
      <c r="E49" s="46">
        <f t="shared" si="4"/>
        <v>30</v>
      </c>
      <c r="F49" s="46">
        <f t="shared" si="5"/>
        <v>70</v>
      </c>
      <c r="G49" s="48">
        <f t="shared" si="1"/>
        <v>30</v>
      </c>
      <c r="H49" s="85">
        <f t="shared" si="1"/>
        <v>40</v>
      </c>
      <c r="I49" s="93">
        <v>80</v>
      </c>
      <c r="J49" s="431">
        <v>0</v>
      </c>
      <c r="K49" s="431">
        <v>10</v>
      </c>
      <c r="L49" s="431">
        <v>3</v>
      </c>
      <c r="M49" s="431">
        <v>10</v>
      </c>
      <c r="N49" s="431">
        <v>4</v>
      </c>
      <c r="O49" s="427">
        <v>10</v>
      </c>
      <c r="P49" s="501" t="str">
        <f t="shared" si="6"/>
        <v>Borders (n=10)</v>
      </c>
      <c r="Q49" s="501"/>
      <c r="R49" s="501"/>
      <c r="S49" s="501"/>
    </row>
    <row r="50" spans="1:19">
      <c r="A50" s="44"/>
      <c r="B50" s="351" t="s">
        <v>68</v>
      </c>
      <c r="C50" s="45" t="s">
        <v>69</v>
      </c>
      <c r="D50" s="46">
        <f t="shared" si="3"/>
        <v>0</v>
      </c>
      <c r="E50" s="46">
        <f t="shared" si="4"/>
        <v>54.285714285714285</v>
      </c>
      <c r="F50" s="46">
        <f t="shared" si="5"/>
        <v>60</v>
      </c>
      <c r="G50" s="48">
        <f t="shared" si="1"/>
        <v>54.285714285714285</v>
      </c>
      <c r="H50" s="85">
        <f t="shared" si="1"/>
        <v>5.7142857142857153</v>
      </c>
      <c r="I50" s="93">
        <v>80</v>
      </c>
      <c r="J50" s="431">
        <v>0</v>
      </c>
      <c r="K50" s="431">
        <v>35</v>
      </c>
      <c r="L50" s="431">
        <v>19</v>
      </c>
      <c r="M50" s="431">
        <v>35</v>
      </c>
      <c r="N50" s="431">
        <v>2</v>
      </c>
      <c r="O50" s="427">
        <v>35</v>
      </c>
      <c r="P50" s="501" t="str">
        <f t="shared" si="6"/>
        <v>DGRI (n=35)</v>
      </c>
      <c r="Q50" s="501"/>
      <c r="R50" s="501"/>
      <c r="S50" s="501"/>
    </row>
    <row r="51" spans="1:19">
      <c r="A51" s="44"/>
      <c r="B51" s="351" t="s">
        <v>71</v>
      </c>
      <c r="C51" s="45" t="s">
        <v>72</v>
      </c>
      <c r="D51" s="46">
        <f t="shared" si="3"/>
        <v>0</v>
      </c>
      <c r="E51" s="46">
        <f t="shared" si="4"/>
        <v>18.181818181818183</v>
      </c>
      <c r="F51" s="46">
        <f t="shared" si="5"/>
        <v>45.454545454545453</v>
      </c>
      <c r="G51" s="48">
        <f t="shared" si="1"/>
        <v>18.181818181818183</v>
      </c>
      <c r="H51" s="85">
        <f t="shared" si="1"/>
        <v>27.27272727272727</v>
      </c>
      <c r="I51" s="93">
        <v>80</v>
      </c>
      <c r="J51" s="431">
        <v>0</v>
      </c>
      <c r="K51" s="431">
        <v>11</v>
      </c>
      <c r="L51" s="431">
        <v>2</v>
      </c>
      <c r="M51" s="431">
        <v>11</v>
      </c>
      <c r="N51" s="431">
        <v>3</v>
      </c>
      <c r="O51" s="427">
        <v>11</v>
      </c>
      <c r="P51" s="501" t="str">
        <f t="shared" si="6"/>
        <v>GCH (n=11)</v>
      </c>
      <c r="Q51" s="501"/>
      <c r="R51" s="501"/>
      <c r="S51" s="501"/>
    </row>
    <row r="52" spans="1:19">
      <c r="A52" s="44"/>
      <c r="B52" s="351" t="s">
        <v>177</v>
      </c>
      <c r="C52" s="45" t="s">
        <v>74</v>
      </c>
      <c r="D52" s="46">
        <f t="shared" si="3"/>
        <v>4.7619047619047619</v>
      </c>
      <c r="E52" s="46">
        <f t="shared" si="4"/>
        <v>35.714285714285715</v>
      </c>
      <c r="F52" s="46">
        <f t="shared" si="5"/>
        <v>50</v>
      </c>
      <c r="G52" s="48">
        <f t="shared" si="1"/>
        <v>30.952380952380953</v>
      </c>
      <c r="H52" s="85">
        <f t="shared" si="1"/>
        <v>14.285714285714285</v>
      </c>
      <c r="I52" s="93">
        <v>80</v>
      </c>
      <c r="J52" s="431">
        <v>2</v>
      </c>
      <c r="K52" s="431">
        <v>42</v>
      </c>
      <c r="L52" s="431">
        <v>13</v>
      </c>
      <c r="M52" s="431">
        <v>42</v>
      </c>
      <c r="N52" s="431">
        <v>6</v>
      </c>
      <c r="O52" s="427">
        <v>42</v>
      </c>
      <c r="P52" s="501" t="str">
        <f t="shared" si="6"/>
        <v>VHK (n=42)</v>
      </c>
      <c r="Q52" s="501"/>
      <c r="R52" s="501"/>
      <c r="S52" s="501"/>
    </row>
    <row r="53" spans="1:19">
      <c r="A53" s="44"/>
      <c r="B53" s="351" t="s">
        <v>574</v>
      </c>
      <c r="C53" s="45" t="s">
        <v>76</v>
      </c>
      <c r="D53" s="46">
        <f t="shared" si="3"/>
        <v>0</v>
      </c>
      <c r="E53" s="46">
        <f t="shared" si="4"/>
        <v>20.588235294117645</v>
      </c>
      <c r="F53" s="46">
        <f t="shared" si="5"/>
        <v>38.235294117647058</v>
      </c>
      <c r="G53" s="48">
        <f t="shared" si="1"/>
        <v>20.588235294117645</v>
      </c>
      <c r="H53" s="85">
        <f t="shared" si="1"/>
        <v>17.647058823529413</v>
      </c>
      <c r="I53" s="93">
        <v>80</v>
      </c>
      <c r="J53" s="431">
        <v>0</v>
      </c>
      <c r="K53" s="431">
        <v>34</v>
      </c>
      <c r="L53" s="431">
        <v>7</v>
      </c>
      <c r="M53" s="431">
        <v>34</v>
      </c>
      <c r="N53" s="431">
        <v>6</v>
      </c>
      <c r="O53" s="427">
        <v>34</v>
      </c>
      <c r="P53" s="501" t="str">
        <f t="shared" si="6"/>
        <v>FVRH3 (n=34)</v>
      </c>
      <c r="Q53" s="501"/>
      <c r="R53" s="501"/>
      <c r="S53" s="501"/>
    </row>
    <row r="54" spans="1:19">
      <c r="A54" s="44"/>
      <c r="B54" s="351" t="s">
        <v>178</v>
      </c>
      <c r="C54" s="45" t="s">
        <v>78</v>
      </c>
      <c r="D54" s="46">
        <f t="shared" si="3"/>
        <v>21.212121212121211</v>
      </c>
      <c r="E54" s="46">
        <f t="shared" si="4"/>
        <v>62.878787878787875</v>
      </c>
      <c r="F54" s="46">
        <f t="shared" si="5"/>
        <v>80.303030303030297</v>
      </c>
      <c r="G54" s="48">
        <f t="shared" si="1"/>
        <v>41.666666666666664</v>
      </c>
      <c r="H54" s="85">
        <f t="shared" si="1"/>
        <v>17.424242424242422</v>
      </c>
      <c r="I54" s="93">
        <v>80</v>
      </c>
      <c r="J54" s="431">
        <v>28</v>
      </c>
      <c r="K54" s="431">
        <v>132</v>
      </c>
      <c r="L54" s="431">
        <v>55</v>
      </c>
      <c r="M54" s="431">
        <v>132</v>
      </c>
      <c r="N54" s="431">
        <v>23</v>
      </c>
      <c r="O54" s="427">
        <v>132</v>
      </c>
      <c r="P54" s="501" t="str">
        <f t="shared" si="6"/>
        <v>ARI (n=132)</v>
      </c>
      <c r="Q54" s="501"/>
      <c r="R54" s="501"/>
      <c r="S54" s="501"/>
    </row>
    <row r="55" spans="1:19">
      <c r="A55" s="44"/>
      <c r="B55" s="351" t="s">
        <v>80</v>
      </c>
      <c r="C55" s="45" t="s">
        <v>81</v>
      </c>
      <c r="D55" s="46">
        <f t="shared" si="3"/>
        <v>0</v>
      </c>
      <c r="E55" s="46">
        <f t="shared" si="4"/>
        <v>25</v>
      </c>
      <c r="F55" s="46">
        <f t="shared" si="5"/>
        <v>41.666666666666671</v>
      </c>
      <c r="G55" s="48">
        <f t="shared" si="1"/>
        <v>25</v>
      </c>
      <c r="H55" s="85">
        <f t="shared" si="1"/>
        <v>16.666666666666671</v>
      </c>
      <c r="I55" s="93">
        <v>80</v>
      </c>
      <c r="J55" s="431">
        <v>0</v>
      </c>
      <c r="K55" s="431">
        <v>12</v>
      </c>
      <c r="L55" s="431">
        <v>3</v>
      </c>
      <c r="M55" s="431">
        <v>12</v>
      </c>
      <c r="N55" s="431">
        <v>2</v>
      </c>
      <c r="O55" s="427">
        <v>12</v>
      </c>
      <c r="P55" s="501" t="str">
        <f t="shared" si="6"/>
        <v>Dr Grays (n=12)</v>
      </c>
      <c r="Q55" s="501"/>
      <c r="R55" s="501"/>
      <c r="S55" s="501"/>
    </row>
    <row r="56" spans="1:19">
      <c r="A56" s="44"/>
      <c r="B56" s="351" t="s">
        <v>575</v>
      </c>
      <c r="C56" s="45" t="s">
        <v>83</v>
      </c>
      <c r="D56" s="46">
        <f t="shared" si="3"/>
        <v>0</v>
      </c>
      <c r="E56" s="46">
        <f t="shared" si="4"/>
        <v>0</v>
      </c>
      <c r="F56" s="46">
        <f t="shared" si="5"/>
        <v>0</v>
      </c>
      <c r="G56" s="48">
        <f t="shared" si="1"/>
        <v>0</v>
      </c>
      <c r="H56" s="85">
        <f t="shared" si="1"/>
        <v>0</v>
      </c>
      <c r="I56" s="93">
        <v>80</v>
      </c>
      <c r="J56" s="431">
        <v>0</v>
      </c>
      <c r="K56" s="431">
        <v>1</v>
      </c>
      <c r="L56" s="431">
        <v>0</v>
      </c>
      <c r="M56" s="431">
        <v>1</v>
      </c>
      <c r="N56" s="431">
        <v>0</v>
      </c>
      <c r="O56" s="427">
        <v>1</v>
      </c>
      <c r="P56" s="501" t="str">
        <f t="shared" si="6"/>
        <v>GRI3 (n=1)</v>
      </c>
      <c r="Q56" s="501"/>
      <c r="R56" s="501"/>
      <c r="S56" s="501"/>
    </row>
    <row r="57" spans="1:19">
      <c r="A57" s="44"/>
      <c r="B57" s="351" t="s">
        <v>532</v>
      </c>
      <c r="C57" s="45" t="s">
        <v>546</v>
      </c>
      <c r="D57" s="46">
        <f t="shared" si="3"/>
        <v>0.99009900990099009</v>
      </c>
      <c r="E57" s="46">
        <f t="shared" si="4"/>
        <v>16.831683168316832</v>
      </c>
      <c r="F57" s="46">
        <f t="shared" si="5"/>
        <v>33.663366336633665</v>
      </c>
      <c r="G57" s="48">
        <f t="shared" si="1"/>
        <v>15.841584158415841</v>
      </c>
      <c r="H57" s="85">
        <f t="shared" si="1"/>
        <v>16.831683168316832</v>
      </c>
      <c r="I57" s="93">
        <v>80</v>
      </c>
      <c r="J57" s="431">
        <v>2</v>
      </c>
      <c r="K57" s="431">
        <v>202</v>
      </c>
      <c r="L57" s="431">
        <v>32</v>
      </c>
      <c r="M57" s="431">
        <v>202</v>
      </c>
      <c r="N57" s="431">
        <v>34</v>
      </c>
      <c r="O57" s="427">
        <v>202</v>
      </c>
      <c r="P57" s="501" t="str">
        <f t="shared" si="6"/>
        <v>QEUH (n=202)</v>
      </c>
      <c r="Q57" s="501"/>
      <c r="R57" s="501"/>
      <c r="S57" s="501"/>
    </row>
    <row r="58" spans="1:19">
      <c r="A58" s="44"/>
      <c r="B58" s="351" t="s">
        <v>188</v>
      </c>
      <c r="C58" s="45" t="s">
        <v>88</v>
      </c>
      <c r="D58" s="46" t="str">
        <f t="shared" si="3"/>
        <v>-</v>
      </c>
      <c r="E58" s="46" t="str">
        <f t="shared" si="4"/>
        <v>-</v>
      </c>
      <c r="F58" s="46" t="str">
        <f t="shared" si="5"/>
        <v>-</v>
      </c>
      <c r="G58" s="48" t="e">
        <f t="shared" si="1"/>
        <v>#VALUE!</v>
      </c>
      <c r="H58" s="85" t="e">
        <f t="shared" si="1"/>
        <v>#VALUE!</v>
      </c>
      <c r="I58" s="93">
        <v>80</v>
      </c>
      <c r="J58" s="431">
        <v>0</v>
      </c>
      <c r="K58" s="431">
        <v>0</v>
      </c>
      <c r="L58" s="431">
        <v>0</v>
      </c>
      <c r="M58" s="431">
        <v>0</v>
      </c>
      <c r="N58" s="431">
        <v>0</v>
      </c>
      <c r="O58" s="427">
        <v>0</v>
      </c>
      <c r="P58" s="501" t="str">
        <f t="shared" si="6"/>
        <v>RAH (n=0)</v>
      </c>
      <c r="Q58" s="501"/>
      <c r="R58" s="501"/>
      <c r="S58" s="501"/>
    </row>
    <row r="59" spans="1:19">
      <c r="A59" s="44"/>
      <c r="B59" s="351" t="s">
        <v>92</v>
      </c>
      <c r="C59" s="45" t="s">
        <v>93</v>
      </c>
      <c r="D59" s="46">
        <f t="shared" si="3"/>
        <v>0</v>
      </c>
      <c r="E59" s="46">
        <f t="shared" si="4"/>
        <v>0</v>
      </c>
      <c r="F59" s="46">
        <f t="shared" si="5"/>
        <v>0</v>
      </c>
      <c r="G59" s="48">
        <f t="shared" si="1"/>
        <v>0</v>
      </c>
      <c r="H59" s="85">
        <f t="shared" si="1"/>
        <v>0</v>
      </c>
      <c r="I59" s="93">
        <v>80</v>
      </c>
      <c r="J59" s="431">
        <v>0</v>
      </c>
      <c r="K59" s="431">
        <v>3</v>
      </c>
      <c r="L59" s="431">
        <v>0</v>
      </c>
      <c r="M59" s="431">
        <v>3</v>
      </c>
      <c r="N59" s="431">
        <v>0</v>
      </c>
      <c r="O59" s="427">
        <v>3</v>
      </c>
      <c r="P59" s="501" t="str">
        <f t="shared" si="6"/>
        <v>Belford (n=3)</v>
      </c>
      <c r="Q59" s="501"/>
      <c r="R59" s="501"/>
      <c r="S59" s="501"/>
    </row>
    <row r="60" spans="1:19">
      <c r="A60" s="44"/>
      <c r="B60" s="351" t="s">
        <v>95</v>
      </c>
      <c r="C60" s="45" t="s">
        <v>96</v>
      </c>
      <c r="D60" s="46">
        <f t="shared" si="3"/>
        <v>0</v>
      </c>
      <c r="E60" s="46">
        <f t="shared" si="4"/>
        <v>33.333333333333329</v>
      </c>
      <c r="F60" s="46">
        <f t="shared" si="5"/>
        <v>100</v>
      </c>
      <c r="G60" s="48">
        <f t="shared" si="1"/>
        <v>33.333333333333329</v>
      </c>
      <c r="H60" s="85">
        <f t="shared" si="1"/>
        <v>66.666666666666671</v>
      </c>
      <c r="I60" s="93">
        <v>80</v>
      </c>
      <c r="J60" s="431">
        <v>0</v>
      </c>
      <c r="K60" s="431">
        <v>3</v>
      </c>
      <c r="L60" s="431">
        <v>1</v>
      </c>
      <c r="M60" s="431">
        <v>3</v>
      </c>
      <c r="N60" s="431">
        <v>2</v>
      </c>
      <c r="O60" s="427">
        <v>3</v>
      </c>
      <c r="P60" s="501" t="str">
        <f t="shared" si="6"/>
        <v>Caithness (n=3)</v>
      </c>
      <c r="Q60" s="501"/>
      <c r="R60" s="501"/>
      <c r="S60" s="501"/>
    </row>
    <row r="61" spans="1:19">
      <c r="A61" s="44"/>
      <c r="B61" s="351" t="s">
        <v>98</v>
      </c>
      <c r="C61" s="45" t="s">
        <v>99</v>
      </c>
      <c r="D61" s="46">
        <f t="shared" si="3"/>
        <v>0</v>
      </c>
      <c r="E61" s="46">
        <f t="shared" si="4"/>
        <v>37.5</v>
      </c>
      <c r="F61" s="46">
        <f t="shared" si="5"/>
        <v>62.5</v>
      </c>
      <c r="G61" s="48">
        <f t="shared" si="1"/>
        <v>37.5</v>
      </c>
      <c r="H61" s="85">
        <f t="shared" si="1"/>
        <v>25</v>
      </c>
      <c r="I61" s="93">
        <v>80</v>
      </c>
      <c r="J61" s="431">
        <v>0</v>
      </c>
      <c r="K61" s="431">
        <v>8</v>
      </c>
      <c r="L61" s="431">
        <v>3</v>
      </c>
      <c r="M61" s="431">
        <v>8</v>
      </c>
      <c r="N61" s="431">
        <v>2</v>
      </c>
      <c r="O61" s="427">
        <v>8</v>
      </c>
      <c r="P61" s="501" t="str">
        <f t="shared" si="6"/>
        <v>L&amp;I (n=8)</v>
      </c>
      <c r="Q61" s="501"/>
      <c r="R61" s="501"/>
      <c r="S61" s="501"/>
    </row>
    <row r="62" spans="1:19">
      <c r="A62" s="44"/>
      <c r="B62" s="351" t="s">
        <v>101</v>
      </c>
      <c r="C62" s="45" t="s">
        <v>102</v>
      </c>
      <c r="D62" s="46">
        <f t="shared" si="3"/>
        <v>0</v>
      </c>
      <c r="E62" s="46">
        <f t="shared" si="4"/>
        <v>14.814814814814813</v>
      </c>
      <c r="F62" s="46">
        <f t="shared" si="5"/>
        <v>29.629629629629626</v>
      </c>
      <c r="G62" s="48">
        <f t="shared" si="1"/>
        <v>14.814814814814813</v>
      </c>
      <c r="H62" s="85">
        <f t="shared" si="1"/>
        <v>14.814814814814813</v>
      </c>
      <c r="I62" s="93">
        <v>80</v>
      </c>
      <c r="J62" s="431">
        <v>0</v>
      </c>
      <c r="K62" s="431">
        <v>27</v>
      </c>
      <c r="L62" s="431">
        <v>4</v>
      </c>
      <c r="M62" s="431">
        <v>27</v>
      </c>
      <c r="N62" s="431">
        <v>4</v>
      </c>
      <c r="O62" s="427">
        <v>27</v>
      </c>
      <c r="P62" s="501" t="str">
        <f t="shared" si="6"/>
        <v>Raigmore (n=27)</v>
      </c>
      <c r="Q62" s="501"/>
      <c r="R62" s="501"/>
      <c r="S62" s="501"/>
    </row>
    <row r="63" spans="1:19">
      <c r="A63" s="44"/>
      <c r="B63" s="351" t="s">
        <v>104</v>
      </c>
      <c r="C63" s="45" t="s">
        <v>105</v>
      </c>
      <c r="D63" s="46">
        <f t="shared" si="3"/>
        <v>0</v>
      </c>
      <c r="E63" s="46">
        <f t="shared" si="4"/>
        <v>53.846153846153847</v>
      </c>
      <c r="F63" s="46">
        <f t="shared" si="5"/>
        <v>69.230769230769226</v>
      </c>
      <c r="G63" s="48">
        <f t="shared" si="1"/>
        <v>53.846153846153847</v>
      </c>
      <c r="H63" s="85">
        <f t="shared" si="1"/>
        <v>15.38461538461538</v>
      </c>
      <c r="I63" s="93">
        <v>80</v>
      </c>
      <c r="J63" s="431">
        <v>0</v>
      </c>
      <c r="K63" s="431">
        <v>13</v>
      </c>
      <c r="L63" s="431">
        <v>7</v>
      </c>
      <c r="M63" s="431">
        <v>13</v>
      </c>
      <c r="N63" s="431">
        <v>2</v>
      </c>
      <c r="O63" s="427">
        <v>13</v>
      </c>
      <c r="P63" s="501" t="str">
        <f t="shared" si="6"/>
        <v>Hairmyres (n=13)</v>
      </c>
      <c r="Q63" s="501"/>
      <c r="R63" s="501"/>
      <c r="S63" s="501"/>
    </row>
    <row r="64" spans="1:19">
      <c r="A64" s="44"/>
      <c r="B64" s="351" t="s">
        <v>107</v>
      </c>
      <c r="C64" s="45" t="s">
        <v>108</v>
      </c>
      <c r="D64" s="46">
        <f t="shared" si="3"/>
        <v>4</v>
      </c>
      <c r="E64" s="46">
        <f t="shared" si="4"/>
        <v>40</v>
      </c>
      <c r="F64" s="46">
        <f t="shared" si="5"/>
        <v>68</v>
      </c>
      <c r="G64" s="48">
        <f t="shared" si="1"/>
        <v>36</v>
      </c>
      <c r="H64" s="85">
        <f t="shared" si="1"/>
        <v>28</v>
      </c>
      <c r="I64" s="93">
        <v>80</v>
      </c>
      <c r="J64" s="431">
        <v>1</v>
      </c>
      <c r="K64" s="431">
        <v>25</v>
      </c>
      <c r="L64" s="431">
        <v>9</v>
      </c>
      <c r="M64" s="431">
        <v>25</v>
      </c>
      <c r="N64" s="431">
        <v>7</v>
      </c>
      <c r="O64" s="427">
        <v>25</v>
      </c>
      <c r="P64" s="501" t="str">
        <f t="shared" si="6"/>
        <v>Monklands (n=25)</v>
      </c>
      <c r="Q64" s="501"/>
      <c r="R64" s="501"/>
      <c r="S64" s="501"/>
    </row>
    <row r="65" spans="1:19">
      <c r="A65" s="44"/>
      <c r="B65" s="351" t="s">
        <v>110</v>
      </c>
      <c r="C65" s="45" t="s">
        <v>109</v>
      </c>
      <c r="D65" s="46">
        <f t="shared" si="3"/>
        <v>7.4074074074074066</v>
      </c>
      <c r="E65" s="46">
        <f t="shared" si="4"/>
        <v>59.259259259259252</v>
      </c>
      <c r="F65" s="46">
        <f t="shared" si="5"/>
        <v>74.074074074074076</v>
      </c>
      <c r="G65" s="48">
        <f t="shared" si="1"/>
        <v>51.851851851851848</v>
      </c>
      <c r="H65" s="85">
        <f t="shared" si="1"/>
        <v>14.814814814814824</v>
      </c>
      <c r="I65" s="93">
        <v>80</v>
      </c>
      <c r="J65" s="431">
        <v>2</v>
      </c>
      <c r="K65" s="431">
        <v>27</v>
      </c>
      <c r="L65" s="431">
        <v>14</v>
      </c>
      <c r="M65" s="431">
        <v>27</v>
      </c>
      <c r="N65" s="431">
        <v>4</v>
      </c>
      <c r="O65" s="427">
        <v>27</v>
      </c>
      <c r="P65" s="501" t="str">
        <f t="shared" si="6"/>
        <v>Wishaw (n=27)</v>
      </c>
      <c r="Q65" s="501"/>
      <c r="R65" s="501"/>
      <c r="S65" s="501"/>
    </row>
    <row r="66" spans="1:19">
      <c r="A66" s="44"/>
      <c r="B66" s="351" t="s">
        <v>112</v>
      </c>
      <c r="C66" s="45" t="s">
        <v>113</v>
      </c>
      <c r="D66" s="46">
        <f t="shared" si="3"/>
        <v>9</v>
      </c>
      <c r="E66" s="46">
        <f t="shared" si="4"/>
        <v>60</v>
      </c>
      <c r="F66" s="46">
        <f t="shared" si="5"/>
        <v>78</v>
      </c>
      <c r="G66" s="48">
        <f t="shared" si="1"/>
        <v>51</v>
      </c>
      <c r="H66" s="85">
        <f t="shared" si="1"/>
        <v>18</v>
      </c>
      <c r="I66" s="93">
        <v>80</v>
      </c>
      <c r="J66" s="431">
        <v>9</v>
      </c>
      <c r="K66" s="431">
        <v>100</v>
      </c>
      <c r="L66" s="431">
        <v>51</v>
      </c>
      <c r="M66" s="431">
        <v>100</v>
      </c>
      <c r="N66" s="431">
        <v>18</v>
      </c>
      <c r="O66" s="427">
        <v>100</v>
      </c>
      <c r="P66" s="501" t="str">
        <f t="shared" si="6"/>
        <v>RIE (n=100)</v>
      </c>
      <c r="Q66" s="501"/>
      <c r="R66" s="501"/>
      <c r="S66" s="501"/>
    </row>
    <row r="67" spans="1:19">
      <c r="A67" s="44"/>
      <c r="B67" s="351" t="s">
        <v>115</v>
      </c>
      <c r="C67" s="45" t="s">
        <v>116</v>
      </c>
      <c r="D67" s="46">
        <f t="shared" si="3"/>
        <v>0</v>
      </c>
      <c r="E67" s="46">
        <f t="shared" si="4"/>
        <v>35.483870967741936</v>
      </c>
      <c r="F67" s="46">
        <f t="shared" si="5"/>
        <v>64.516129032258064</v>
      </c>
      <c r="G67" s="48">
        <f t="shared" si="1"/>
        <v>35.483870967741936</v>
      </c>
      <c r="H67" s="85">
        <f t="shared" si="1"/>
        <v>29.032258064516128</v>
      </c>
      <c r="I67" s="93">
        <v>80</v>
      </c>
      <c r="J67" s="431">
        <v>0</v>
      </c>
      <c r="K67" s="431">
        <v>31</v>
      </c>
      <c r="L67" s="431">
        <v>11</v>
      </c>
      <c r="M67" s="431">
        <v>31</v>
      </c>
      <c r="N67" s="431">
        <v>9</v>
      </c>
      <c r="O67" s="427">
        <v>31</v>
      </c>
      <c r="P67" s="501" t="str">
        <f t="shared" si="6"/>
        <v>SJH (n=31)</v>
      </c>
      <c r="Q67" s="501"/>
      <c r="R67" s="501"/>
      <c r="S67" s="501"/>
    </row>
    <row r="68" spans="1:19">
      <c r="A68" s="44"/>
      <c r="B68" s="351" t="s">
        <v>118</v>
      </c>
      <c r="C68" s="45" t="s">
        <v>119</v>
      </c>
      <c r="D68" s="46">
        <f t="shared" si="3"/>
        <v>0</v>
      </c>
      <c r="E68" s="46">
        <f t="shared" si="4"/>
        <v>33.333333333333329</v>
      </c>
      <c r="F68" s="46">
        <f t="shared" si="5"/>
        <v>53.333333333333336</v>
      </c>
      <c r="G68" s="48">
        <f t="shared" si="1"/>
        <v>33.333333333333329</v>
      </c>
      <c r="H68" s="85">
        <f t="shared" si="1"/>
        <v>20.000000000000007</v>
      </c>
      <c r="I68" s="93">
        <v>80</v>
      </c>
      <c r="J68" s="431">
        <v>0</v>
      </c>
      <c r="K68" s="431">
        <v>15</v>
      </c>
      <c r="L68" s="431">
        <v>5</v>
      </c>
      <c r="M68" s="431">
        <v>15</v>
      </c>
      <c r="N68" s="431">
        <v>3</v>
      </c>
      <c r="O68" s="427">
        <v>15</v>
      </c>
      <c r="P68" s="501" t="str">
        <f t="shared" si="6"/>
        <v>WGH (n=15)</v>
      </c>
      <c r="Q68" s="501"/>
      <c r="R68" s="501"/>
      <c r="S68" s="501"/>
    </row>
    <row r="69" spans="1:19">
      <c r="A69" s="44"/>
      <c r="B69" s="351" t="s">
        <v>121</v>
      </c>
      <c r="C69" s="45" t="s">
        <v>122</v>
      </c>
      <c r="D69" s="46">
        <f t="shared" si="3"/>
        <v>0</v>
      </c>
      <c r="E69" s="46">
        <f t="shared" si="4"/>
        <v>0</v>
      </c>
      <c r="F69" s="46">
        <f t="shared" si="5"/>
        <v>0</v>
      </c>
      <c r="G69" s="48">
        <f t="shared" si="1"/>
        <v>0</v>
      </c>
      <c r="H69" s="85">
        <f t="shared" si="1"/>
        <v>0</v>
      </c>
      <c r="I69" s="93">
        <v>80</v>
      </c>
      <c r="J69" s="431">
        <v>0</v>
      </c>
      <c r="K69" s="431">
        <v>1</v>
      </c>
      <c r="L69" s="431">
        <v>0</v>
      </c>
      <c r="M69" s="431">
        <v>1</v>
      </c>
      <c r="N69" s="431">
        <v>0</v>
      </c>
      <c r="O69" s="427">
        <v>1</v>
      </c>
      <c r="P69" s="501" t="str">
        <f t="shared" si="6"/>
        <v>Balfour (n=1)</v>
      </c>
      <c r="Q69" s="501"/>
      <c r="R69" s="501"/>
      <c r="S69" s="501"/>
    </row>
    <row r="70" spans="1:19">
      <c r="A70" s="44"/>
      <c r="B70" s="351" t="s">
        <v>124</v>
      </c>
      <c r="C70" s="45" t="s">
        <v>125</v>
      </c>
      <c r="D70" s="46">
        <f t="shared" si="3"/>
        <v>0</v>
      </c>
      <c r="E70" s="46">
        <f t="shared" si="4"/>
        <v>0</v>
      </c>
      <c r="F70" s="46">
        <f t="shared" si="5"/>
        <v>0</v>
      </c>
      <c r="G70" s="48">
        <f t="shared" si="1"/>
        <v>0</v>
      </c>
      <c r="H70" s="85">
        <f t="shared" si="1"/>
        <v>0</v>
      </c>
      <c r="I70" s="93">
        <v>80</v>
      </c>
      <c r="J70" s="431">
        <v>0</v>
      </c>
      <c r="K70" s="431">
        <v>1</v>
      </c>
      <c r="L70" s="431">
        <v>0</v>
      </c>
      <c r="M70" s="431">
        <v>1</v>
      </c>
      <c r="N70" s="431">
        <v>0</v>
      </c>
      <c r="O70" s="427">
        <v>1</v>
      </c>
      <c r="P70" s="501" t="str">
        <f t="shared" si="6"/>
        <v>Gilbert Bain (n=1)</v>
      </c>
      <c r="Q70" s="501"/>
      <c r="R70" s="501"/>
      <c r="S70" s="501"/>
    </row>
    <row r="71" spans="1:19">
      <c r="A71" s="44"/>
      <c r="B71" s="351" t="s">
        <v>127</v>
      </c>
      <c r="C71" s="45" t="s">
        <v>128</v>
      </c>
      <c r="D71" s="46">
        <f t="shared" si="3"/>
        <v>2.083333333333333</v>
      </c>
      <c r="E71" s="46">
        <f t="shared" si="4"/>
        <v>77.083333333333343</v>
      </c>
      <c r="F71" s="46">
        <f t="shared" si="5"/>
        <v>85.416666666666657</v>
      </c>
      <c r="G71" s="48">
        <f t="shared" si="1"/>
        <v>75.000000000000014</v>
      </c>
      <c r="H71" s="85">
        <f t="shared" si="1"/>
        <v>8.3333333333333144</v>
      </c>
      <c r="I71" s="93">
        <v>80</v>
      </c>
      <c r="J71" s="431">
        <v>1</v>
      </c>
      <c r="K71" s="431">
        <v>48</v>
      </c>
      <c r="L71" s="431">
        <v>36</v>
      </c>
      <c r="M71" s="431">
        <v>48</v>
      </c>
      <c r="N71" s="431">
        <v>4</v>
      </c>
      <c r="O71" s="427">
        <v>48</v>
      </c>
      <c r="P71" s="501" t="str">
        <f t="shared" si="6"/>
        <v>Ninewells (n=48)</v>
      </c>
      <c r="Q71" s="501"/>
      <c r="R71" s="501"/>
      <c r="S71" s="501"/>
    </row>
    <row r="72" spans="1:19">
      <c r="A72" s="44"/>
      <c r="B72" s="351" t="s">
        <v>130</v>
      </c>
      <c r="C72" s="45" t="s">
        <v>131</v>
      </c>
      <c r="D72" s="46">
        <f t="shared" si="3"/>
        <v>18.181818181818183</v>
      </c>
      <c r="E72" s="46">
        <f t="shared" si="4"/>
        <v>54.54545454545454</v>
      </c>
      <c r="F72" s="46">
        <f t="shared" si="5"/>
        <v>59.090909090909093</v>
      </c>
      <c r="G72" s="86">
        <f t="shared" si="1"/>
        <v>36.36363636363636</v>
      </c>
      <c r="H72" s="87">
        <f t="shared" si="1"/>
        <v>4.5454545454545539</v>
      </c>
      <c r="I72" s="93">
        <v>80</v>
      </c>
      <c r="J72" s="431">
        <v>4</v>
      </c>
      <c r="K72" s="431">
        <v>22</v>
      </c>
      <c r="L72" s="431">
        <v>8</v>
      </c>
      <c r="M72" s="431">
        <v>22</v>
      </c>
      <c r="N72" s="431">
        <v>1</v>
      </c>
      <c r="O72" s="427">
        <v>22</v>
      </c>
      <c r="P72" s="501" t="str">
        <f t="shared" si="6"/>
        <v>PRI (n=22)</v>
      </c>
      <c r="Q72" s="501"/>
      <c r="R72" s="501"/>
      <c r="S72" s="501"/>
    </row>
    <row r="73" spans="1:19">
      <c r="A73" s="44"/>
      <c r="B73" s="351" t="s">
        <v>39</v>
      </c>
      <c r="C73" s="45" t="s">
        <v>136</v>
      </c>
      <c r="D73" s="46">
        <f t="shared" si="3"/>
        <v>16.666666666666664</v>
      </c>
      <c r="E73" s="46">
        <f t="shared" si="4"/>
        <v>33.333333333333329</v>
      </c>
      <c r="F73" s="46">
        <f t="shared" si="5"/>
        <v>33.333333333333329</v>
      </c>
      <c r="G73" s="352">
        <f t="shared" si="1"/>
        <v>16.666666666666664</v>
      </c>
      <c r="H73" s="353">
        <f t="shared" si="1"/>
        <v>0</v>
      </c>
      <c r="I73" s="354">
        <v>80</v>
      </c>
      <c r="J73" s="431">
        <v>1</v>
      </c>
      <c r="K73" s="431">
        <v>6</v>
      </c>
      <c r="L73" s="431">
        <v>1</v>
      </c>
      <c r="M73" s="431">
        <v>6</v>
      </c>
      <c r="N73" s="431">
        <v>0</v>
      </c>
      <c r="O73" s="427">
        <v>6</v>
      </c>
      <c r="P73" s="501" t="str">
        <f t="shared" si="6"/>
        <v>Western Isles (n=6)</v>
      </c>
      <c r="Q73" s="501"/>
      <c r="R73" s="501"/>
      <c r="S73" s="501"/>
    </row>
    <row r="74" spans="1:19" ht="15">
      <c r="B74" s="51"/>
      <c r="D74"/>
      <c r="E74"/>
      <c r="F74"/>
      <c r="G74"/>
      <c r="H74"/>
      <c r="I74"/>
      <c r="J74"/>
    </row>
    <row r="75" spans="1:19" ht="15">
      <c r="B75" s="51"/>
      <c r="D75"/>
      <c r="E75"/>
      <c r="F75"/>
      <c r="G75"/>
      <c r="H75"/>
      <c r="I75"/>
      <c r="J75"/>
    </row>
    <row r="76" spans="1:19" ht="15">
      <c r="D76"/>
      <c r="E76"/>
      <c r="F76"/>
      <c r="G76"/>
      <c r="H76"/>
      <c r="I76"/>
      <c r="J76"/>
    </row>
    <row r="77" spans="1:19" ht="15">
      <c r="B77" s="51"/>
      <c r="D77"/>
      <c r="E77"/>
      <c r="F77"/>
      <c r="G77"/>
      <c r="H77"/>
      <c r="I77"/>
      <c r="J77"/>
    </row>
    <row r="78" spans="1:19" ht="15">
      <c r="B78" s="51"/>
      <c r="D78"/>
      <c r="E78"/>
      <c r="F78"/>
      <c r="G78"/>
      <c r="H78"/>
      <c r="I78"/>
      <c r="J78"/>
    </row>
    <row r="79" spans="1:19" ht="15">
      <c r="B79" s="51"/>
      <c r="D79"/>
      <c r="E79"/>
      <c r="F79"/>
      <c r="G79"/>
      <c r="H79"/>
      <c r="I79"/>
      <c r="J79"/>
    </row>
    <row r="80" spans="1:19" s="494" customFormat="1" ht="15">
      <c r="A80" s="496"/>
      <c r="B80" s="51"/>
      <c r="C80" s="496"/>
      <c r="D80"/>
      <c r="E80"/>
      <c r="F80"/>
      <c r="G80"/>
      <c r="H80"/>
      <c r="I80"/>
      <c r="J80"/>
      <c r="K80" s="496"/>
      <c r="L80" s="496"/>
      <c r="M80" s="496"/>
      <c r="N80" s="496"/>
      <c r="O80" s="496"/>
      <c r="P80" s="496"/>
    </row>
    <row r="81" spans="1:16" s="494" customFormat="1" ht="15">
      <c r="A81" s="496"/>
      <c r="B81" s="51"/>
      <c r="C81" s="496"/>
      <c r="D81"/>
      <c r="E81"/>
      <c r="F81"/>
      <c r="G81"/>
      <c r="H81"/>
      <c r="I81"/>
      <c r="J81"/>
      <c r="K81" s="496"/>
      <c r="L81" s="496"/>
      <c r="M81" s="496"/>
      <c r="N81" s="496"/>
      <c r="O81" s="496"/>
      <c r="P81" s="496"/>
    </row>
    <row r="82" spans="1:16" s="494" customFormat="1" ht="15">
      <c r="A82" s="496"/>
      <c r="B82" s="51"/>
      <c r="C82" s="496"/>
      <c r="D82"/>
      <c r="E82"/>
      <c r="F82"/>
      <c r="G82"/>
      <c r="H82"/>
      <c r="I82"/>
      <c r="J82"/>
      <c r="K82" s="496"/>
      <c r="L82" s="496"/>
      <c r="M82" s="496"/>
      <c r="N82" s="496"/>
      <c r="O82" s="496"/>
      <c r="P82" s="496"/>
    </row>
    <row r="83" spans="1:16" ht="15">
      <c r="B83" s="51"/>
      <c r="D83"/>
      <c r="E83"/>
      <c r="F83"/>
      <c r="G83"/>
      <c r="H83"/>
      <c r="I83"/>
      <c r="J83"/>
    </row>
    <row r="84" spans="1:16" ht="15">
      <c r="D84"/>
      <c r="E84"/>
      <c r="F84"/>
      <c r="G84"/>
      <c r="H84"/>
      <c r="I84"/>
      <c r="J84"/>
    </row>
    <row r="85" spans="1:16" ht="15">
      <c r="D85"/>
      <c r="E85"/>
      <c r="F85"/>
      <c r="G85"/>
      <c r="H85"/>
      <c r="I85"/>
      <c r="J85"/>
    </row>
    <row r="86" spans="1:16" ht="15">
      <c r="D86"/>
      <c r="E86"/>
      <c r="F86"/>
      <c r="G86"/>
      <c r="H86"/>
      <c r="I86"/>
      <c r="J86"/>
    </row>
    <row r="87" spans="1:16" ht="15">
      <c r="D87"/>
      <c r="E87"/>
      <c r="F87"/>
      <c r="G87"/>
      <c r="H87"/>
      <c r="I87"/>
      <c r="J87"/>
    </row>
    <row r="88" spans="1:16" ht="15">
      <c r="D88"/>
      <c r="E88"/>
      <c r="F88"/>
      <c r="G88"/>
      <c r="H88"/>
      <c r="I88"/>
      <c r="J88"/>
    </row>
    <row r="89" spans="1:16" ht="15">
      <c r="D89"/>
      <c r="E89"/>
      <c r="F89"/>
      <c r="G89"/>
      <c r="H89"/>
      <c r="I89"/>
      <c r="J89"/>
    </row>
    <row r="90" spans="1:16" ht="15">
      <c r="D90"/>
      <c r="E90"/>
      <c r="F90"/>
      <c r="G90"/>
      <c r="H90"/>
      <c r="I90"/>
      <c r="J90"/>
    </row>
    <row r="91" spans="1:16" ht="15">
      <c r="D91"/>
      <c r="E91"/>
      <c r="F91"/>
      <c r="G91"/>
      <c r="H91"/>
      <c r="I91"/>
      <c r="J91"/>
    </row>
    <row r="92" spans="1:16" ht="15">
      <c r="D92"/>
      <c r="E92"/>
      <c r="F92"/>
      <c r="G92"/>
      <c r="H92"/>
      <c r="I92"/>
      <c r="J92"/>
    </row>
    <row r="93" spans="1:16" ht="15">
      <c r="D93"/>
      <c r="E93"/>
      <c r="F93"/>
      <c r="G93"/>
      <c r="H93"/>
      <c r="I93"/>
      <c r="J93"/>
    </row>
    <row r="94" spans="1:16" ht="15">
      <c r="D94"/>
      <c r="E94"/>
      <c r="F94"/>
      <c r="G94"/>
      <c r="H94"/>
      <c r="I94"/>
      <c r="J94"/>
    </row>
    <row r="95" spans="1:16" ht="15">
      <c r="D95"/>
      <c r="E95"/>
      <c r="F95"/>
      <c r="G95"/>
      <c r="H95"/>
      <c r="I95"/>
      <c r="J95"/>
    </row>
    <row r="96" spans="1:16" ht="15">
      <c r="D96"/>
      <c r="E96"/>
      <c r="F96"/>
      <c r="G96"/>
      <c r="H96"/>
      <c r="I96"/>
      <c r="J96"/>
    </row>
    <row r="97" spans="4:10" ht="15">
      <c r="D97"/>
      <c r="E97"/>
      <c r="F97"/>
      <c r="G97"/>
      <c r="H97"/>
      <c r="I97"/>
      <c r="J97"/>
    </row>
    <row r="98" spans="4:10" ht="15">
      <c r="D98"/>
      <c r="E98"/>
      <c r="F98"/>
      <c r="G98"/>
      <c r="H98"/>
      <c r="I98"/>
      <c r="J98"/>
    </row>
    <row r="99" spans="4:10" ht="15">
      <c r="D99"/>
      <c r="E99"/>
      <c r="F99"/>
      <c r="G99"/>
      <c r="H99"/>
      <c r="I99"/>
      <c r="J99"/>
    </row>
    <row r="100" spans="4:10" ht="15">
      <c r="D100"/>
      <c r="E100"/>
      <c r="F100"/>
      <c r="G100"/>
      <c r="H100"/>
      <c r="I100"/>
      <c r="J100"/>
    </row>
    <row r="101" spans="4:10" ht="15">
      <c r="D101"/>
      <c r="E101"/>
      <c r="F101"/>
      <c r="G101"/>
      <c r="H101"/>
      <c r="I101"/>
      <c r="J101"/>
    </row>
    <row r="102" spans="4:10" ht="15">
      <c r="D102"/>
      <c r="E102"/>
      <c r="F102"/>
      <c r="G102"/>
      <c r="H102"/>
      <c r="I102"/>
      <c r="J102"/>
    </row>
    <row r="103" spans="4:10" ht="15">
      <c r="D103"/>
      <c r="E103"/>
      <c r="F103"/>
      <c r="G103"/>
      <c r="H103"/>
      <c r="I103"/>
      <c r="J103"/>
    </row>
  </sheetData>
  <sheetProtection password="B8D9" sheet="1" objects="1" scenarios="1"/>
  <mergeCells count="13">
    <mergeCell ref="N44:O44"/>
    <mergeCell ref="B40:L40"/>
    <mergeCell ref="B41:L42"/>
    <mergeCell ref="B44:C44"/>
    <mergeCell ref="D44:F44"/>
    <mergeCell ref="J44:K44"/>
    <mergeCell ref="L44:M44"/>
    <mergeCell ref="B39:L39"/>
    <mergeCell ref="B1:J2"/>
    <mergeCell ref="K1:L2"/>
    <mergeCell ref="B3:I5"/>
    <mergeCell ref="B36:L36"/>
    <mergeCell ref="B38:L38"/>
  </mergeCells>
  <hyperlinks>
    <hyperlink ref="K1:L2" location="'List of Tables &amp; Charts'!A1" display="return to List of Tables &amp; Charts"/>
  </hyperlinks>
  <printOptions horizontalCentered="1"/>
  <pageMargins left="0" right="0" top="0.27559055118110237" bottom="0.51181102362204722" header="0.15748031496062992" footer="0.19685039370078741"/>
  <pageSetup paperSize="9" scale="53" orientation="landscape" r:id="rId1"/>
  <headerFooter alignWithMargins="0">
    <oddFooter>&amp;L&amp;8Scottish Stroke Care Audit 2016 National Report
Stroke Services in Scottish Hospitals, Data relating to 2015&amp;R&amp;8© NHS National Services Scotland/Crown Copyright</oddFooter>
  </headerFooter>
  <rowBreaks count="1" manualBreakCount="1">
    <brk id="42" max="16383" man="1"/>
  </rowBreaks>
  <drawing r:id="rId2"/>
</worksheet>
</file>

<file path=xl/worksheets/sheet54.xml><?xml version="1.0" encoding="utf-8"?>
<worksheet xmlns="http://schemas.openxmlformats.org/spreadsheetml/2006/main" xmlns:r="http://schemas.openxmlformats.org/officeDocument/2006/relationships">
  <sheetPr codeName="Sheet33">
    <pageSetUpPr fitToPage="1"/>
  </sheetPr>
  <dimension ref="B1:Z78"/>
  <sheetViews>
    <sheetView workbookViewId="0"/>
  </sheetViews>
  <sheetFormatPr defaultRowHeight="15"/>
  <cols>
    <col min="1" max="1" width="1.7109375" customWidth="1"/>
    <col min="3" max="5" width="12" bestFit="1" customWidth="1"/>
    <col min="7" max="16" width="12" bestFit="1" customWidth="1"/>
    <col min="19" max="20" width="12" bestFit="1" customWidth="1"/>
    <col min="24" max="24" width="12" bestFit="1" customWidth="1"/>
  </cols>
  <sheetData>
    <row r="1" spans="2:19" ht="35.1" customHeight="1">
      <c r="B1" s="930" t="s">
        <v>688</v>
      </c>
      <c r="C1" s="930"/>
      <c r="D1" s="930"/>
      <c r="E1" s="930"/>
      <c r="F1" s="930"/>
      <c r="G1" s="930"/>
      <c r="H1" s="930"/>
      <c r="I1" s="930"/>
      <c r="K1" s="420" t="s">
        <v>48</v>
      </c>
      <c r="L1" s="432"/>
      <c r="M1" s="432"/>
      <c r="N1" s="432"/>
      <c r="O1" s="432"/>
    </row>
    <row r="2" spans="2:19">
      <c r="B2" s="344"/>
      <c r="C2" s="344"/>
      <c r="D2" s="344"/>
      <c r="E2" s="344"/>
      <c r="F2" s="344"/>
      <c r="G2" s="344"/>
      <c r="H2" s="344"/>
      <c r="I2" s="344"/>
      <c r="J2" s="92"/>
      <c r="K2" s="92"/>
      <c r="L2" s="344"/>
      <c r="M2" s="344"/>
      <c r="N2" s="344"/>
      <c r="O2" s="344"/>
    </row>
    <row r="3" spans="2:19">
      <c r="B3" s="76"/>
    </row>
    <row r="7" spans="2:19">
      <c r="R7" s="277"/>
      <c r="S7" s="278"/>
    </row>
    <row r="51" spans="2:17">
      <c r="B51" s="286" t="s">
        <v>689</v>
      </c>
    </row>
    <row r="52" spans="2:17" ht="15" customHeight="1">
      <c r="B52" s="931" t="s">
        <v>741</v>
      </c>
      <c r="C52" s="931"/>
      <c r="D52" s="931"/>
      <c r="E52" s="931"/>
      <c r="F52" s="931"/>
      <c r="G52" s="931"/>
      <c r="H52" s="931"/>
      <c r="I52" s="931"/>
      <c r="J52" s="931"/>
      <c r="K52" s="931"/>
      <c r="L52" s="931"/>
      <c r="M52" s="448"/>
      <c r="N52" s="448"/>
      <c r="O52" s="290"/>
      <c r="P52" s="290"/>
      <c r="Q52" s="290"/>
    </row>
    <row r="53" spans="2:17">
      <c r="B53" s="931"/>
      <c r="C53" s="931"/>
      <c r="D53" s="931"/>
      <c r="E53" s="931"/>
      <c r="F53" s="931"/>
      <c r="G53" s="931"/>
      <c r="H53" s="931"/>
      <c r="I53" s="931"/>
      <c r="J53" s="931"/>
      <c r="K53" s="931"/>
      <c r="L53" s="931"/>
      <c r="M53" s="448"/>
      <c r="N53" s="448"/>
      <c r="O53" s="290"/>
      <c r="P53" s="290"/>
      <c r="Q53" s="290"/>
    </row>
    <row r="54" spans="2:17">
      <c r="B54" s="931"/>
      <c r="C54" s="931"/>
      <c r="D54" s="931"/>
      <c r="E54" s="931"/>
      <c r="F54" s="931"/>
      <c r="G54" s="931"/>
      <c r="H54" s="931"/>
      <c r="I54" s="931"/>
      <c r="J54" s="931"/>
      <c r="K54" s="931"/>
      <c r="L54" s="931"/>
      <c r="M54" s="437"/>
      <c r="N54" s="437"/>
      <c r="O54" s="290"/>
      <c r="P54" s="290"/>
      <c r="Q54" s="290"/>
    </row>
    <row r="55" spans="2:17">
      <c r="B55" s="929" t="s">
        <v>651</v>
      </c>
      <c r="C55" s="929"/>
      <c r="D55" s="929"/>
      <c r="E55" s="929"/>
      <c r="F55" s="929"/>
      <c r="G55" s="929"/>
      <c r="H55" s="929"/>
      <c r="I55" s="929"/>
      <c r="J55" s="929"/>
      <c r="K55" s="929"/>
      <c r="L55" s="929"/>
    </row>
    <row r="56" spans="2:17">
      <c r="B56" s="929"/>
      <c r="C56" s="929"/>
      <c r="D56" s="929"/>
      <c r="E56" s="929"/>
      <c r="F56" s="929"/>
      <c r="G56" s="929"/>
      <c r="H56" s="929"/>
      <c r="I56" s="929"/>
      <c r="J56" s="929"/>
      <c r="K56" s="929"/>
      <c r="L56" s="929"/>
      <c r="M56" s="437"/>
      <c r="N56" s="437"/>
      <c r="O56" s="290"/>
      <c r="P56" s="290"/>
      <c r="Q56" s="290"/>
    </row>
    <row r="57" spans="2:17">
      <c r="B57" s="801" t="s">
        <v>652</v>
      </c>
      <c r="C57" s="801"/>
      <c r="D57" s="801"/>
      <c r="E57" s="801"/>
      <c r="F57" s="801"/>
      <c r="G57" s="801"/>
      <c r="H57" s="801"/>
      <c r="I57" s="801"/>
      <c r="J57" s="801"/>
      <c r="K57" s="801"/>
      <c r="L57" s="801"/>
      <c r="M57" s="435"/>
      <c r="N57" s="435"/>
      <c r="O57" s="281"/>
      <c r="P57" s="281"/>
      <c r="Q57" s="281"/>
    </row>
    <row r="58" spans="2:17">
      <c r="B58" s="801"/>
      <c r="C58" s="801"/>
      <c r="D58" s="801"/>
      <c r="E58" s="801"/>
      <c r="F58" s="801"/>
      <c r="G58" s="801"/>
      <c r="H58" s="801"/>
      <c r="I58" s="801"/>
      <c r="J58" s="801"/>
      <c r="K58" s="801"/>
      <c r="L58" s="801"/>
      <c r="M58" s="435"/>
      <c r="N58" s="435"/>
      <c r="O58" s="281"/>
      <c r="P58" s="281"/>
      <c r="Q58" s="281"/>
    </row>
    <row r="59" spans="2:17">
      <c r="B59" s="801" t="s">
        <v>653</v>
      </c>
      <c r="C59" s="801"/>
      <c r="D59" s="801"/>
      <c r="E59" s="801"/>
      <c r="F59" s="801"/>
      <c r="G59" s="801"/>
      <c r="H59" s="801"/>
      <c r="I59" s="801"/>
      <c r="J59" s="801"/>
      <c r="K59" s="801"/>
      <c r="L59" s="801"/>
    </row>
    <row r="60" spans="2:17">
      <c r="B60" s="801"/>
      <c r="C60" s="801"/>
      <c r="D60" s="801"/>
      <c r="E60" s="801"/>
      <c r="F60" s="801"/>
      <c r="G60" s="801"/>
      <c r="H60" s="801"/>
      <c r="I60" s="801"/>
      <c r="J60" s="801"/>
      <c r="K60" s="801"/>
      <c r="L60" s="801"/>
    </row>
    <row r="61" spans="2:17" ht="24.75" customHeight="1">
      <c r="B61" s="801" t="s">
        <v>654</v>
      </c>
      <c r="C61" s="801"/>
      <c r="D61" s="801"/>
      <c r="E61" s="801"/>
      <c r="F61" s="801"/>
      <c r="G61" s="801"/>
      <c r="H61" s="801"/>
      <c r="I61" s="801"/>
      <c r="J61" s="801"/>
      <c r="K61" s="801"/>
      <c r="L61" s="801"/>
    </row>
    <row r="62" spans="2:17">
      <c r="B62" s="929" t="s">
        <v>655</v>
      </c>
      <c r="C62" s="929"/>
      <c r="D62" s="929"/>
      <c r="E62" s="929"/>
      <c r="F62" s="929"/>
      <c r="G62" s="929"/>
      <c r="H62" s="929"/>
      <c r="I62" s="929"/>
      <c r="J62" s="929"/>
      <c r="K62" s="929"/>
      <c r="L62" s="929"/>
      <c r="M62" s="449"/>
      <c r="N62" s="449"/>
      <c r="O62" s="291"/>
      <c r="P62" s="291"/>
      <c r="Q62" s="291"/>
    </row>
    <row r="63" spans="2:17">
      <c r="B63" s="929"/>
      <c r="C63" s="929"/>
      <c r="D63" s="929"/>
      <c r="E63" s="929"/>
      <c r="F63" s="929"/>
      <c r="G63" s="929"/>
      <c r="H63" s="929"/>
      <c r="I63" s="929"/>
      <c r="J63" s="929"/>
      <c r="K63" s="929"/>
      <c r="L63" s="929"/>
      <c r="M63" s="449"/>
      <c r="N63" s="449"/>
      <c r="O63" s="291"/>
      <c r="P63" s="291"/>
      <c r="Q63" s="291"/>
    </row>
    <row r="64" spans="2:17">
      <c r="B64" s="929"/>
      <c r="C64" s="929"/>
      <c r="D64" s="929"/>
      <c r="E64" s="929"/>
      <c r="F64" s="929"/>
      <c r="G64" s="929"/>
      <c r="H64" s="929"/>
      <c r="I64" s="929"/>
      <c r="J64" s="929"/>
      <c r="K64" s="929"/>
      <c r="L64" s="929"/>
    </row>
    <row r="65" spans="2:26">
      <c r="B65" s="355"/>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spans="2:26">
      <c r="B66" s="355"/>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Z66" s="355"/>
    </row>
    <row r="67" spans="2:26">
      <c r="B67" s="355"/>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row>
    <row r="68" spans="2:26">
      <c r="B68" s="355"/>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row>
    <row r="69" spans="2:26">
      <c r="B69" s="355"/>
      <c r="C69" s="355"/>
      <c r="D69" s="355"/>
      <c r="E69" s="355"/>
      <c r="F69" s="355"/>
      <c r="G69" s="355"/>
      <c r="H69" s="355"/>
      <c r="I69" s="355"/>
      <c r="J69" s="355"/>
      <c r="K69" s="355"/>
      <c r="L69" s="355"/>
      <c r="M69" s="355"/>
      <c r="N69" s="355"/>
      <c r="O69" s="355"/>
      <c r="P69" s="355"/>
      <c r="Q69" s="355"/>
      <c r="R69" s="355"/>
      <c r="S69" s="355"/>
      <c r="T69" s="355"/>
      <c r="U69" s="355"/>
      <c r="V69" s="355"/>
      <c r="W69" s="355"/>
      <c r="X69" s="355"/>
      <c r="Y69" s="355"/>
      <c r="Z69" s="355"/>
    </row>
    <row r="70" spans="2:26">
      <c r="B70" s="355"/>
      <c r="C70" s="355"/>
      <c r="D70" s="357"/>
      <c r="E70" s="357"/>
      <c r="F70" s="355"/>
      <c r="G70" s="357"/>
      <c r="H70" s="357"/>
      <c r="I70" s="355"/>
      <c r="J70" s="357"/>
      <c r="K70" s="357"/>
      <c r="L70" s="357"/>
      <c r="M70" s="355"/>
      <c r="N70" s="357"/>
      <c r="O70" s="355"/>
      <c r="P70" s="355"/>
      <c r="Q70" s="358"/>
      <c r="R70" s="355"/>
      <c r="S70" s="355"/>
      <c r="T70" s="355"/>
      <c r="U70" s="355"/>
      <c r="V70" s="355"/>
      <c r="W70" s="355"/>
      <c r="X70" s="355"/>
      <c r="Y70" s="357"/>
      <c r="Z70" s="355"/>
    </row>
    <row r="71" spans="2:26">
      <c r="B71" s="355"/>
      <c r="C71" s="357"/>
      <c r="D71" s="357"/>
      <c r="E71" s="357"/>
      <c r="F71" s="355"/>
      <c r="G71" s="355"/>
      <c r="H71" s="355"/>
      <c r="I71" s="355"/>
      <c r="J71" s="357"/>
      <c r="K71" s="357"/>
      <c r="L71" s="357"/>
      <c r="M71" s="355"/>
      <c r="N71" s="357"/>
      <c r="O71" s="355"/>
      <c r="P71" s="355"/>
      <c r="Q71" s="358"/>
      <c r="R71" s="355"/>
      <c r="S71" s="357"/>
      <c r="T71" s="355"/>
      <c r="U71" s="355"/>
      <c r="V71" s="357"/>
      <c r="W71" s="355"/>
      <c r="X71" s="355"/>
      <c r="Y71" s="357"/>
      <c r="Z71" s="355"/>
    </row>
    <row r="72" spans="2:26">
      <c r="B72" s="355"/>
      <c r="C72" s="357"/>
      <c r="D72" s="357"/>
      <c r="E72" s="357"/>
      <c r="F72" s="357"/>
      <c r="G72" s="355"/>
      <c r="H72" s="355"/>
      <c r="I72" s="355"/>
      <c r="J72" s="357"/>
      <c r="K72" s="357"/>
      <c r="L72" s="357"/>
      <c r="M72" s="355"/>
      <c r="N72" s="357"/>
      <c r="O72" s="357"/>
      <c r="P72" s="357"/>
      <c r="Q72" s="358"/>
      <c r="R72" s="355"/>
      <c r="S72" s="357"/>
      <c r="T72" s="355"/>
      <c r="U72" s="355"/>
      <c r="V72" s="357"/>
      <c r="W72" s="355"/>
      <c r="X72" s="355"/>
      <c r="Y72" s="357"/>
      <c r="Z72" s="355"/>
    </row>
    <row r="73" spans="2:26">
      <c r="B73" s="355"/>
      <c r="C73" s="355"/>
      <c r="D73" s="355"/>
      <c r="E73" s="355"/>
      <c r="F73" s="355"/>
      <c r="G73" s="355"/>
      <c r="H73" s="355"/>
      <c r="I73" s="355"/>
      <c r="J73" s="357"/>
      <c r="K73" s="357"/>
      <c r="L73" s="357"/>
      <c r="M73" s="355"/>
      <c r="N73" s="357"/>
      <c r="O73" s="357"/>
      <c r="P73" s="357"/>
      <c r="Q73" s="358"/>
      <c r="R73" s="355"/>
      <c r="S73" s="357"/>
      <c r="T73" s="355"/>
      <c r="U73" s="355"/>
      <c r="V73" s="357"/>
      <c r="W73" s="355"/>
      <c r="X73" s="355"/>
      <c r="Y73" s="357"/>
      <c r="Z73" s="355"/>
    </row>
    <row r="74" spans="2:26">
      <c r="B74" s="355"/>
      <c r="C74" s="355"/>
      <c r="D74" s="357"/>
      <c r="E74" s="357"/>
      <c r="F74" s="355"/>
      <c r="G74" s="357"/>
      <c r="H74" s="357"/>
      <c r="I74" s="355"/>
      <c r="J74" s="357"/>
      <c r="K74" s="357"/>
      <c r="L74" s="357"/>
      <c r="M74" s="355"/>
      <c r="N74" s="357"/>
      <c r="O74" s="357"/>
      <c r="P74" s="357"/>
      <c r="Q74" s="358"/>
      <c r="R74" s="355"/>
      <c r="S74" s="357"/>
      <c r="T74" s="355"/>
      <c r="U74" s="355"/>
      <c r="V74" s="357"/>
      <c r="W74" s="355"/>
      <c r="X74" s="355"/>
      <c r="Y74" s="357"/>
      <c r="Z74" s="355"/>
    </row>
    <row r="75" spans="2:26">
      <c r="B75" s="355"/>
      <c r="C75" s="357"/>
      <c r="D75" s="355"/>
      <c r="E75" s="357"/>
      <c r="F75" s="355"/>
      <c r="G75" s="355"/>
      <c r="H75" s="355"/>
      <c r="I75" s="355"/>
      <c r="J75" s="357"/>
      <c r="K75" s="357"/>
      <c r="L75" s="357"/>
      <c r="M75" s="355"/>
      <c r="N75" s="357"/>
      <c r="O75" s="357"/>
      <c r="P75" s="357"/>
      <c r="Q75" s="358"/>
      <c r="R75" s="355"/>
      <c r="S75" s="357"/>
      <c r="T75" s="355"/>
      <c r="U75" s="355"/>
      <c r="V75" s="357"/>
      <c r="W75" s="355"/>
      <c r="X75" s="355"/>
      <c r="Y75" s="357"/>
      <c r="Z75" s="355"/>
    </row>
    <row r="76" spans="2:26">
      <c r="B76" s="355"/>
      <c r="C76" s="357"/>
      <c r="D76" s="357"/>
      <c r="E76" s="357"/>
      <c r="F76" s="357"/>
      <c r="G76" s="355"/>
      <c r="H76" s="355"/>
      <c r="I76" s="355"/>
      <c r="J76" s="357"/>
      <c r="K76" s="357"/>
      <c r="L76" s="357"/>
      <c r="M76" s="355"/>
      <c r="N76" s="357"/>
      <c r="O76" s="357"/>
      <c r="P76" s="357"/>
      <c r="Q76" s="358"/>
      <c r="R76" s="355"/>
      <c r="S76" s="357"/>
      <c r="T76" s="355"/>
      <c r="U76" s="355"/>
      <c r="V76" s="357"/>
      <c r="W76" s="355"/>
      <c r="X76" s="355"/>
      <c r="Y76" s="357"/>
      <c r="Z76" s="355"/>
    </row>
    <row r="77" spans="2:26">
      <c r="B77" s="355"/>
      <c r="C77" s="357"/>
      <c r="D77" s="357"/>
      <c r="E77" s="357"/>
      <c r="F77" s="357"/>
      <c r="G77" s="357"/>
      <c r="H77" s="357"/>
      <c r="I77" s="355"/>
      <c r="J77" s="357"/>
      <c r="K77" s="357"/>
      <c r="L77" s="357"/>
      <c r="M77" s="355"/>
      <c r="N77" s="357"/>
      <c r="O77" s="357"/>
      <c r="P77" s="357"/>
      <c r="Q77" s="358"/>
      <c r="R77" s="355"/>
      <c r="S77" s="357"/>
      <c r="T77" s="355"/>
      <c r="U77" s="355"/>
      <c r="V77" s="357"/>
      <c r="W77" s="355"/>
      <c r="X77" s="355"/>
      <c r="Y77" s="357"/>
      <c r="Z77" s="355"/>
    </row>
    <row r="78" spans="2:26">
      <c r="B78" s="355"/>
      <c r="C78" s="357"/>
      <c r="D78" s="357"/>
      <c r="E78" s="357"/>
      <c r="F78" s="357"/>
      <c r="G78" s="355"/>
      <c r="H78" s="355"/>
      <c r="I78" s="355"/>
      <c r="J78" s="357"/>
      <c r="K78" s="357"/>
      <c r="L78" s="357"/>
      <c r="M78" s="355"/>
      <c r="N78" s="357"/>
      <c r="O78" s="357"/>
      <c r="P78" s="357"/>
      <c r="Q78" s="358"/>
      <c r="R78" s="355"/>
      <c r="S78" s="357"/>
      <c r="T78" s="355"/>
      <c r="U78" s="355"/>
      <c r="V78" s="357"/>
      <c r="W78" s="355"/>
      <c r="X78" s="355"/>
      <c r="Y78" s="355"/>
      <c r="Z78" s="355"/>
    </row>
  </sheetData>
  <sheetProtection password="B8D9" sheet="1" objects="1" scenarios="1"/>
  <mergeCells count="7">
    <mergeCell ref="B62:L64"/>
    <mergeCell ref="B1:I1"/>
    <mergeCell ref="B52:L54"/>
    <mergeCell ref="B55:L56"/>
    <mergeCell ref="B57:L58"/>
    <mergeCell ref="B59:L60"/>
    <mergeCell ref="B61:L61"/>
  </mergeCells>
  <phoneticPr fontId="57" type="noConversion"/>
  <hyperlinks>
    <hyperlink ref="K1" location="'List of Tables &amp; Charts'!A1" display="return to List of Tables &amp; Charts"/>
  </hyperlinks>
  <pageMargins left="0" right="0" top="0.74803149606299213" bottom="0.74803149606299213" header="0.31496062992125984" footer="0.31496062992125984"/>
  <pageSetup paperSize="9" scale="76" orientation="portrait" r:id="rId1"/>
  <headerFooter>
    <oddFooter>&amp;L&amp;8Scottish Stroke Care Audit 2016 National Report
Stroke Services in Scottish Hospitals, Data relating to 2015&amp;R&amp;8© NHS National Services Scotland/Crown Copyright</oddFooter>
  </headerFooter>
  <rowBreaks count="1" manualBreakCount="1">
    <brk id="46" max="16383" man="1"/>
  </rowBreaks>
  <drawing r:id="rId2"/>
</worksheet>
</file>

<file path=xl/worksheets/sheet55.xml><?xml version="1.0" encoding="utf-8"?>
<worksheet xmlns="http://schemas.openxmlformats.org/spreadsheetml/2006/main" xmlns:r="http://schemas.openxmlformats.org/officeDocument/2006/relationships">
  <sheetPr codeName="Sheet34">
    <pageSetUpPr fitToPage="1"/>
  </sheetPr>
  <dimension ref="A1:R90"/>
  <sheetViews>
    <sheetView showGridLines="0" zoomScaleNormal="100" workbookViewId="0">
      <pane ySplit="5" topLeftCell="A6" activePane="bottomLeft" state="frozen"/>
      <selection activeCell="S19" sqref="S19"/>
      <selection pane="bottomLeft" activeCell="A6" sqref="A6"/>
    </sheetView>
  </sheetViews>
  <sheetFormatPr defaultRowHeight="12.75"/>
  <cols>
    <col min="1" max="1" width="1.7109375" style="2" customWidth="1"/>
    <col min="2" max="2" width="12.7109375" style="2" customWidth="1"/>
    <col min="3" max="3" width="1.7109375" style="2" customWidth="1"/>
    <col min="4" max="4" width="50.7109375" style="2" customWidth="1"/>
    <col min="5" max="6" width="9.7109375" style="31" customWidth="1"/>
    <col min="7" max="7" width="9" style="31" customWidth="1"/>
    <col min="8" max="8" width="10.42578125" style="2" customWidth="1"/>
    <col min="9" max="9" width="11.7109375" style="2" customWidth="1"/>
    <col min="10" max="10" width="9.140625" style="2"/>
    <col min="11" max="11" width="11" style="2" customWidth="1"/>
    <col min="12" max="12" width="9.7109375" style="2" customWidth="1"/>
    <col min="13" max="13" width="11.5703125" style="2" customWidth="1"/>
    <col min="14" max="14" width="9.140625" style="2"/>
    <col min="15" max="15" width="11.140625" style="2" customWidth="1"/>
    <col min="16" max="17" width="9.140625" style="2"/>
    <col min="18" max="19" width="9.28515625" style="2" bestFit="1" customWidth="1"/>
    <col min="20" max="16384" width="9.140625" style="2"/>
  </cols>
  <sheetData>
    <row r="1" spans="2:13" ht="26.1" customHeight="1">
      <c r="B1" s="798" t="s">
        <v>690</v>
      </c>
      <c r="C1" s="798"/>
      <c r="D1" s="798"/>
      <c r="E1" s="798"/>
      <c r="F1" s="798"/>
      <c r="G1" s="798"/>
      <c r="H1" s="798"/>
      <c r="I1" s="798"/>
      <c r="J1" s="798"/>
      <c r="K1" s="802" t="s">
        <v>48</v>
      </c>
    </row>
    <row r="2" spans="2:13" ht="12.75" customHeight="1">
      <c r="B2" s="95"/>
      <c r="C2" s="95"/>
      <c r="D2" s="29"/>
      <c r="E2" s="29"/>
      <c r="F2" s="29"/>
      <c r="G2" s="29"/>
      <c r="H2" s="29"/>
      <c r="I2" s="29"/>
      <c r="J2" s="29"/>
      <c r="K2" s="802"/>
    </row>
    <row r="3" spans="2:13" ht="12.75" customHeight="1">
      <c r="B3" s="835" t="s">
        <v>189</v>
      </c>
      <c r="C3" s="835"/>
      <c r="D3" s="835"/>
      <c r="E3" s="835"/>
      <c r="F3" s="835"/>
      <c r="G3" s="835"/>
      <c r="H3" s="835"/>
      <c r="I3" s="835"/>
      <c r="J3" s="835"/>
      <c r="K3" s="802"/>
    </row>
    <row r="4" spans="2:13" ht="12.75" customHeight="1">
      <c r="B4" s="835"/>
      <c r="C4" s="835"/>
      <c r="D4" s="835"/>
      <c r="E4" s="835"/>
      <c r="F4" s="835"/>
      <c r="G4" s="835"/>
      <c r="H4" s="835"/>
      <c r="I4" s="835"/>
      <c r="J4" s="835"/>
      <c r="K4" s="802"/>
    </row>
    <row r="5" spans="2:13" ht="32.25" customHeight="1">
      <c r="B5" s="939" t="s">
        <v>501</v>
      </c>
      <c r="C5" s="939"/>
      <c r="D5" s="939"/>
      <c r="E5" s="939"/>
      <c r="F5" s="939"/>
      <c r="G5" s="939"/>
      <c r="H5" s="939"/>
      <c r="I5" s="939"/>
      <c r="J5" s="939"/>
      <c r="K5" s="398"/>
      <c r="L5" s="398"/>
      <c r="M5" s="398"/>
    </row>
    <row r="6" spans="2:13">
      <c r="B6" s="398"/>
      <c r="C6" s="398"/>
      <c r="D6" s="398"/>
      <c r="E6" s="398"/>
      <c r="F6" s="398"/>
      <c r="G6" s="398"/>
      <c r="H6" s="398"/>
      <c r="I6" s="398"/>
      <c r="J6" s="398"/>
      <c r="K6" s="398"/>
      <c r="L6" s="398"/>
      <c r="M6" s="398"/>
    </row>
    <row r="7" spans="2:13" ht="12.75" customHeight="1"/>
    <row r="36" spans="1:18">
      <c r="B36" s="32" t="s">
        <v>691</v>
      </c>
      <c r="C36" s="32"/>
      <c r="D36" s="33"/>
      <c r="E36" s="34"/>
      <c r="F36" s="34"/>
      <c r="G36" s="34"/>
      <c r="H36" s="34"/>
      <c r="I36" s="34"/>
      <c r="J36" s="34"/>
      <c r="K36" s="34"/>
      <c r="L36" s="34"/>
      <c r="M36" s="31"/>
      <c r="N36" s="31"/>
      <c r="O36" s="35"/>
      <c r="P36" s="35"/>
      <c r="Q36" s="35"/>
      <c r="R36" s="35"/>
    </row>
    <row r="37" spans="1:18">
      <c r="B37" s="61" t="s">
        <v>692</v>
      </c>
      <c r="C37" s="32"/>
      <c r="D37" s="33"/>
      <c r="E37" s="34"/>
      <c r="F37" s="34"/>
      <c r="G37" s="34"/>
      <c r="H37" s="34"/>
      <c r="I37" s="34"/>
      <c r="J37" s="34"/>
      <c r="K37" s="34"/>
      <c r="L37" s="34"/>
      <c r="M37" s="31"/>
      <c r="N37" s="31"/>
      <c r="O37" s="35"/>
      <c r="P37" s="35"/>
      <c r="Q37" s="35"/>
      <c r="R37" s="35"/>
    </row>
    <row r="38" spans="1:18">
      <c r="B38" s="932" t="s">
        <v>693</v>
      </c>
      <c r="C38" s="932"/>
      <c r="D38" s="932"/>
      <c r="E38" s="932"/>
      <c r="F38" s="932"/>
      <c r="G38" s="932"/>
      <c r="H38" s="932"/>
      <c r="I38" s="932"/>
      <c r="J38" s="932"/>
      <c r="K38" s="31"/>
      <c r="L38" s="31"/>
      <c r="M38" s="31"/>
      <c r="N38" s="31"/>
    </row>
    <row r="39" spans="1:18">
      <c r="B39" s="50" t="s">
        <v>11</v>
      </c>
      <c r="C39" s="50"/>
      <c r="E39" s="34"/>
      <c r="F39" s="34"/>
      <c r="G39" s="34"/>
      <c r="H39" s="34"/>
      <c r="I39" s="34"/>
      <c r="J39" s="34"/>
      <c r="K39" s="34"/>
      <c r="L39" s="34"/>
      <c r="M39" s="31"/>
      <c r="N39" s="31"/>
    </row>
    <row r="40" spans="1:18" ht="60" customHeight="1">
      <c r="B40" s="938" t="s">
        <v>694</v>
      </c>
      <c r="C40" s="938"/>
      <c r="D40" s="938"/>
      <c r="E40" s="938"/>
      <c r="F40" s="938"/>
      <c r="G40" s="938"/>
      <c r="H40" s="938"/>
      <c r="I40" s="938"/>
      <c r="J40" s="938"/>
    </row>
    <row r="41" spans="1:18" ht="25.5" customHeight="1">
      <c r="B41" s="853" t="s">
        <v>521</v>
      </c>
      <c r="C41" s="933"/>
      <c r="D41" s="850"/>
      <c r="E41" s="854" t="s">
        <v>44</v>
      </c>
      <c r="F41" s="855"/>
      <c r="G41" s="855"/>
      <c r="H41" s="855"/>
      <c r="I41" s="856"/>
      <c r="J41" s="881" t="s">
        <v>190</v>
      </c>
      <c r="K41" s="882"/>
      <c r="L41" s="882"/>
      <c r="M41" s="883"/>
      <c r="N41" s="936"/>
      <c r="O41" s="937"/>
      <c r="P41" s="937"/>
      <c r="Q41" s="937"/>
    </row>
    <row r="42" spans="1:18" ht="45" customHeight="1">
      <c r="B42" s="273" t="s">
        <v>26</v>
      </c>
      <c r="C42" s="274"/>
      <c r="D42" s="271" t="s">
        <v>27</v>
      </c>
      <c r="E42" s="40" t="s">
        <v>326</v>
      </c>
      <c r="F42" s="81" t="s">
        <v>518</v>
      </c>
      <c r="G42" s="96" t="s">
        <v>191</v>
      </c>
      <c r="H42" s="40" t="s">
        <v>519</v>
      </c>
      <c r="I42" s="40" t="s">
        <v>520</v>
      </c>
      <c r="J42" s="40" t="s">
        <v>324</v>
      </c>
      <c r="K42" s="40" t="s">
        <v>325</v>
      </c>
      <c r="L42" s="40" t="s">
        <v>516</v>
      </c>
      <c r="M42" s="40" t="s">
        <v>517</v>
      </c>
      <c r="N42" s="260" t="s">
        <v>192</v>
      </c>
      <c r="O42" s="260" t="s">
        <v>193</v>
      </c>
      <c r="P42" s="260" t="s">
        <v>192</v>
      </c>
      <c r="Q42" s="260" t="s">
        <v>193</v>
      </c>
    </row>
    <row r="43" spans="1:18">
      <c r="A43" s="44" t="s">
        <v>60</v>
      </c>
      <c r="B43" s="112" t="str">
        <f t="shared" ref="B43:B53" si="0">VLOOKUP(D43,Hospitals,3,FALSE)</f>
        <v>Scotland</v>
      </c>
      <c r="C43" s="275" t="str">
        <f>B43&amp;" (n="&amp;M43&amp;")"</f>
        <v>Scotland (n=392)</v>
      </c>
      <c r="D43" s="45" t="s">
        <v>286</v>
      </c>
      <c r="E43" s="46">
        <f>IF(ISERR(J43/K43*100),"",J43/K43*100)</f>
        <v>37.163814180929094</v>
      </c>
      <c r="F43" s="46">
        <f>IF(ISERR(L43/M43*100),"",L43/M43*100)</f>
        <v>41.326530612244902</v>
      </c>
      <c r="G43" s="46">
        <v>80</v>
      </c>
      <c r="H43" s="46" t="str">
        <f>IF(AND(AND(K43&gt;0,J43&gt;0),ROUND(SUM(100*((2*J43+1.96^2)-(1.96*(SQRT(1.96^2+4*J43*(1-(J43/K43))))))/(2*(K43+1.96^2))),0)&lt;0),CONCATENATE(SUM(1*0)," - ",ROUND(SUM(100*((2*J43+1.96^2)+(1.96*(SQRT(1.96^2+4*J43*(1-(J43/K43))))))/(2*(K43+1.96^2))),0)),IF(AND(AND(K43&gt;0,J43&gt;0),ROUND(SUM(100*((2*J43+1.96^2)-(1.96*(SQRT(1.96^2+4*J43*(1-(J43/K43))))))/(2*(K43+1.96^2))),0)&gt;=0),CONCATENATE(ROUND(SUM(100*((2*J43+1.96^2)-(1.96*(SQRT(1.96^2+4*J43*(1-(J43/K43))))))/(2*(K43+1.96^2))),0)," - ",ROUND(SUM(100*((2*J43+1.96^2)+(1.96*(SQRT(1.96^2+4*J43*(1-(J43/K43))))))/(2*(K43+1.96^2))),0)),""))</f>
        <v>33 - 42</v>
      </c>
      <c r="I43" s="46" t="str">
        <f>IF(AND(AND(M43&gt;0,L43&gt;0),ROUND(SUM(100*((2*L43+1.96^2)-(1.96*(SQRT(1.96^2+4*L43*(1-(L43/M43))))))/(2*(M43+1.96^2))),0)&lt;0),CONCATENATE(SUM(1*0)," - ",ROUND(SUM(100*((2*L43+1.96^2)+(1.96*(SQRT(1.96^2+4*L43*(1-(L43/M43))))))/(2*(M43+1.96^2))),0)),IF(AND(AND(M43&gt;0,L43&gt;0),ROUND(SUM(100*((2*L43+1.96^2)-(1.96*(SQRT(1.96^2+4*L43*(1-(L43/M43))))))/(2*(M43+1.96^2))),0)&gt;=0),CONCATENATE(ROUND(SUM(100*((2*L43+1.96^2)-(1.96*(SQRT(1.96^2+4*L43*(1-(L43/M43))))))/(2*(M43+1.96^2))),0)," - ",ROUND(SUM(100*((2*L43+1.96^2)+(1.96*(SQRT(1.96^2+4*L43*(1-(L43/M43))))))/(2*(M43+1.96^2))),0)),""))</f>
        <v>37 - 46</v>
      </c>
      <c r="J43" s="46">
        <v>152</v>
      </c>
      <c r="K43" s="46">
        <v>409</v>
      </c>
      <c r="L43" s="46">
        <v>162</v>
      </c>
      <c r="M43" s="46">
        <v>392</v>
      </c>
      <c r="N43" s="260">
        <f>SUM(1*MID(H43,1,FIND(" - ",H43)-1))</f>
        <v>33</v>
      </c>
      <c r="O43" s="260">
        <f>SUM(1*MID(H43,FIND(" - ",H43)+2,LEN(H43)))</f>
        <v>42</v>
      </c>
      <c r="P43" s="260">
        <f>SUM(1*MID(I43,1,FIND(" - ",I43)-1))</f>
        <v>37</v>
      </c>
      <c r="Q43" s="260">
        <f>SUM(1*MID(I43,FIND(" - ",I43)+2,LEN(I43)))</f>
        <v>46</v>
      </c>
    </row>
    <row r="44" spans="1:18">
      <c r="A44" s="44" t="s">
        <v>67</v>
      </c>
      <c r="B44" s="112" t="str">
        <f t="shared" si="0"/>
        <v>Ninewells</v>
      </c>
      <c r="C44" s="275" t="str">
        <f t="shared" ref="C44:C53" si="1">B44&amp;" (n="&amp;M44&amp;")"</f>
        <v>Ninewells (n=27)</v>
      </c>
      <c r="D44" s="45" t="s">
        <v>126</v>
      </c>
      <c r="E44" s="46">
        <f t="shared" ref="E44:E53" si="2">IF(ISERR(J44/K44*100),"",J44/K44*100)</f>
        <v>56.25</v>
      </c>
      <c r="F44" s="46">
        <f t="shared" ref="F44:F53" si="3">IF(ISERR(L44/M44*100),"",L44/M44*100)</f>
        <v>77.777777777777786</v>
      </c>
      <c r="G44" s="46">
        <v>80</v>
      </c>
      <c r="H44" s="46" t="str">
        <f t="shared" ref="H44:H53" si="4">IF(AND(AND(K44&gt;0,J44&gt;0),ROUND(SUM(100*((2*J44+1.96^2)-(1.96*(SQRT(1.96^2+4*J44*(1-(J44/K44))))))/(2*(K44+1.96^2))),0)&lt;0),CONCATENATE(SUM(1*0)," - ",ROUND(SUM(100*((2*J44+1.96^2)+(1.96*(SQRT(1.96^2+4*J44*(1-(J44/K44))))))/(2*(K44+1.96^2))),0)),IF(AND(AND(K44&gt;0,J44&gt;0),ROUND(SUM(100*((2*J44+1.96^2)-(1.96*(SQRT(1.96^2+4*J44*(1-(J44/K44))))))/(2*(K44+1.96^2))),0)&gt;=0),CONCATENATE(ROUND(SUM(100*((2*J44+1.96^2)-(1.96*(SQRT(1.96^2+4*J44*(1-(J44/K44))))))/(2*(K44+1.96^2))),0)," - ",ROUND(SUM(100*((2*J44+1.96^2)+(1.96*(SQRT(1.96^2+4*J44*(1-(J44/K44))))))/(2*(K44+1.96^2))),0)),""))</f>
        <v>33 - 77</v>
      </c>
      <c r="I44" s="46" t="str">
        <f t="shared" ref="I44:I53" si="5">IF(AND(AND(M44&gt;0,L44&gt;0),ROUND(SUM(100*((2*L44+1.96^2)-(1.96*(SQRT(1.96^2+4*L44*(1-(L44/M44))))))/(2*(M44+1.96^2))),0)&lt;0),CONCATENATE(SUM(1*0)," - ",ROUND(SUM(100*((2*L44+1.96^2)+(1.96*(SQRT(1.96^2+4*L44*(1-(L44/M44))))))/(2*(M44+1.96^2))),0)),IF(AND(AND(M44&gt;0,L44&gt;0),ROUND(SUM(100*((2*L44+1.96^2)-(1.96*(SQRT(1.96^2+4*L44*(1-(L44/M44))))))/(2*(M44+1.96^2))),0)&gt;=0),CONCATENATE(ROUND(SUM(100*((2*L44+1.96^2)-(1.96*(SQRT(1.96^2+4*L44*(1-(L44/M44))))))/(2*(M44+1.96^2))),0)," - ",ROUND(SUM(100*((2*L44+1.96^2)+(1.96*(SQRT(1.96^2+4*L44*(1-(L44/M44))))))/(2*(M44+1.96^2))),0)),""))</f>
        <v>59 - 89</v>
      </c>
      <c r="J44" s="46">
        <v>9</v>
      </c>
      <c r="K44" s="46">
        <v>16</v>
      </c>
      <c r="L44" s="46">
        <v>21</v>
      </c>
      <c r="M44" s="46">
        <v>27</v>
      </c>
      <c r="N44" s="260">
        <f t="shared" ref="N44:N53" si="6">SUM(1*MID(H44,1,FIND(" - ",H44)-1))</f>
        <v>33</v>
      </c>
      <c r="O44" s="260">
        <f t="shared" ref="O44:O53" si="7">SUM(1*MID(H44,FIND(" - ",H44)+2,LEN(H44)))</f>
        <v>77</v>
      </c>
      <c r="P44" s="260">
        <f t="shared" ref="P44:P53" si="8">SUM(1*MID(I44,1,FIND(" - ",I44)-1))</f>
        <v>59</v>
      </c>
      <c r="Q44" s="260">
        <f t="shared" ref="Q44:Q53" si="9">SUM(1*MID(I44,FIND(" - ",I44)+2,LEN(I44)))</f>
        <v>89</v>
      </c>
    </row>
    <row r="45" spans="1:18">
      <c r="A45" s="44" t="s">
        <v>73</v>
      </c>
      <c r="B45" s="112" t="str">
        <f t="shared" si="0"/>
        <v>RIE</v>
      </c>
      <c r="C45" s="275" t="str">
        <f t="shared" si="1"/>
        <v>RIE (n=54)</v>
      </c>
      <c r="D45" s="45" t="s">
        <v>111</v>
      </c>
      <c r="E45" s="46">
        <f t="shared" si="2"/>
        <v>53.424657534246577</v>
      </c>
      <c r="F45" s="46">
        <f t="shared" si="3"/>
        <v>57.407407407407405</v>
      </c>
      <c r="G45" s="46">
        <v>80</v>
      </c>
      <c r="H45" s="46" t="str">
        <f t="shared" si="4"/>
        <v>42 - 64</v>
      </c>
      <c r="I45" s="46" t="str">
        <f t="shared" si="5"/>
        <v>44 - 70</v>
      </c>
      <c r="J45" s="46">
        <v>39</v>
      </c>
      <c r="K45" s="46">
        <v>73</v>
      </c>
      <c r="L45" s="46">
        <v>31</v>
      </c>
      <c r="M45" s="46">
        <v>54</v>
      </c>
      <c r="N45" s="260">
        <f t="shared" si="6"/>
        <v>42</v>
      </c>
      <c r="O45" s="260">
        <f t="shared" si="7"/>
        <v>64</v>
      </c>
      <c r="P45" s="260">
        <f t="shared" si="8"/>
        <v>44</v>
      </c>
      <c r="Q45" s="260">
        <f t="shared" si="9"/>
        <v>70</v>
      </c>
    </row>
    <row r="46" spans="1:18">
      <c r="A46" s="44" t="s">
        <v>194</v>
      </c>
      <c r="B46" s="112" t="str">
        <f t="shared" si="0"/>
        <v>ARI</v>
      </c>
      <c r="C46" s="275" t="str">
        <f t="shared" si="1"/>
        <v>ARI (n=30)</v>
      </c>
      <c r="D46" s="45" t="s">
        <v>77</v>
      </c>
      <c r="E46" s="46">
        <f t="shared" si="2"/>
        <v>50</v>
      </c>
      <c r="F46" s="46">
        <f t="shared" si="3"/>
        <v>53.333333333333336</v>
      </c>
      <c r="G46" s="46">
        <v>80</v>
      </c>
      <c r="H46" s="46" t="str">
        <f t="shared" si="4"/>
        <v>31 - 69</v>
      </c>
      <c r="I46" s="46" t="str">
        <f t="shared" si="5"/>
        <v>36 - 70</v>
      </c>
      <c r="J46" s="46">
        <v>11</v>
      </c>
      <c r="K46" s="46">
        <v>22</v>
      </c>
      <c r="L46" s="46">
        <v>16</v>
      </c>
      <c r="M46" s="46">
        <v>30</v>
      </c>
      <c r="N46" s="260">
        <f t="shared" si="6"/>
        <v>31</v>
      </c>
      <c r="O46" s="260">
        <f t="shared" si="7"/>
        <v>69</v>
      </c>
      <c r="P46" s="260">
        <f t="shared" si="8"/>
        <v>36</v>
      </c>
      <c r="Q46" s="260">
        <f t="shared" si="9"/>
        <v>70</v>
      </c>
    </row>
    <row r="47" spans="1:18">
      <c r="A47" s="44"/>
      <c r="B47" s="112" t="str">
        <f t="shared" si="0"/>
        <v>Ayr</v>
      </c>
      <c r="C47" s="275" t="str">
        <f t="shared" si="1"/>
        <v>Ayr (n=23)</v>
      </c>
      <c r="D47" s="45" t="s">
        <v>60</v>
      </c>
      <c r="E47" s="46">
        <f>IF(ISERR(J47/K47*100),"",J47/K47*100)</f>
        <v>35.555555555555557</v>
      </c>
      <c r="F47" s="46">
        <f>IF(ISERR(L47/M47*100),"",L47/M47*100)</f>
        <v>52.173913043478258</v>
      </c>
      <c r="G47" s="46">
        <v>80</v>
      </c>
      <c r="H47" s="46" t="str">
        <f t="shared" si="4"/>
        <v>23 - 50</v>
      </c>
      <c r="I47" s="46" t="str">
        <f t="shared" si="5"/>
        <v>33 - 71</v>
      </c>
      <c r="J47" s="46">
        <v>16</v>
      </c>
      <c r="K47" s="46">
        <v>45</v>
      </c>
      <c r="L47" s="46">
        <v>12</v>
      </c>
      <c r="M47" s="46">
        <v>23</v>
      </c>
      <c r="N47" s="260"/>
      <c r="O47" s="260"/>
      <c r="P47" s="260"/>
      <c r="Q47" s="260"/>
    </row>
    <row r="48" spans="1:18">
      <c r="A48" s="44" t="s">
        <v>89</v>
      </c>
      <c r="B48" s="112" t="str">
        <f t="shared" si="0"/>
        <v>QEUH</v>
      </c>
      <c r="C48" s="275" t="str">
        <f t="shared" si="1"/>
        <v>QEUH (n=103)</v>
      </c>
      <c r="D48" s="45" t="s">
        <v>503</v>
      </c>
      <c r="E48" s="46">
        <f t="shared" si="2"/>
        <v>35.593220338983052</v>
      </c>
      <c r="F48" s="46">
        <f>IF(ISERR(L48/M48*100),"",L48/M48*100)</f>
        <v>36.893203883495147</v>
      </c>
      <c r="G48" s="46">
        <v>80</v>
      </c>
      <c r="H48" s="46" t="str">
        <f t="shared" si="4"/>
        <v>28 - 45</v>
      </c>
      <c r="I48" s="46" t="str">
        <f t="shared" si="5"/>
        <v>28 - 47</v>
      </c>
      <c r="J48" s="46">
        <v>42</v>
      </c>
      <c r="K48" s="46">
        <v>118</v>
      </c>
      <c r="L48" s="46">
        <v>38</v>
      </c>
      <c r="M48" s="46">
        <v>103</v>
      </c>
      <c r="N48" s="260">
        <f t="shared" si="6"/>
        <v>28</v>
      </c>
      <c r="O48" s="260">
        <f t="shared" si="7"/>
        <v>45</v>
      </c>
      <c r="P48" s="260">
        <f t="shared" si="8"/>
        <v>28</v>
      </c>
      <c r="Q48" s="260">
        <f t="shared" si="9"/>
        <v>47</v>
      </c>
    </row>
    <row r="49" spans="1:17" s="342" customFormat="1">
      <c r="A49" s="44"/>
      <c r="B49" s="112" t="str">
        <f t="shared" si="0"/>
        <v>FVRH</v>
      </c>
      <c r="C49" s="275" t="str">
        <f t="shared" si="1"/>
        <v>FVRH (n=31)</v>
      </c>
      <c r="D49" s="45" t="s">
        <v>75</v>
      </c>
      <c r="E49" s="46">
        <f t="shared" ref="E49" si="10">IF(ISERR(J49/K49*100),"",J49/K49*100)</f>
        <v>40</v>
      </c>
      <c r="F49" s="46">
        <f t="shared" ref="F49" si="11">IF(ISERR(L49/M49*100),"",L49/M49*100)</f>
        <v>35.483870967741936</v>
      </c>
      <c r="G49" s="46">
        <v>80</v>
      </c>
      <c r="H49" s="46" t="str">
        <f t="shared" ref="H49" si="12">IF(AND(AND(K49&gt;0,J49&gt;0),ROUND(SUM(100*((2*J49+1.96^2)-(1.96*(SQRT(1.96^2+4*J49*(1-(J49/K49))))))/(2*(K49+1.96^2))),0)&lt;0),CONCATENATE(SUM(1*0)," - ",ROUND(SUM(100*((2*J49+1.96^2)+(1.96*(SQRT(1.96^2+4*J49*(1-(J49/K49))))))/(2*(K49+1.96^2))),0)),IF(AND(AND(K49&gt;0,J49&gt;0),ROUND(SUM(100*((2*J49+1.96^2)-(1.96*(SQRT(1.96^2+4*J49*(1-(J49/K49))))))/(2*(K49+1.96^2))),0)&gt;=0),CONCATENATE(ROUND(SUM(100*((2*J49+1.96^2)-(1.96*(SQRT(1.96^2+4*J49*(1-(J49/K49))))))/(2*(K49+1.96^2))),0)," - ",ROUND(SUM(100*((2*J49+1.96^2)+(1.96*(SQRT(1.96^2+4*J49*(1-(J49/K49))))))/(2*(K49+1.96^2))),0)),""))</f>
        <v>23 - 59</v>
      </c>
      <c r="I49" s="46" t="str">
        <f t="shared" ref="I49" si="13">IF(AND(AND(M49&gt;0,L49&gt;0),ROUND(SUM(100*((2*L49+1.96^2)-(1.96*(SQRT(1.96^2+4*L49*(1-(L49/M49))))))/(2*(M49+1.96^2))),0)&lt;0),CONCATENATE(SUM(1*0)," - ",ROUND(SUM(100*((2*L49+1.96^2)+(1.96*(SQRT(1.96^2+4*L49*(1-(L49/M49))))))/(2*(M49+1.96^2))),0)),IF(AND(AND(M49&gt;0,L49&gt;0),ROUND(SUM(100*((2*L49+1.96^2)-(1.96*(SQRT(1.96^2+4*L49*(1-(L49/M49))))))/(2*(M49+1.96^2))),0)&gt;=0),CONCATENATE(ROUND(SUM(100*((2*L49+1.96^2)-(1.96*(SQRT(1.96^2+4*L49*(1-(L49/M49))))))/(2*(M49+1.96^2))),0)," - ",ROUND(SUM(100*((2*L49+1.96^2)+(1.96*(SQRT(1.96^2+4*L49*(1-(L49/M49))))))/(2*(M49+1.96^2))),0)),""))</f>
        <v>21 - 53</v>
      </c>
      <c r="J49" s="46">
        <v>10</v>
      </c>
      <c r="K49" s="46">
        <v>25</v>
      </c>
      <c r="L49" s="46">
        <v>11</v>
      </c>
      <c r="M49" s="46">
        <v>31</v>
      </c>
      <c r="N49" s="343"/>
      <c r="O49" s="343"/>
      <c r="P49" s="343"/>
      <c r="Q49" s="343"/>
    </row>
    <row r="50" spans="1:17">
      <c r="A50" s="44" t="s">
        <v>103</v>
      </c>
      <c r="B50" s="112" t="str">
        <f t="shared" si="0"/>
        <v>DGRI</v>
      </c>
      <c r="C50" s="275" t="str">
        <f t="shared" si="1"/>
        <v>DGRI (n=27)</v>
      </c>
      <c r="D50" s="45" t="s">
        <v>67</v>
      </c>
      <c r="E50" s="46">
        <f t="shared" si="2"/>
        <v>7.4074074074074066</v>
      </c>
      <c r="F50" s="46">
        <f t="shared" si="3"/>
        <v>33.333333333333329</v>
      </c>
      <c r="G50" s="46">
        <v>80</v>
      </c>
      <c r="H50" s="46" t="str">
        <f t="shared" si="4"/>
        <v>2 - 23</v>
      </c>
      <c r="I50" s="46" t="str">
        <f t="shared" si="5"/>
        <v>19 - 52</v>
      </c>
      <c r="J50" s="46">
        <v>2</v>
      </c>
      <c r="K50" s="46">
        <v>27</v>
      </c>
      <c r="L50" s="46">
        <v>9</v>
      </c>
      <c r="M50" s="46">
        <v>27</v>
      </c>
      <c r="N50" s="260">
        <f t="shared" si="6"/>
        <v>2</v>
      </c>
      <c r="O50" s="260">
        <f t="shared" si="7"/>
        <v>23</v>
      </c>
      <c r="P50" s="260">
        <f t="shared" si="8"/>
        <v>19</v>
      </c>
      <c r="Q50" s="260">
        <f t="shared" si="9"/>
        <v>52</v>
      </c>
    </row>
    <row r="51" spans="1:17">
      <c r="A51" s="44" t="s">
        <v>195</v>
      </c>
      <c r="B51" s="112" t="str">
        <f t="shared" si="0"/>
        <v>VHK</v>
      </c>
      <c r="C51" s="275" t="str">
        <f t="shared" si="1"/>
        <v>VHK (n=9)</v>
      </c>
      <c r="D51" s="45" t="s">
        <v>287</v>
      </c>
      <c r="E51" s="46">
        <f t="shared" si="2"/>
        <v>30.76923076923077</v>
      </c>
      <c r="F51" s="46">
        <f t="shared" si="3"/>
        <v>33.333333333333329</v>
      </c>
      <c r="G51" s="46">
        <v>80</v>
      </c>
      <c r="H51" s="46" t="str">
        <f t="shared" si="4"/>
        <v>13 - 58</v>
      </c>
      <c r="I51" s="46" t="str">
        <f t="shared" si="5"/>
        <v>12 - 65</v>
      </c>
      <c r="J51" s="46">
        <v>4</v>
      </c>
      <c r="K51" s="46">
        <v>13</v>
      </c>
      <c r="L51" s="46">
        <v>3</v>
      </c>
      <c r="M51" s="46">
        <v>9</v>
      </c>
      <c r="N51" s="260">
        <f t="shared" si="6"/>
        <v>13</v>
      </c>
      <c r="O51" s="260">
        <f t="shared" si="7"/>
        <v>58</v>
      </c>
      <c r="P51" s="260">
        <f t="shared" si="8"/>
        <v>12</v>
      </c>
      <c r="Q51" s="260">
        <f t="shared" si="9"/>
        <v>65</v>
      </c>
    </row>
    <row r="52" spans="1:17">
      <c r="A52" s="44" t="s">
        <v>126</v>
      </c>
      <c r="B52" s="112" t="str">
        <f t="shared" si="0"/>
        <v>Hairmyres</v>
      </c>
      <c r="C52" s="275" t="str">
        <f t="shared" si="1"/>
        <v>Hairmyres (n=63)</v>
      </c>
      <c r="D52" s="45" t="s">
        <v>103</v>
      </c>
      <c r="E52" s="46">
        <f t="shared" si="2"/>
        <v>31.25</v>
      </c>
      <c r="F52" s="46">
        <f t="shared" si="3"/>
        <v>31.746031746031743</v>
      </c>
      <c r="G52" s="46">
        <v>80</v>
      </c>
      <c r="H52" s="46" t="str">
        <f t="shared" si="4"/>
        <v>20 - 45</v>
      </c>
      <c r="I52" s="46" t="str">
        <f t="shared" si="5"/>
        <v>22 - 44</v>
      </c>
      <c r="J52" s="46">
        <v>15</v>
      </c>
      <c r="K52" s="46">
        <v>48</v>
      </c>
      <c r="L52" s="46">
        <v>20</v>
      </c>
      <c r="M52" s="46">
        <v>63</v>
      </c>
      <c r="N52" s="260">
        <f t="shared" si="6"/>
        <v>20</v>
      </c>
      <c r="O52" s="260">
        <f t="shared" si="7"/>
        <v>45</v>
      </c>
      <c r="P52" s="260">
        <f t="shared" si="8"/>
        <v>22</v>
      </c>
      <c r="Q52" s="260">
        <f t="shared" si="9"/>
        <v>44</v>
      </c>
    </row>
    <row r="53" spans="1:17">
      <c r="A53" s="44" t="s">
        <v>137</v>
      </c>
      <c r="B53" s="112" t="str">
        <f t="shared" si="0"/>
        <v>Raigmore</v>
      </c>
      <c r="C53" s="275" t="str">
        <f t="shared" si="1"/>
        <v>Raigmore (n=25)</v>
      </c>
      <c r="D53" s="45" t="s">
        <v>100</v>
      </c>
      <c r="E53" s="46">
        <f t="shared" si="2"/>
        <v>18.181818181818183</v>
      </c>
      <c r="F53" s="46">
        <f t="shared" si="3"/>
        <v>4</v>
      </c>
      <c r="G53" s="46">
        <v>80</v>
      </c>
      <c r="H53" s="46" t="str">
        <f t="shared" si="4"/>
        <v>7 - 39</v>
      </c>
      <c r="I53" s="46" t="str">
        <f t="shared" si="5"/>
        <v>1 - 20</v>
      </c>
      <c r="J53" s="46">
        <v>4</v>
      </c>
      <c r="K53" s="46">
        <v>22</v>
      </c>
      <c r="L53" s="46">
        <v>1</v>
      </c>
      <c r="M53" s="46">
        <v>25</v>
      </c>
      <c r="N53" s="260">
        <f t="shared" si="6"/>
        <v>7</v>
      </c>
      <c r="O53" s="260">
        <f t="shared" si="7"/>
        <v>39</v>
      </c>
      <c r="P53" s="260">
        <f t="shared" si="8"/>
        <v>1</v>
      </c>
      <c r="Q53" s="260">
        <f t="shared" si="9"/>
        <v>20</v>
      </c>
    </row>
    <row r="54" spans="1:17">
      <c r="B54" s="61"/>
      <c r="C54" s="61"/>
      <c r="G54" s="97"/>
    </row>
    <row r="55" spans="1:17">
      <c r="B55" s="51"/>
      <c r="C55" s="51"/>
      <c r="D55" s="66"/>
      <c r="E55" s="34"/>
      <c r="F55" s="34"/>
      <c r="G55" s="74"/>
      <c r="H55" s="66"/>
      <c r="I55" s="66"/>
    </row>
    <row r="56" spans="1:17" ht="30" customHeight="1">
      <c r="B56" s="839" t="s">
        <v>138</v>
      </c>
      <c r="C56" s="903"/>
      <c r="D56" s="840"/>
      <c r="E56" s="841" t="str">
        <f>F42&amp;" (%)"</f>
        <v>2015 &lt;=14 days (%)</v>
      </c>
      <c r="F56" s="842"/>
      <c r="G56" s="846"/>
      <c r="H56" s="850" t="s">
        <v>17</v>
      </c>
      <c r="I56" s="851"/>
      <c r="J56" s="936"/>
      <c r="K56" s="937"/>
    </row>
    <row r="57" spans="1:17" ht="35.1" customHeight="1">
      <c r="B57" s="52"/>
      <c r="C57" s="272"/>
      <c r="D57" s="53" t="s">
        <v>140</v>
      </c>
      <c r="E57" s="54" t="s">
        <v>141</v>
      </c>
      <c r="F57" s="55" t="s">
        <v>55</v>
      </c>
      <c r="G57" s="849"/>
      <c r="H57" s="57" t="s">
        <v>28</v>
      </c>
      <c r="I57" s="58" t="s">
        <v>29</v>
      </c>
      <c r="J57" s="261" t="s">
        <v>192</v>
      </c>
      <c r="K57" s="260" t="s">
        <v>193</v>
      </c>
    </row>
    <row r="58" spans="1:17">
      <c r="A58" s="44" t="str">
        <f>D58</f>
        <v>Ayrshire &amp; Arran</v>
      </c>
      <c r="B58" s="858"/>
      <c r="C58" s="268"/>
      <c r="D58" s="100" t="s">
        <v>35</v>
      </c>
      <c r="E58" s="264">
        <f>IF(OR(ISERR(H58/I58*100),ISNA(H58/I58*100)),"",H58/I58*100)</f>
        <v>52.173913043478258</v>
      </c>
      <c r="F58" s="264" t="str">
        <f t="shared" ref="F58:F70" si="14">IF(AND(I58&gt;0,ROUND(SUM(100*((2*H58+1.96^2)-(1.96*(SQRT(1.96^2+4*H58*(1-(H58/I58))))))/(2*(I58+1.96^2))),0)&lt;0),CONCATENATE(SUM(1*0)," - ",ROUND(SUM(100*((2*H58+1.96^2)+(1.96*(SQRT(1.96^2+4*H58*(1-(H58/I58))))))/(2*(I58+1.96^2))),0)),IF(AND(I58&gt;0,ROUND(SUM(100*((2*H58+1.96^2)-(1.96*(SQRT(1.96^2+4*H58*(1-(H58/I58))))))/(2*(I58+1.96^2))),0)&gt;=0),CONCATENATE(ROUND(SUM(100*((2*H58+1.96^2)-(1.96*(SQRT(1.96^2+4*H58*(1-(H58/I58))))))/(2*(I58+1.96^2))),0)," - ",ROUND(SUM(100*((2*H58+1.96^2)+(1.96*(SQRT(1.96^2+4*H58*(1-(H58/I58))))))/(2*(I58+1.96^2))),0)),""))</f>
        <v>33 - 71</v>
      </c>
      <c r="G58" s="934"/>
      <c r="H58" s="265">
        <f>L47</f>
        <v>12</v>
      </c>
      <c r="I58" s="265">
        <f>M47</f>
        <v>23</v>
      </c>
      <c r="J58" s="261">
        <f t="shared" ref="J58:J71" si="15">SUM(1*MID(F58,1,FIND(" - ",F58)-1))</f>
        <v>33</v>
      </c>
      <c r="K58" s="260">
        <f t="shared" ref="K58:K71" si="16">SUM(1*MID(F58,FIND(" - ",F58)+2,LEN(F58)))</f>
        <v>71</v>
      </c>
    </row>
    <row r="59" spans="1:17">
      <c r="A59" s="44" t="str">
        <f t="shared" ref="A59:A71" si="17">D59</f>
        <v>Borders*</v>
      </c>
      <c r="B59" s="859"/>
      <c r="C59" s="269"/>
      <c r="D59" s="100" t="s">
        <v>196</v>
      </c>
      <c r="E59" s="264" t="str">
        <f t="shared" ref="E59:E70" si="18">IF(ISERR(H59/I59*100),"",H59/I59*100)</f>
        <v/>
      </c>
      <c r="F59" s="264"/>
      <c r="G59" s="934"/>
      <c r="H59" s="265"/>
      <c r="I59" s="266"/>
      <c r="J59" s="262" t="e">
        <f t="shared" si="15"/>
        <v>#VALUE!</v>
      </c>
      <c r="K59" s="263" t="e">
        <f t="shared" si="16"/>
        <v>#VALUE!</v>
      </c>
    </row>
    <row r="60" spans="1:17">
      <c r="A60" s="44" t="str">
        <f t="shared" si="17"/>
        <v>Dumfries &amp; Galloway</v>
      </c>
      <c r="B60" s="859"/>
      <c r="C60" s="269"/>
      <c r="D60" s="100" t="s">
        <v>33</v>
      </c>
      <c r="E60" s="264">
        <f t="shared" si="18"/>
        <v>33.333333333333329</v>
      </c>
      <c r="F60" s="264" t="str">
        <f t="shared" si="14"/>
        <v>19 - 52</v>
      </c>
      <c r="G60" s="934"/>
      <c r="H60" s="265">
        <f>L50</f>
        <v>9</v>
      </c>
      <c r="I60" s="265">
        <f>M50</f>
        <v>27</v>
      </c>
      <c r="J60" s="262">
        <f t="shared" si="15"/>
        <v>19</v>
      </c>
      <c r="K60" s="263">
        <f t="shared" si="16"/>
        <v>52</v>
      </c>
    </row>
    <row r="61" spans="1:17">
      <c r="A61" s="44" t="str">
        <f t="shared" si="17"/>
        <v>Fife</v>
      </c>
      <c r="B61" s="859"/>
      <c r="C61" s="269"/>
      <c r="D61" s="100" t="s">
        <v>32</v>
      </c>
      <c r="E61" s="264">
        <f t="shared" si="18"/>
        <v>33.333333333333329</v>
      </c>
      <c r="F61" s="264" t="str">
        <f t="shared" si="14"/>
        <v>12 - 65</v>
      </c>
      <c r="G61" s="934"/>
      <c r="H61" s="265">
        <f>L51</f>
        <v>3</v>
      </c>
      <c r="I61" s="265">
        <f>M51</f>
        <v>9</v>
      </c>
      <c r="J61" s="262">
        <f t="shared" si="15"/>
        <v>12</v>
      </c>
      <c r="K61" s="263">
        <f t="shared" si="16"/>
        <v>65</v>
      </c>
    </row>
    <row r="62" spans="1:17">
      <c r="A62" s="44" t="str">
        <f t="shared" si="17"/>
        <v>Forth Valley</v>
      </c>
      <c r="B62" s="859"/>
      <c r="C62" s="269"/>
      <c r="D62" s="100" t="s">
        <v>37</v>
      </c>
      <c r="E62" s="264">
        <f t="shared" si="18"/>
        <v>35.483870967741936</v>
      </c>
      <c r="F62" s="264" t="str">
        <f t="shared" si="14"/>
        <v>21 - 53</v>
      </c>
      <c r="G62" s="934"/>
      <c r="H62" s="265">
        <f>L49</f>
        <v>11</v>
      </c>
      <c r="I62" s="265">
        <f>M49</f>
        <v>31</v>
      </c>
      <c r="J62" s="262">
        <f t="shared" si="15"/>
        <v>21</v>
      </c>
      <c r="K62" s="263">
        <f t="shared" si="16"/>
        <v>53</v>
      </c>
    </row>
    <row r="63" spans="1:17">
      <c r="A63" s="44" t="str">
        <f>D63</f>
        <v>Grampian</v>
      </c>
      <c r="B63" s="859"/>
      <c r="C63" s="269"/>
      <c r="D63" s="100" t="s">
        <v>36</v>
      </c>
      <c r="E63" s="264">
        <f>IF(ISERR(H63/I63*100),"",H63/I63*100)</f>
        <v>53.333333333333336</v>
      </c>
      <c r="F63" s="264" t="str">
        <f>IF(AND(I63&gt;0,ROUND(SUM(100*((2*H63+1.96^2)-(1.96*(SQRT(1.96^2+4*H63*(1-(H63/I63))))))/(2*(I63+1.96^2))),0)&lt;0),CONCATENATE(SUM(1*0)," - ",ROUND(SUM(100*((2*H63+1.96^2)+(1.96*(SQRT(1.96^2+4*H63*(1-(H63/I63))))))/(2*(I63+1.96^2))),0)),IF(AND(I63&gt;0,ROUND(SUM(100*((2*H63+1.96^2)-(1.96*(SQRT(1.96^2+4*H63*(1-(H63/I63))))))/(2*(I63+1.96^2))),0)&gt;=0),CONCATENATE(ROUND(SUM(100*((2*H63+1.96^2)-(1.96*(SQRT(1.96^2+4*H63*(1-(H63/I63))))))/(2*(I63+1.96^2))),0)," - ",ROUND(SUM(100*((2*H63+1.96^2)+(1.96*(SQRT(1.96^2+4*H63*(1-(H63/I63))))))/(2*(I63+1.96^2))),0)),""))</f>
        <v>36 - 70</v>
      </c>
      <c r="G63" s="934"/>
      <c r="H63" s="265">
        <f>L46</f>
        <v>16</v>
      </c>
      <c r="I63" s="265">
        <f>M46</f>
        <v>30</v>
      </c>
      <c r="J63" s="262">
        <f>SUM(1*MID(F63,1,FIND(" - ",F63)-1))</f>
        <v>36</v>
      </c>
      <c r="K63" s="263">
        <f>SUM(1*MID(F63,FIND(" - ",F63)+2,LEN(F63)))</f>
        <v>70</v>
      </c>
    </row>
    <row r="64" spans="1:17">
      <c r="A64" s="44" t="str">
        <f t="shared" si="17"/>
        <v>Greater Glasgow &amp; Clyde</v>
      </c>
      <c r="B64" s="859"/>
      <c r="C64" s="269"/>
      <c r="D64" s="100" t="s">
        <v>42</v>
      </c>
      <c r="E64" s="264">
        <f t="shared" si="18"/>
        <v>36.893203883495147</v>
      </c>
      <c r="F64" s="264" t="str">
        <f t="shared" si="14"/>
        <v>28 - 47</v>
      </c>
      <c r="G64" s="934"/>
      <c r="H64" s="265">
        <f>L48</f>
        <v>38</v>
      </c>
      <c r="I64" s="265">
        <f>M48</f>
        <v>103</v>
      </c>
      <c r="J64" s="262">
        <f t="shared" si="15"/>
        <v>28</v>
      </c>
      <c r="K64" s="263">
        <f t="shared" si="16"/>
        <v>47</v>
      </c>
    </row>
    <row r="65" spans="1:14">
      <c r="A65" s="44" t="str">
        <f t="shared" si="17"/>
        <v>Highland</v>
      </c>
      <c r="B65" s="859"/>
      <c r="C65" s="269"/>
      <c r="D65" s="100" t="s">
        <v>38</v>
      </c>
      <c r="E65" s="264">
        <f t="shared" si="18"/>
        <v>4</v>
      </c>
      <c r="F65" s="264" t="str">
        <f t="shared" si="14"/>
        <v>1 - 20</v>
      </c>
      <c r="G65" s="934"/>
      <c r="H65" s="265">
        <f>L53</f>
        <v>1</v>
      </c>
      <c r="I65" s="265">
        <f>M53</f>
        <v>25</v>
      </c>
      <c r="J65" s="262">
        <f t="shared" si="15"/>
        <v>1</v>
      </c>
      <c r="K65" s="263">
        <f t="shared" si="16"/>
        <v>20</v>
      </c>
    </row>
    <row r="66" spans="1:14">
      <c r="A66" s="44" t="str">
        <f t="shared" si="17"/>
        <v>Lanarkshire</v>
      </c>
      <c r="B66" s="859"/>
      <c r="C66" s="269"/>
      <c r="D66" s="100" t="s">
        <v>31</v>
      </c>
      <c r="E66" s="264">
        <f t="shared" si="18"/>
        <v>31.746031746031743</v>
      </c>
      <c r="F66" s="264" t="str">
        <f t="shared" si="14"/>
        <v>22 - 44</v>
      </c>
      <c r="G66" s="934"/>
      <c r="H66" s="265">
        <f>L52</f>
        <v>20</v>
      </c>
      <c r="I66" s="265">
        <f>M52</f>
        <v>63</v>
      </c>
      <c r="J66" s="262">
        <f t="shared" si="15"/>
        <v>22</v>
      </c>
      <c r="K66" s="263">
        <f t="shared" si="16"/>
        <v>44</v>
      </c>
    </row>
    <row r="67" spans="1:14">
      <c r="A67" s="44" t="str">
        <f t="shared" si="17"/>
        <v>Lothian</v>
      </c>
      <c r="B67" s="859"/>
      <c r="C67" s="269"/>
      <c r="D67" s="100" t="s">
        <v>40</v>
      </c>
      <c r="E67" s="264">
        <f t="shared" si="18"/>
        <v>57.407407407407405</v>
      </c>
      <c r="F67" s="264" t="str">
        <f t="shared" si="14"/>
        <v>44 - 70</v>
      </c>
      <c r="G67" s="934"/>
      <c r="H67" s="265">
        <f>L45</f>
        <v>31</v>
      </c>
      <c r="I67" s="265">
        <f>M45</f>
        <v>54</v>
      </c>
      <c r="J67" s="262">
        <f t="shared" si="15"/>
        <v>44</v>
      </c>
      <c r="K67" s="263">
        <f t="shared" si="16"/>
        <v>70</v>
      </c>
    </row>
    <row r="68" spans="1:14">
      <c r="A68" s="44" t="str">
        <f t="shared" si="17"/>
        <v>Orkney*</v>
      </c>
      <c r="B68" s="859"/>
      <c r="C68" s="269"/>
      <c r="D68" s="100" t="s">
        <v>197</v>
      </c>
      <c r="E68" s="264"/>
      <c r="F68" s="264"/>
      <c r="G68" s="934"/>
      <c r="H68" s="265"/>
      <c r="I68" s="266"/>
      <c r="J68" s="262" t="e">
        <f t="shared" si="15"/>
        <v>#VALUE!</v>
      </c>
      <c r="K68" s="263" t="e">
        <f t="shared" si="16"/>
        <v>#VALUE!</v>
      </c>
    </row>
    <row r="69" spans="1:14">
      <c r="A69" s="44" t="str">
        <f t="shared" si="17"/>
        <v>Shetland*</v>
      </c>
      <c r="B69" s="859"/>
      <c r="C69" s="269"/>
      <c r="D69" s="100" t="s">
        <v>198</v>
      </c>
      <c r="E69" s="264"/>
      <c r="F69" s="264"/>
      <c r="G69" s="934"/>
      <c r="H69" s="265"/>
      <c r="I69" s="266"/>
      <c r="J69" s="262" t="e">
        <f t="shared" si="15"/>
        <v>#VALUE!</v>
      </c>
      <c r="K69" s="263" t="e">
        <f t="shared" si="16"/>
        <v>#VALUE!</v>
      </c>
    </row>
    <row r="70" spans="1:14">
      <c r="A70" s="44" t="str">
        <f t="shared" si="17"/>
        <v>Tayside</v>
      </c>
      <c r="B70" s="859"/>
      <c r="C70" s="269"/>
      <c r="D70" s="100" t="s">
        <v>34</v>
      </c>
      <c r="E70" s="264">
        <f t="shared" si="18"/>
        <v>77.777777777777786</v>
      </c>
      <c r="F70" s="264" t="str">
        <f t="shared" si="14"/>
        <v>59 - 89</v>
      </c>
      <c r="G70" s="934"/>
      <c r="H70" s="265">
        <f>L44</f>
        <v>21</v>
      </c>
      <c r="I70" s="265">
        <f>M44</f>
        <v>27</v>
      </c>
      <c r="J70" s="262">
        <f t="shared" si="15"/>
        <v>59</v>
      </c>
      <c r="K70" s="263">
        <f t="shared" si="16"/>
        <v>89</v>
      </c>
    </row>
    <row r="71" spans="1:14">
      <c r="A71" s="44" t="str">
        <f t="shared" si="17"/>
        <v>Western Isles*</v>
      </c>
      <c r="B71" s="860"/>
      <c r="C71" s="270"/>
      <c r="D71" s="100" t="s">
        <v>199</v>
      </c>
      <c r="E71" s="264"/>
      <c r="F71" s="264"/>
      <c r="G71" s="935"/>
      <c r="H71" s="265"/>
      <c r="I71" s="266"/>
      <c r="J71" s="262" t="e">
        <f t="shared" si="15"/>
        <v>#VALUE!</v>
      </c>
      <c r="K71" s="263" t="e">
        <f t="shared" si="16"/>
        <v>#VALUE!</v>
      </c>
    </row>
    <row r="72" spans="1:14">
      <c r="B72" s="51"/>
      <c r="C72" s="51"/>
      <c r="D72" s="33"/>
      <c r="E72" s="34"/>
      <c r="F72" s="34"/>
      <c r="H72" s="35"/>
      <c r="I72" s="35"/>
    </row>
    <row r="73" spans="1:14">
      <c r="B73" s="769" t="s">
        <v>200</v>
      </c>
      <c r="C73" s="769"/>
      <c r="D73" s="769"/>
      <c r="E73" s="769"/>
      <c r="F73" s="769"/>
      <c r="G73" s="769"/>
      <c r="H73" s="769"/>
      <c r="I73" s="769"/>
      <c r="J73" s="769"/>
      <c r="K73" s="34"/>
      <c r="L73" s="34"/>
      <c r="M73" s="31"/>
      <c r="N73" s="31"/>
    </row>
    <row r="74" spans="1:14">
      <c r="B74" s="73"/>
      <c r="C74" s="73"/>
      <c r="D74" s="73"/>
      <c r="E74" s="73"/>
      <c r="F74" s="73"/>
      <c r="G74" s="73"/>
      <c r="H74" s="73"/>
      <c r="I74" s="73"/>
      <c r="J74" s="73"/>
      <c r="K74" s="34"/>
      <c r="L74" s="34"/>
      <c r="M74" s="31"/>
      <c r="N74" s="31"/>
    </row>
    <row r="75" spans="1:14">
      <c r="B75" s="62" t="s">
        <v>142</v>
      </c>
      <c r="C75" s="62"/>
      <c r="E75" s="34"/>
      <c r="F75" s="34"/>
      <c r="G75" s="34"/>
      <c r="H75" s="34"/>
      <c r="I75" s="34"/>
      <c r="J75" s="34"/>
      <c r="K75" s="34"/>
      <c r="L75" s="34"/>
      <c r="M75" s="31"/>
      <c r="N75" s="31"/>
    </row>
    <row r="76" spans="1:14" ht="15">
      <c r="B76"/>
      <c r="C76"/>
      <c r="D76"/>
      <c r="E76"/>
      <c r="F76"/>
      <c r="G76"/>
      <c r="H76"/>
      <c r="I76"/>
      <c r="J76"/>
      <c r="K76"/>
    </row>
    <row r="77" spans="1:14" ht="15">
      <c r="B77"/>
      <c r="C77"/>
      <c r="D77"/>
      <c r="E77"/>
      <c r="F77"/>
      <c r="G77"/>
      <c r="H77"/>
      <c r="I77"/>
      <c r="J77"/>
      <c r="K77"/>
    </row>
    <row r="78" spans="1:14" ht="15">
      <c r="B78"/>
      <c r="C78"/>
      <c r="D78"/>
      <c r="E78"/>
      <c r="F78"/>
      <c r="G78"/>
      <c r="H78"/>
      <c r="I78"/>
      <c r="J78"/>
      <c r="K78"/>
    </row>
    <row r="79" spans="1:14" ht="15">
      <c r="B79"/>
      <c r="C79"/>
      <c r="D79"/>
      <c r="E79"/>
      <c r="F79"/>
      <c r="G79"/>
      <c r="H79"/>
      <c r="I79"/>
      <c r="J79"/>
      <c r="K79"/>
    </row>
    <row r="80" spans="1:14" ht="15">
      <c r="B80"/>
      <c r="C80"/>
      <c r="D80"/>
      <c r="E80"/>
      <c r="F80"/>
      <c r="G80"/>
      <c r="H80"/>
      <c r="I80"/>
      <c r="J80"/>
      <c r="K80"/>
    </row>
    <row r="81" spans="2:11" ht="15">
      <c r="B81"/>
      <c r="C81"/>
      <c r="D81"/>
      <c r="E81"/>
      <c r="F81"/>
      <c r="G81"/>
      <c r="H81"/>
      <c r="I81"/>
      <c r="J81"/>
      <c r="K81"/>
    </row>
    <row r="82" spans="2:11" ht="15">
      <c r="B82"/>
      <c r="C82"/>
      <c r="D82"/>
      <c r="E82"/>
      <c r="F82"/>
      <c r="G82"/>
      <c r="H82"/>
      <c r="I82"/>
      <c r="J82"/>
      <c r="K82"/>
    </row>
    <row r="83" spans="2:11" ht="15">
      <c r="B83"/>
      <c r="C83"/>
      <c r="D83"/>
      <c r="E83"/>
      <c r="F83"/>
      <c r="G83"/>
      <c r="H83"/>
      <c r="I83"/>
      <c r="J83"/>
      <c r="K83"/>
    </row>
    <row r="84" spans="2:11" ht="15">
      <c r="B84"/>
      <c r="C84"/>
      <c r="D84"/>
      <c r="E84"/>
      <c r="F84"/>
      <c r="G84"/>
      <c r="H84"/>
      <c r="I84"/>
      <c r="J84"/>
      <c r="K84"/>
    </row>
    <row r="85" spans="2:11" ht="15">
      <c r="B85"/>
      <c r="C85"/>
      <c r="D85"/>
      <c r="E85"/>
      <c r="F85"/>
      <c r="G85"/>
      <c r="H85"/>
      <c r="I85"/>
      <c r="J85"/>
      <c r="K85"/>
    </row>
    <row r="86" spans="2:11" ht="15">
      <c r="B86"/>
      <c r="C86"/>
      <c r="D86"/>
      <c r="E86"/>
      <c r="F86"/>
      <c r="G86"/>
      <c r="H86"/>
      <c r="I86"/>
      <c r="J86"/>
      <c r="K86"/>
    </row>
    <row r="87" spans="2:11" ht="15">
      <c r="B87"/>
      <c r="C87"/>
      <c r="D87"/>
      <c r="E87"/>
      <c r="F87"/>
      <c r="G87"/>
      <c r="H87"/>
      <c r="I87"/>
      <c r="J87"/>
      <c r="K87"/>
    </row>
    <row r="88" spans="2:11" ht="15">
      <c r="B88"/>
      <c r="C88"/>
      <c r="D88"/>
      <c r="E88"/>
      <c r="F88"/>
      <c r="G88"/>
      <c r="H88"/>
      <c r="I88"/>
      <c r="J88"/>
      <c r="K88"/>
    </row>
    <row r="89" spans="2:11" ht="15">
      <c r="B89"/>
      <c r="C89"/>
      <c r="D89"/>
      <c r="E89"/>
      <c r="F89"/>
      <c r="G89"/>
      <c r="H89"/>
      <c r="I89"/>
      <c r="J89"/>
      <c r="K89"/>
    </row>
    <row r="90" spans="2:11" ht="15">
      <c r="B90"/>
      <c r="C90"/>
      <c r="D90"/>
      <c r="E90"/>
      <c r="F90"/>
      <c r="G90"/>
      <c r="H90"/>
      <c r="I90"/>
      <c r="J90"/>
      <c r="K90"/>
    </row>
  </sheetData>
  <sheetProtection password="B8D9" sheet="1" objects="1" scenarios="1"/>
  <mergeCells count="19">
    <mergeCell ref="P41:Q41"/>
    <mergeCell ref="N41:O41"/>
    <mergeCell ref="B1:J1"/>
    <mergeCell ref="K1:K4"/>
    <mergeCell ref="B3:J4"/>
    <mergeCell ref="B5:J5"/>
    <mergeCell ref="B73:J73"/>
    <mergeCell ref="B38:J38"/>
    <mergeCell ref="B41:D41"/>
    <mergeCell ref="E41:I41"/>
    <mergeCell ref="J41:M41"/>
    <mergeCell ref="B58:B71"/>
    <mergeCell ref="G58:G71"/>
    <mergeCell ref="J56:K56"/>
    <mergeCell ref="B40:J40"/>
    <mergeCell ref="B56:D56"/>
    <mergeCell ref="E56:F56"/>
    <mergeCell ref="G56:G57"/>
    <mergeCell ref="H56:I56"/>
  </mergeCells>
  <phoneticPr fontId="0" type="noConversion"/>
  <hyperlinks>
    <hyperlink ref="K1" location="'List of Tables &amp; Charts'!A1" display="return to List of Tables &amp; Charts"/>
  </hyperlinks>
  <printOptions horizontalCentered="1"/>
  <pageMargins left="0" right="0" top="0.27559055118110237" bottom="0.51181102362204722" header="0.15748031496062992" footer="0.19685039370078741"/>
  <pageSetup paperSize="9" scale="49" orientation="landscape" r:id="rId1"/>
  <headerFooter alignWithMargins="0">
    <oddFooter>&amp;L&amp;8Scottish Stroke Care Audit 2016 National Report
Stroke Services in Scottish Hospitals, Data relating to 2015&amp;R&amp;8© NHS National Services Scotland/Crown Copyright</oddFooter>
  </headerFooter>
  <rowBreaks count="1" manualBreakCount="1">
    <brk id="39" max="16383" man="1"/>
  </rowBreaks>
  <drawing r:id="rId2"/>
</worksheet>
</file>

<file path=xl/worksheets/sheet56.xml><?xml version="1.0" encoding="utf-8"?>
<worksheet xmlns="http://schemas.openxmlformats.org/spreadsheetml/2006/main" xmlns:r="http://schemas.openxmlformats.org/officeDocument/2006/relationships">
  <sheetPr codeName="Sheet55">
    <pageSetUpPr fitToPage="1"/>
  </sheetPr>
  <dimension ref="A1:X52"/>
  <sheetViews>
    <sheetView workbookViewId="0"/>
  </sheetViews>
  <sheetFormatPr defaultRowHeight="12.75"/>
  <cols>
    <col min="1" max="1" width="2.7109375" style="336" customWidth="1"/>
    <col min="2" max="16384" width="9.140625" style="336"/>
  </cols>
  <sheetData>
    <row r="1" spans="2:24" s="736" customFormat="1" ht="26.25" customHeight="1">
      <c r="B1" s="795" t="s">
        <v>695</v>
      </c>
      <c r="C1" s="795"/>
      <c r="D1" s="795"/>
      <c r="E1" s="795"/>
      <c r="F1" s="795"/>
      <c r="G1" s="795"/>
      <c r="H1" s="795"/>
      <c r="I1" s="795"/>
      <c r="J1" s="795"/>
      <c r="K1" s="795"/>
      <c r="L1" s="795"/>
      <c r="M1" s="795"/>
      <c r="N1" s="26"/>
      <c r="O1"/>
      <c r="P1" s="926" t="s">
        <v>48</v>
      </c>
      <c r="Q1" s="26"/>
      <c r="R1" s="26"/>
      <c r="S1" s="26"/>
      <c r="T1" s="26"/>
      <c r="U1" s="26"/>
      <c r="V1" s="26"/>
      <c r="W1" s="26"/>
      <c r="X1" s="26"/>
    </row>
    <row r="2" spans="2:24" s="736" customFormat="1">
      <c r="B2" s="940"/>
      <c r="C2" s="940"/>
      <c r="D2" s="940"/>
      <c r="E2" s="940"/>
      <c r="F2" s="940"/>
      <c r="G2" s="940"/>
      <c r="H2" s="940"/>
      <c r="I2" s="940"/>
      <c r="J2" s="738"/>
      <c r="K2" s="28"/>
      <c r="L2" s="28"/>
      <c r="M2" s="28"/>
      <c r="N2" s="28"/>
      <c r="O2" s="28"/>
      <c r="P2" s="926"/>
      <c r="Q2" s="28"/>
      <c r="R2" s="28"/>
      <c r="S2" s="28"/>
      <c r="T2" s="28"/>
      <c r="U2" s="803"/>
      <c r="V2" s="803"/>
      <c r="W2" s="803"/>
      <c r="X2" s="803"/>
    </row>
    <row r="3" spans="2:24" s="736" customFormat="1" ht="12.75" customHeight="1">
      <c r="B3" s="663" t="s">
        <v>226</v>
      </c>
      <c r="C3" s="106"/>
      <c r="D3" s="106"/>
      <c r="E3" s="106"/>
      <c r="F3" s="106"/>
      <c r="G3" s="106"/>
      <c r="H3" s="106"/>
      <c r="I3" s="106"/>
      <c r="J3" s="738"/>
      <c r="K3" s="29"/>
      <c r="L3" s="29"/>
      <c r="M3" s="29"/>
      <c r="N3" s="28"/>
      <c r="O3" s="28"/>
      <c r="P3" s="926"/>
      <c r="Q3" s="28"/>
      <c r="R3" s="28"/>
      <c r="S3" s="28"/>
      <c r="T3" s="28"/>
      <c r="U3" s="734"/>
      <c r="V3" s="734"/>
      <c r="W3" s="734"/>
      <c r="X3" s="734"/>
    </row>
    <row r="4" spans="2:24" s="736" customFormat="1" ht="15" customHeight="1">
      <c r="B4" s="836" t="s">
        <v>347</v>
      </c>
      <c r="C4" s="836"/>
      <c r="D4" s="836"/>
      <c r="E4" s="836"/>
      <c r="F4" s="836"/>
      <c r="G4" s="836"/>
      <c r="H4" s="836"/>
      <c r="I4" s="836"/>
      <c r="J4" s="836"/>
      <c r="K4" s="836"/>
      <c r="L4" s="836"/>
      <c r="M4" s="836"/>
      <c r="N4" s="836"/>
      <c r="O4" s="28"/>
      <c r="P4" s="28"/>
      <c r="Q4" s="28"/>
      <c r="R4" s="28"/>
      <c r="S4" s="28"/>
      <c r="T4" s="28"/>
      <c r="U4" s="734"/>
      <c r="V4" s="734"/>
      <c r="W4" s="734"/>
      <c r="X4" s="734"/>
    </row>
    <row r="5" spans="2:24" s="736" customFormat="1" ht="12.75" customHeight="1">
      <c r="B5" s="836"/>
      <c r="C5" s="836"/>
      <c r="D5" s="836"/>
      <c r="E5" s="836"/>
      <c r="F5" s="836"/>
      <c r="G5" s="836"/>
      <c r="H5" s="836"/>
      <c r="I5" s="836"/>
      <c r="J5" s="836"/>
      <c r="K5" s="836"/>
      <c r="L5" s="836"/>
      <c r="M5" s="836"/>
      <c r="N5" s="836"/>
      <c r="O5" s="29"/>
      <c r="P5" s="29"/>
      <c r="Q5" s="738" t="s">
        <v>755</v>
      </c>
      <c r="R5" s="29"/>
      <c r="S5" s="29"/>
      <c r="T5" s="29"/>
      <c r="U5" s="734"/>
      <c r="V5" s="734"/>
      <c r="W5" s="734"/>
      <c r="X5" s="734"/>
    </row>
    <row r="6" spans="2:24" s="736" customFormat="1" ht="12.75" customHeight="1">
      <c r="B6" s="836"/>
      <c r="C6" s="836"/>
      <c r="D6" s="836"/>
      <c r="E6" s="836"/>
      <c r="F6" s="836"/>
      <c r="G6" s="836"/>
      <c r="H6" s="836"/>
      <c r="I6" s="836"/>
      <c r="J6" s="836"/>
      <c r="K6" s="836"/>
      <c r="L6" s="836"/>
      <c r="M6" s="836"/>
      <c r="N6" s="836"/>
      <c r="O6" s="29"/>
      <c r="P6" s="29"/>
      <c r="Q6" s="29"/>
      <c r="R6" s="29"/>
      <c r="S6" s="29"/>
      <c r="T6" s="29"/>
      <c r="U6" s="734"/>
      <c r="V6" s="734"/>
      <c r="W6" s="734"/>
      <c r="X6" s="734"/>
    </row>
    <row r="7" spans="2:24" s="736" customFormat="1" ht="12.75" customHeight="1">
      <c r="B7" s="836"/>
      <c r="C7" s="836"/>
      <c r="D7" s="836"/>
      <c r="E7" s="836"/>
      <c r="F7" s="836"/>
      <c r="G7" s="836"/>
      <c r="H7" s="836"/>
      <c r="I7" s="836"/>
      <c r="J7" s="836"/>
      <c r="K7" s="836"/>
      <c r="L7" s="836"/>
      <c r="M7" s="836"/>
      <c r="N7" s="836"/>
      <c r="O7" s="29"/>
      <c r="P7" s="29"/>
      <c r="Q7" s="29"/>
      <c r="R7" s="29"/>
      <c r="S7" s="29"/>
      <c r="T7" s="29"/>
      <c r="U7" s="734"/>
      <c r="V7" s="734"/>
      <c r="W7" s="734"/>
      <c r="X7" s="734"/>
    </row>
    <row r="8" spans="2:24" s="736" customFormat="1" ht="12.75" customHeight="1">
      <c r="B8" s="836"/>
      <c r="C8" s="836"/>
      <c r="D8" s="836"/>
      <c r="E8" s="836"/>
      <c r="F8" s="836"/>
      <c r="G8" s="836"/>
      <c r="H8" s="836"/>
      <c r="I8" s="836"/>
      <c r="J8" s="836"/>
      <c r="K8" s="836"/>
      <c r="L8" s="836"/>
      <c r="M8" s="836"/>
      <c r="N8" s="836"/>
      <c r="O8" s="29"/>
      <c r="P8" s="29"/>
      <c r="Q8" s="29"/>
      <c r="R8" s="29"/>
      <c r="S8" s="29"/>
      <c r="T8" s="29"/>
      <c r="U8" s="734"/>
      <c r="V8" s="734"/>
      <c r="W8" s="734"/>
      <c r="X8" s="734"/>
    </row>
    <row r="9" spans="2:24" s="736" customFormat="1" ht="12.75" customHeight="1">
      <c r="B9" s="381"/>
      <c r="C9" s="381"/>
      <c r="D9" s="381"/>
      <c r="E9" s="381"/>
      <c r="F9" s="381"/>
      <c r="G9" s="381"/>
      <c r="H9" s="381"/>
      <c r="I9" s="381"/>
      <c r="J9" s="29"/>
      <c r="K9" s="29"/>
      <c r="L9" s="29"/>
      <c r="M9" s="29"/>
      <c r="N9" s="29"/>
      <c r="O9" s="29"/>
      <c r="P9" s="29"/>
      <c r="Q9" s="29"/>
      <c r="R9" s="29"/>
      <c r="S9" s="29"/>
      <c r="T9" s="29"/>
      <c r="U9" s="734"/>
      <c r="V9" s="734"/>
      <c r="W9" s="734"/>
      <c r="X9" s="734"/>
    </row>
    <row r="43" spans="2:21">
      <c r="B43" s="649"/>
      <c r="C43" s="649"/>
      <c r="D43" s="649"/>
      <c r="E43" s="649"/>
      <c r="F43" s="649"/>
      <c r="G43" s="649"/>
      <c r="H43" s="649"/>
      <c r="I43" s="649"/>
      <c r="J43" s="649"/>
      <c r="K43" s="649"/>
      <c r="L43" s="649"/>
      <c r="M43" s="649"/>
    </row>
    <row r="44" spans="2:21" s="736" customFormat="1">
      <c r="B44" s="32" t="s">
        <v>227</v>
      </c>
      <c r="C44" s="33"/>
      <c r="D44" s="34"/>
      <c r="E44" s="34"/>
      <c r="F44" s="34"/>
      <c r="G44" s="34"/>
      <c r="H44" s="34"/>
      <c r="I44" s="34"/>
      <c r="J44" s="34"/>
      <c r="K44" s="34"/>
      <c r="L44" s="733"/>
      <c r="M44" s="733"/>
      <c r="N44" s="35"/>
      <c r="O44" s="35"/>
      <c r="P44" s="35"/>
      <c r="Q44" s="35"/>
      <c r="R44" s="35"/>
      <c r="S44" s="35"/>
      <c r="T44" s="35"/>
      <c r="U44" s="35"/>
    </row>
    <row r="45" spans="2:21" s="736" customFormat="1">
      <c r="B45" s="67" t="s">
        <v>14</v>
      </c>
      <c r="D45" s="34"/>
      <c r="E45" s="34"/>
      <c r="F45" s="34"/>
      <c r="G45" s="34"/>
      <c r="H45" s="34"/>
      <c r="I45" s="34"/>
      <c r="J45" s="34"/>
      <c r="K45" s="34"/>
      <c r="L45" s="733"/>
      <c r="M45" s="733"/>
    </row>
    <row r="46" spans="2:21" s="736" customFormat="1">
      <c r="B46" s="67" t="s">
        <v>639</v>
      </c>
      <c r="D46" s="34"/>
      <c r="E46" s="34"/>
      <c r="F46" s="34"/>
      <c r="G46" s="34"/>
      <c r="H46" s="34"/>
      <c r="I46" s="34"/>
      <c r="J46" s="34"/>
      <c r="K46" s="34"/>
      <c r="L46" s="733"/>
      <c r="M46" s="733"/>
    </row>
    <row r="47" spans="2:21" s="736" customFormat="1">
      <c r="B47" s="62" t="s">
        <v>7</v>
      </c>
      <c r="D47" s="733"/>
      <c r="E47" s="733"/>
      <c r="F47" s="733"/>
      <c r="G47" s="733"/>
      <c r="H47" s="733"/>
      <c r="I47" s="733"/>
      <c r="J47" s="733"/>
      <c r="K47" s="733"/>
      <c r="L47" s="733"/>
      <c r="M47" s="733"/>
      <c r="N47" s="733"/>
      <c r="O47" s="733"/>
      <c r="P47" s="733"/>
      <c r="Q47" s="733"/>
      <c r="R47" s="733"/>
      <c r="S47" s="733"/>
      <c r="T47" s="733"/>
    </row>
    <row r="48" spans="2:21" s="736" customFormat="1">
      <c r="B48" s="62" t="s">
        <v>8</v>
      </c>
      <c r="D48" s="733"/>
      <c r="E48" s="733"/>
      <c r="F48" s="733"/>
      <c r="G48" s="733"/>
      <c r="H48" s="733"/>
      <c r="I48" s="733"/>
      <c r="J48" s="733"/>
      <c r="K48" s="733"/>
      <c r="L48" s="733"/>
      <c r="M48" s="733"/>
      <c r="N48" s="733"/>
      <c r="O48" s="733"/>
      <c r="P48" s="733"/>
      <c r="Q48" s="733"/>
      <c r="R48" s="733"/>
      <c r="S48" s="733"/>
      <c r="T48" s="733"/>
    </row>
    <row r="49" spans="1:23" s="736" customFormat="1">
      <c r="B49" s="67" t="s">
        <v>435</v>
      </c>
      <c r="D49" s="34"/>
      <c r="E49" s="34"/>
      <c r="F49" s="34"/>
      <c r="G49" s="34"/>
      <c r="H49" s="34"/>
      <c r="I49" s="34"/>
      <c r="J49" s="34"/>
      <c r="K49" s="34"/>
      <c r="L49" s="733"/>
      <c r="M49" s="733"/>
    </row>
    <row r="50" spans="1:23" s="736" customFormat="1">
      <c r="B50" s="67" t="s">
        <v>436</v>
      </c>
      <c r="D50" s="34"/>
      <c r="E50" s="34"/>
      <c r="F50" s="34"/>
      <c r="G50" s="34"/>
      <c r="H50" s="34"/>
      <c r="I50" s="34"/>
      <c r="J50" s="34"/>
      <c r="K50" s="34"/>
      <c r="L50" s="733"/>
      <c r="M50" s="733"/>
    </row>
    <row r="51" spans="1:23" s="736" customFormat="1">
      <c r="B51" s="67" t="s">
        <v>438</v>
      </c>
      <c r="D51" s="34"/>
      <c r="E51" s="34"/>
      <c r="F51" s="34"/>
      <c r="G51" s="34"/>
      <c r="H51" s="34"/>
      <c r="I51" s="34"/>
      <c r="J51" s="34"/>
      <c r="K51" s="34"/>
      <c r="L51" s="733"/>
      <c r="M51" s="733"/>
    </row>
    <row r="52" spans="1:23" s="736" customFormat="1">
      <c r="A52" s="106"/>
      <c r="B52" s="67" t="s">
        <v>437</v>
      </c>
      <c r="C52" s="106"/>
      <c r="D52" s="106"/>
      <c r="E52" s="106"/>
      <c r="F52" s="107" t="s">
        <v>228</v>
      </c>
      <c r="G52" s="106"/>
      <c r="H52" s="106"/>
      <c r="I52" s="106"/>
      <c r="J52" s="106"/>
      <c r="K52" s="106"/>
      <c r="L52" s="106"/>
      <c r="M52" s="107" t="s">
        <v>229</v>
      </c>
      <c r="N52" s="106"/>
      <c r="O52" s="108" t="s">
        <v>230</v>
      </c>
      <c r="P52" s="108"/>
      <c r="Q52" s="108" t="s">
        <v>231</v>
      </c>
      <c r="R52" s="108"/>
      <c r="S52" s="108" t="s">
        <v>232</v>
      </c>
      <c r="T52" s="106"/>
      <c r="U52" s="107" t="s">
        <v>233</v>
      </c>
      <c r="V52" s="1"/>
      <c r="W52" s="108" t="s">
        <v>234</v>
      </c>
    </row>
  </sheetData>
  <sheetProtection password="B8D9" sheet="1" objects="1" scenarios="1"/>
  <mergeCells count="5">
    <mergeCell ref="B1:M1"/>
    <mergeCell ref="P1:P3"/>
    <mergeCell ref="B2:I2"/>
    <mergeCell ref="U2:X2"/>
    <mergeCell ref="B4:N8"/>
  </mergeCells>
  <hyperlinks>
    <hyperlink ref="P1:P3" location="'List of Tables &amp; Charts'!A1" display="return to List of Tables &amp; Charts"/>
    <hyperlink ref="Q5" location="'Chart 13 (2015) DATA'!A1" display="view Chart 13 data"/>
  </hyperlinks>
  <pageMargins left="0.70866141732283472" right="0.70866141732283472" top="0.74803149606299213" bottom="0.74803149606299213" header="0.31496062992125984" footer="0.31496062992125984"/>
  <pageSetup scale="57"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57.xml><?xml version="1.0" encoding="utf-8"?>
<worksheet xmlns="http://schemas.openxmlformats.org/spreadsheetml/2006/main" xmlns:r="http://schemas.openxmlformats.org/officeDocument/2006/relationships">
  <sheetPr codeName="Sheet70">
    <pageSetUpPr fitToPage="1"/>
  </sheetPr>
  <dimension ref="A1:W32"/>
  <sheetViews>
    <sheetView showGridLines="0" zoomScaleNormal="100" workbookViewId="0"/>
  </sheetViews>
  <sheetFormatPr defaultRowHeight="12.75"/>
  <cols>
    <col min="1" max="1" width="16.7109375" style="736" customWidth="1"/>
    <col min="2" max="2" width="45.7109375" style="736" customWidth="1"/>
    <col min="3" max="3" width="10.7109375" style="733" customWidth="1"/>
    <col min="4" max="5" width="12.7109375" style="733" customWidth="1"/>
    <col min="6" max="6" width="1.7109375" style="733" customWidth="1"/>
    <col min="7" max="19" width="11.7109375" style="733" customWidth="1"/>
    <col min="20" max="22" width="11.7109375" style="736" customWidth="1"/>
    <col min="23" max="16384" width="9.140625" style="736"/>
  </cols>
  <sheetData>
    <row r="1" spans="1:23" ht="25.5" customHeight="1">
      <c r="A1" s="737">
        <v>2015</v>
      </c>
      <c r="B1" s="735"/>
      <c r="C1" s="881" t="s">
        <v>573</v>
      </c>
      <c r="D1" s="882"/>
      <c r="E1" s="883"/>
      <c r="F1" s="109"/>
      <c r="G1" s="941" t="s">
        <v>235</v>
      </c>
      <c r="H1" s="942"/>
      <c r="I1" s="942"/>
      <c r="J1" s="942"/>
      <c r="K1" s="942"/>
      <c r="L1" s="942"/>
      <c r="M1" s="942"/>
      <c r="N1" s="942"/>
      <c r="O1" s="942"/>
      <c r="P1" s="942"/>
      <c r="Q1" s="942"/>
      <c r="R1" s="942"/>
      <c r="S1" s="942"/>
      <c r="T1" s="942"/>
      <c r="U1" s="942"/>
      <c r="V1" s="943"/>
    </row>
    <row r="2" spans="1:23" ht="76.5">
      <c r="A2" s="80" t="s">
        <v>26</v>
      </c>
      <c r="B2" s="53" t="s">
        <v>27</v>
      </c>
      <c r="C2" s="75" t="s">
        <v>181</v>
      </c>
      <c r="D2" s="75" t="s">
        <v>236</v>
      </c>
      <c r="E2" s="75" t="s">
        <v>237</v>
      </c>
      <c r="F2" s="110"/>
      <c r="G2" s="75" t="s">
        <v>238</v>
      </c>
      <c r="H2" s="75" t="s">
        <v>239</v>
      </c>
      <c r="I2" s="75" t="s">
        <v>240</v>
      </c>
      <c r="J2" s="75" t="s">
        <v>241</v>
      </c>
      <c r="K2" s="75" t="s">
        <v>242</v>
      </c>
      <c r="L2" s="111" t="s">
        <v>243</v>
      </c>
      <c r="M2" s="111" t="s">
        <v>244</v>
      </c>
      <c r="N2" s="111" t="s">
        <v>245</v>
      </c>
      <c r="O2" s="111" t="s">
        <v>246</v>
      </c>
      <c r="P2" s="111" t="s">
        <v>247</v>
      </c>
      <c r="Q2" s="111" t="s">
        <v>248</v>
      </c>
      <c r="R2" s="111" t="s">
        <v>249</v>
      </c>
      <c r="S2" s="111" t="s">
        <v>250</v>
      </c>
      <c r="T2" s="111" t="s">
        <v>251</v>
      </c>
      <c r="U2" s="111" t="s">
        <v>252</v>
      </c>
      <c r="V2" s="111" t="s">
        <v>253</v>
      </c>
    </row>
    <row r="3" spans="1:23">
      <c r="A3" s="45" t="s">
        <v>137</v>
      </c>
      <c r="B3" s="112" t="s">
        <v>137</v>
      </c>
      <c r="C3" s="433">
        <f>SUM(C4:C31)</f>
        <v>9018</v>
      </c>
      <c r="D3" s="433">
        <f t="shared" ref="D3" si="0">SUM(D4:D31)</f>
        <v>7965</v>
      </c>
      <c r="E3" s="433">
        <f>D3/C3*100</f>
        <v>88.323353293413177</v>
      </c>
      <c r="F3" s="382"/>
      <c r="G3" s="434">
        <f>SUM(G4:G31)</f>
        <v>222553</v>
      </c>
      <c r="H3" s="383">
        <f>G3/C3</f>
        <v>24.678753603903303</v>
      </c>
      <c r="I3" s="434">
        <f>SUM(I4:I31)</f>
        <v>193629</v>
      </c>
      <c r="J3" s="383">
        <f>I3/D3</f>
        <v>24.309981167608285</v>
      </c>
      <c r="K3" s="434">
        <f>SUM(K4:K31)</f>
        <v>12139</v>
      </c>
      <c r="L3" s="382">
        <f>K3/G3*100</f>
        <v>5.4544310793384048</v>
      </c>
      <c r="M3" s="383">
        <f>K3/C3</f>
        <v>1.3460856065646485</v>
      </c>
      <c r="N3" s="382">
        <f>I3/G3*100</f>
        <v>87.003545222935657</v>
      </c>
      <c r="O3" s="434">
        <f>SUM(O4:O31)</f>
        <v>127958</v>
      </c>
      <c r="P3" s="382">
        <f t="array" ref="P3">O3:O31/G3:G31*100</f>
        <v>57.495517921573736</v>
      </c>
      <c r="Q3" s="434">
        <f>SUM(Q4:Q31)</f>
        <v>65671</v>
      </c>
      <c r="R3" s="382">
        <f t="array" ref="R3">Q3:Q31/G3:G31*100</f>
        <v>29.508027301361921</v>
      </c>
      <c r="S3" s="434">
        <f>SUM(S4:S31)</f>
        <v>7771</v>
      </c>
      <c r="T3" s="382">
        <f>S3/G3*100</f>
        <v>3.4917525263645062</v>
      </c>
      <c r="U3" s="434">
        <f>SUM(U4:U31)</f>
        <v>9017</v>
      </c>
      <c r="V3" s="382">
        <f>U3/G3*100</f>
        <v>4.0516191648730864</v>
      </c>
      <c r="W3" s="113"/>
    </row>
    <row r="4" spans="1:23">
      <c r="A4" s="45" t="s">
        <v>61</v>
      </c>
      <c r="B4" s="112" t="s">
        <v>60</v>
      </c>
      <c r="C4" s="433">
        <v>266</v>
      </c>
      <c r="D4" s="433">
        <v>253</v>
      </c>
      <c r="E4" s="433">
        <f>D4/C4*100</f>
        <v>95.112781954887211</v>
      </c>
      <c r="F4" s="382"/>
      <c r="G4" s="434">
        <v>6061</v>
      </c>
      <c r="H4" s="383">
        <f t="shared" ref="H4:H31" si="1">G4/C4</f>
        <v>22.785714285714285</v>
      </c>
      <c r="I4" s="434">
        <v>5607</v>
      </c>
      <c r="J4" s="383">
        <f t="shared" ref="J4:J31" si="2">I4/D4</f>
        <v>22.162055335968379</v>
      </c>
      <c r="K4" s="434">
        <v>346</v>
      </c>
      <c r="L4" s="382">
        <f t="shared" ref="L4:L31" si="3">K4/G4*100</f>
        <v>5.7086289391189569</v>
      </c>
      <c r="M4" s="383">
        <f t="shared" ref="M4:M31" si="4">K4/C4</f>
        <v>1.3007518796992481</v>
      </c>
      <c r="N4" s="382">
        <f t="shared" ref="N4:N31" si="5">I4/G4*100</f>
        <v>92.509486883352594</v>
      </c>
      <c r="O4" s="434">
        <v>2508</v>
      </c>
      <c r="P4" s="382">
        <f t="array" ref="P4">O4:O32/G4:G32*100</f>
        <v>41.379310344827587</v>
      </c>
      <c r="Q4" s="434">
        <v>3099</v>
      </c>
      <c r="R4" s="382">
        <f t="array" ref="R4">Q4:Q32/G4:G32*100</f>
        <v>51.130176538524999</v>
      </c>
      <c r="S4" s="434">
        <v>30</v>
      </c>
      <c r="T4" s="382">
        <f t="shared" ref="T4:T31" si="6">S4/G4*100</f>
        <v>0.49496782709123904</v>
      </c>
      <c r="U4" s="434">
        <v>78</v>
      </c>
      <c r="V4" s="382">
        <f t="shared" ref="V4:V31" si="7">U4/G4*100</f>
        <v>1.2869163504372216</v>
      </c>
      <c r="W4" s="113"/>
    </row>
    <row r="5" spans="1:23">
      <c r="A5" s="45" t="s">
        <v>63</v>
      </c>
      <c r="B5" s="112" t="s">
        <v>64</v>
      </c>
      <c r="C5" s="433">
        <v>383</v>
      </c>
      <c r="D5" s="433">
        <v>375</v>
      </c>
      <c r="E5" s="433">
        <f t="shared" ref="E5:E31" si="8">D5/C5*100</f>
        <v>97.911227154046998</v>
      </c>
      <c r="F5" s="382"/>
      <c r="G5" s="434">
        <v>10370</v>
      </c>
      <c r="H5" s="383">
        <f t="shared" si="1"/>
        <v>27.075718015665796</v>
      </c>
      <c r="I5" s="434">
        <v>9980</v>
      </c>
      <c r="J5" s="383">
        <f t="shared" si="2"/>
        <v>26.613333333333333</v>
      </c>
      <c r="K5" s="434">
        <v>258</v>
      </c>
      <c r="L5" s="382">
        <f t="shared" si="3"/>
        <v>2.4879459980713596</v>
      </c>
      <c r="M5" s="383">
        <f t="shared" si="4"/>
        <v>0.67362924281984338</v>
      </c>
      <c r="N5" s="382">
        <f t="shared" si="5"/>
        <v>96.239151398264227</v>
      </c>
      <c r="O5" s="434">
        <v>4725</v>
      </c>
      <c r="P5" s="382">
        <f t="array" ref="P5">O5:O33/G5:G33*100</f>
        <v>45.564127290260366</v>
      </c>
      <c r="Q5" s="434">
        <v>5255</v>
      </c>
      <c r="R5" s="382">
        <f t="array" ref="R5">Q5:Q33/G5:G33*100</f>
        <v>50.675024108003853</v>
      </c>
      <c r="S5" s="434">
        <v>0</v>
      </c>
      <c r="T5" s="382">
        <f t="shared" si="6"/>
        <v>0</v>
      </c>
      <c r="U5" s="434">
        <v>132</v>
      </c>
      <c r="V5" s="382">
        <f t="shared" si="7"/>
        <v>1.2729026036644167</v>
      </c>
      <c r="W5" s="113"/>
    </row>
    <row r="6" spans="1:23">
      <c r="A6" s="45" t="s">
        <v>30</v>
      </c>
      <c r="B6" s="112" t="s">
        <v>66</v>
      </c>
      <c r="C6" s="433">
        <v>216</v>
      </c>
      <c r="D6" s="433">
        <v>187</v>
      </c>
      <c r="E6" s="433">
        <f t="shared" si="8"/>
        <v>86.574074074074076</v>
      </c>
      <c r="F6" s="382"/>
      <c r="G6" s="434">
        <v>5011</v>
      </c>
      <c r="H6" s="383">
        <f t="shared" si="1"/>
        <v>23.199074074074073</v>
      </c>
      <c r="I6" s="434">
        <v>2624</v>
      </c>
      <c r="J6" s="383">
        <f t="shared" si="2"/>
        <v>14.032085561497325</v>
      </c>
      <c r="K6" s="434">
        <v>190</v>
      </c>
      <c r="L6" s="382">
        <f t="shared" si="3"/>
        <v>3.7916583516264217</v>
      </c>
      <c r="M6" s="383">
        <f t="shared" si="4"/>
        <v>0.87962962962962965</v>
      </c>
      <c r="N6" s="382">
        <f t="shared" si="5"/>
        <v>52.364797445619637</v>
      </c>
      <c r="O6" s="434">
        <v>2395</v>
      </c>
      <c r="P6" s="382">
        <f t="array" ref="P6">O6:O34/G6:G34*100</f>
        <v>47.794851327080423</v>
      </c>
      <c r="Q6" s="434">
        <v>229</v>
      </c>
      <c r="R6" s="382">
        <f t="array" ref="R6">Q6:Q34/G6:G34*100</f>
        <v>4.5699461185392138</v>
      </c>
      <c r="S6" s="434">
        <v>2111</v>
      </c>
      <c r="T6" s="382">
        <f t="shared" si="6"/>
        <v>42.1273198962283</v>
      </c>
      <c r="U6" s="434">
        <v>86</v>
      </c>
      <c r="V6" s="382">
        <f t="shared" si="7"/>
        <v>1.7162243065256437</v>
      </c>
      <c r="W6" s="113"/>
    </row>
    <row r="7" spans="1:23">
      <c r="A7" s="45" t="s">
        <v>68</v>
      </c>
      <c r="B7" s="112" t="s">
        <v>69</v>
      </c>
      <c r="C7" s="433">
        <v>247</v>
      </c>
      <c r="D7" s="433">
        <v>205</v>
      </c>
      <c r="E7" s="433">
        <f t="shared" si="8"/>
        <v>82.995951417004051</v>
      </c>
      <c r="F7" s="382"/>
      <c r="G7" s="434">
        <v>3801</v>
      </c>
      <c r="H7" s="383">
        <f t="shared" si="1"/>
        <v>15.388663967611336</v>
      </c>
      <c r="I7" s="434">
        <v>2843</v>
      </c>
      <c r="J7" s="383">
        <f t="shared" si="2"/>
        <v>13.86829268292683</v>
      </c>
      <c r="K7" s="434">
        <v>296</v>
      </c>
      <c r="L7" s="382">
        <f t="shared" si="3"/>
        <v>7.7874243620099968</v>
      </c>
      <c r="M7" s="383">
        <f t="shared" si="4"/>
        <v>1.1983805668016194</v>
      </c>
      <c r="N7" s="382">
        <f t="shared" si="5"/>
        <v>74.796106287819001</v>
      </c>
      <c r="O7" s="434">
        <v>1649</v>
      </c>
      <c r="P7" s="382">
        <f t="array" ref="P7">O7:O35/G7:G35*100</f>
        <v>43.383320178900291</v>
      </c>
      <c r="Q7" s="434">
        <v>1194</v>
      </c>
      <c r="R7" s="382">
        <f t="array" ref="R7">Q7:Q35/G7:G35*100</f>
        <v>31.412786108918706</v>
      </c>
      <c r="S7" s="434">
        <v>41</v>
      </c>
      <c r="T7" s="382">
        <f t="shared" si="6"/>
        <v>1.0786635096027362</v>
      </c>
      <c r="U7" s="434">
        <v>621</v>
      </c>
      <c r="V7" s="382">
        <f t="shared" si="7"/>
        <v>16.337805840568269</v>
      </c>
      <c r="W7" s="113"/>
    </row>
    <row r="8" spans="1:23">
      <c r="A8" s="45" t="s">
        <v>71</v>
      </c>
      <c r="B8" s="112" t="s">
        <v>72</v>
      </c>
      <c r="C8" s="433">
        <v>38</v>
      </c>
      <c r="D8" s="433">
        <v>38</v>
      </c>
      <c r="E8" s="433">
        <f t="shared" si="8"/>
        <v>100</v>
      </c>
      <c r="F8" s="382"/>
      <c r="G8" s="434">
        <v>776</v>
      </c>
      <c r="H8" s="383">
        <f t="shared" si="1"/>
        <v>20.421052631578949</v>
      </c>
      <c r="I8" s="434">
        <v>749</v>
      </c>
      <c r="J8" s="383">
        <f t="shared" si="2"/>
        <v>19.710526315789473</v>
      </c>
      <c r="K8" s="434">
        <v>8</v>
      </c>
      <c r="L8" s="382">
        <f t="shared" si="3"/>
        <v>1.0309278350515463</v>
      </c>
      <c r="M8" s="383">
        <f t="shared" si="4"/>
        <v>0.21052631578947367</v>
      </c>
      <c r="N8" s="382">
        <f t="shared" si="5"/>
        <v>96.520618556701038</v>
      </c>
      <c r="O8" s="434">
        <v>266</v>
      </c>
      <c r="P8" s="382">
        <f t="array" ref="P8">O8:O36/G8:G36*100</f>
        <v>34.27835051546392</v>
      </c>
      <c r="Q8" s="434">
        <v>483</v>
      </c>
      <c r="R8" s="382">
        <f t="array" ref="R8">Q8:Q36/G8:G36*100</f>
        <v>62.242268041237111</v>
      </c>
      <c r="S8" s="434">
        <v>19</v>
      </c>
      <c r="T8" s="382">
        <f t="shared" si="6"/>
        <v>2.4484536082474229</v>
      </c>
      <c r="U8" s="434">
        <v>0</v>
      </c>
      <c r="V8" s="382">
        <f t="shared" si="7"/>
        <v>0</v>
      </c>
      <c r="W8" s="113"/>
    </row>
    <row r="9" spans="1:23">
      <c r="A9" s="45" t="s">
        <v>177</v>
      </c>
      <c r="B9" s="112" t="s">
        <v>74</v>
      </c>
      <c r="C9" s="433">
        <v>626</v>
      </c>
      <c r="D9" s="433">
        <v>503</v>
      </c>
      <c r="E9" s="433">
        <f t="shared" si="8"/>
        <v>80.351437699680503</v>
      </c>
      <c r="F9" s="382"/>
      <c r="G9" s="434">
        <v>15285</v>
      </c>
      <c r="H9" s="383">
        <f t="shared" si="1"/>
        <v>24.416932907348244</v>
      </c>
      <c r="I9" s="434">
        <v>14036</v>
      </c>
      <c r="J9" s="383">
        <f t="shared" si="2"/>
        <v>27.904572564612327</v>
      </c>
      <c r="K9" s="434">
        <v>582</v>
      </c>
      <c r="L9" s="382">
        <f t="shared" si="3"/>
        <v>3.8076545632973504</v>
      </c>
      <c r="M9" s="383">
        <f t="shared" si="4"/>
        <v>0.92971246006389774</v>
      </c>
      <c r="N9" s="382">
        <f t="shared" si="5"/>
        <v>91.828590121033699</v>
      </c>
      <c r="O9" s="434">
        <v>5697</v>
      </c>
      <c r="P9" s="382">
        <f t="array" ref="P9">O9:O37/G9:G37*100</f>
        <v>37.271835132482828</v>
      </c>
      <c r="Q9" s="434">
        <v>8339</v>
      </c>
      <c r="R9" s="382">
        <f t="array" ref="R9">Q9:Q37/G9:G37*100</f>
        <v>54.556754988550871</v>
      </c>
      <c r="S9" s="434">
        <v>282</v>
      </c>
      <c r="T9" s="382">
        <f t="shared" si="6"/>
        <v>1.8449460255152108</v>
      </c>
      <c r="U9" s="434">
        <v>385</v>
      </c>
      <c r="V9" s="382">
        <f t="shared" si="7"/>
        <v>2.5188092901537456</v>
      </c>
      <c r="W9" s="113"/>
    </row>
    <row r="10" spans="1:23">
      <c r="A10" s="45" t="s">
        <v>574</v>
      </c>
      <c r="B10" s="112" t="s">
        <v>76</v>
      </c>
      <c r="C10" s="433">
        <v>547</v>
      </c>
      <c r="D10" s="433">
        <v>507</v>
      </c>
      <c r="E10" s="433">
        <f t="shared" si="8"/>
        <v>92.687385740402192</v>
      </c>
      <c r="F10" s="382"/>
      <c r="G10" s="434">
        <v>12316</v>
      </c>
      <c r="H10" s="383">
        <f t="shared" si="1"/>
        <v>22.515539305301644</v>
      </c>
      <c r="I10" s="434">
        <v>11291</v>
      </c>
      <c r="J10" s="383">
        <f t="shared" si="2"/>
        <v>22.270216962524653</v>
      </c>
      <c r="K10" s="434">
        <v>663</v>
      </c>
      <c r="L10" s="382">
        <f t="shared" si="3"/>
        <v>5.3832413121143228</v>
      </c>
      <c r="M10" s="383">
        <f t="shared" si="4"/>
        <v>1.2120658135283364</v>
      </c>
      <c r="N10" s="382">
        <f t="shared" si="5"/>
        <v>91.677492692432608</v>
      </c>
      <c r="O10" s="434">
        <v>8455</v>
      </c>
      <c r="P10" s="382">
        <f t="array" ref="P10">O10:O38/G10:G38*100</f>
        <v>68.650535888275414</v>
      </c>
      <c r="Q10" s="434">
        <v>2836</v>
      </c>
      <c r="R10" s="382">
        <f t="array" ref="R10">Q10:Q38/G10:G38*100</f>
        <v>23.026956804157194</v>
      </c>
      <c r="S10" s="434">
        <v>65</v>
      </c>
      <c r="T10" s="382">
        <f t="shared" si="6"/>
        <v>0.52776875608963947</v>
      </c>
      <c r="U10" s="434">
        <v>297</v>
      </c>
      <c r="V10" s="382">
        <f t="shared" si="7"/>
        <v>2.4114972393634297</v>
      </c>
      <c r="W10" s="113"/>
    </row>
    <row r="11" spans="1:23">
      <c r="A11" s="45" t="s">
        <v>178</v>
      </c>
      <c r="B11" s="112" t="s">
        <v>78</v>
      </c>
      <c r="C11" s="433">
        <v>704</v>
      </c>
      <c r="D11" s="433">
        <v>539</v>
      </c>
      <c r="E11" s="433">
        <f t="shared" si="8"/>
        <v>76.5625</v>
      </c>
      <c r="F11" s="382"/>
      <c r="G11" s="434">
        <v>25453</v>
      </c>
      <c r="H11" s="383">
        <f t="shared" si="1"/>
        <v>36.154829545454547</v>
      </c>
      <c r="I11" s="434">
        <v>20848</v>
      </c>
      <c r="J11" s="383">
        <f t="shared" si="2"/>
        <v>38.679035250463819</v>
      </c>
      <c r="K11" s="434">
        <v>1322</v>
      </c>
      <c r="L11" s="382">
        <f t="shared" si="3"/>
        <v>5.1938867716968531</v>
      </c>
      <c r="M11" s="383">
        <f t="shared" si="4"/>
        <v>1.8778409090909092</v>
      </c>
      <c r="N11" s="382">
        <f t="shared" si="5"/>
        <v>81.907830118257181</v>
      </c>
      <c r="O11" s="434">
        <v>5125</v>
      </c>
      <c r="P11" s="382">
        <f t="array" ref="P11">O11:O39/G11:G39*100</f>
        <v>20.135151062743095</v>
      </c>
      <c r="Q11" s="434">
        <v>15723</v>
      </c>
      <c r="R11" s="382">
        <f t="array" ref="R11">Q11:Q39/G11:G39*100</f>
        <v>61.772679055514089</v>
      </c>
      <c r="S11" s="434">
        <v>777</v>
      </c>
      <c r="T11" s="382">
        <f t="shared" si="6"/>
        <v>3.0526853416100264</v>
      </c>
      <c r="U11" s="434">
        <v>2506</v>
      </c>
      <c r="V11" s="382">
        <f t="shared" si="7"/>
        <v>9.8455977684359404</v>
      </c>
      <c r="W11" s="113"/>
    </row>
    <row r="12" spans="1:23">
      <c r="A12" s="45" t="s">
        <v>80</v>
      </c>
      <c r="B12" s="112" t="s">
        <v>81</v>
      </c>
      <c r="C12" s="433">
        <v>130</v>
      </c>
      <c r="D12" s="433">
        <v>107</v>
      </c>
      <c r="E12" s="433">
        <f t="shared" si="8"/>
        <v>82.307692307692307</v>
      </c>
      <c r="F12" s="382"/>
      <c r="G12" s="434">
        <v>1600</v>
      </c>
      <c r="H12" s="383">
        <f t="shared" si="1"/>
        <v>12.307692307692308</v>
      </c>
      <c r="I12" s="434">
        <v>1398</v>
      </c>
      <c r="J12" s="383">
        <f t="shared" si="2"/>
        <v>13.065420560747663</v>
      </c>
      <c r="K12" s="434">
        <v>120</v>
      </c>
      <c r="L12" s="382">
        <f t="shared" si="3"/>
        <v>7.5</v>
      </c>
      <c r="M12" s="383">
        <f t="shared" si="4"/>
        <v>0.92307692307692313</v>
      </c>
      <c r="N12" s="382">
        <f t="shared" si="5"/>
        <v>87.375</v>
      </c>
      <c r="O12" s="434">
        <v>1317</v>
      </c>
      <c r="P12" s="382">
        <f t="array" ref="P12">O12:O40/G12:G40*100</f>
        <v>82.3125</v>
      </c>
      <c r="Q12" s="434">
        <v>81</v>
      </c>
      <c r="R12" s="382">
        <f t="array" ref="R12">Q12:Q40/G12:G40*100</f>
        <v>5.0625</v>
      </c>
      <c r="S12" s="434">
        <v>0</v>
      </c>
      <c r="T12" s="382">
        <f t="shared" si="6"/>
        <v>0</v>
      </c>
      <c r="U12" s="434">
        <v>82</v>
      </c>
      <c r="V12" s="382">
        <f t="shared" si="7"/>
        <v>5.125</v>
      </c>
      <c r="W12" s="113"/>
    </row>
    <row r="13" spans="1:23">
      <c r="A13" s="45" t="s">
        <v>575</v>
      </c>
      <c r="B13" s="112" t="s">
        <v>83</v>
      </c>
      <c r="C13" s="433">
        <v>517</v>
      </c>
      <c r="D13" s="433">
        <v>503</v>
      </c>
      <c r="E13" s="433">
        <f t="shared" si="8"/>
        <v>97.292069632495156</v>
      </c>
      <c r="F13" s="382"/>
      <c r="G13" s="434">
        <v>12337</v>
      </c>
      <c r="H13" s="383">
        <f t="shared" si="1"/>
        <v>23.862669245647968</v>
      </c>
      <c r="I13" s="434">
        <v>11239</v>
      </c>
      <c r="J13" s="383">
        <f t="shared" si="2"/>
        <v>22.343936381709742</v>
      </c>
      <c r="K13" s="434">
        <v>927</v>
      </c>
      <c r="L13" s="382">
        <f t="shared" si="3"/>
        <v>7.5139823295776926</v>
      </c>
      <c r="M13" s="383">
        <f t="shared" si="4"/>
        <v>1.7930367504835589</v>
      </c>
      <c r="N13" s="382">
        <f t="shared" si="5"/>
        <v>91.099943260111857</v>
      </c>
      <c r="O13" s="434">
        <v>6606</v>
      </c>
      <c r="P13" s="382">
        <f t="array" ref="P13">O13:O41/G13:G41*100</f>
        <v>53.546243008835212</v>
      </c>
      <c r="Q13" s="434">
        <v>4633</v>
      </c>
      <c r="R13" s="382">
        <f t="array" ref="R13">Q13:Q41/G13:G41*100</f>
        <v>37.553700251276645</v>
      </c>
      <c r="S13" s="434">
        <v>34</v>
      </c>
      <c r="T13" s="382">
        <f t="shared" si="6"/>
        <v>0.27559374240090784</v>
      </c>
      <c r="U13" s="434">
        <v>137</v>
      </c>
      <c r="V13" s="382">
        <f t="shared" si="7"/>
        <v>1.1104806679095403</v>
      </c>
      <c r="W13" s="113"/>
    </row>
    <row r="14" spans="1:23">
      <c r="A14" s="45" t="s">
        <v>85</v>
      </c>
      <c r="B14" s="112" t="s">
        <v>86</v>
      </c>
      <c r="C14" s="433">
        <v>216</v>
      </c>
      <c r="D14" s="433">
        <v>214</v>
      </c>
      <c r="E14" s="433">
        <f t="shared" si="8"/>
        <v>99.074074074074076</v>
      </c>
      <c r="F14" s="382"/>
      <c r="G14" s="434">
        <v>4274</v>
      </c>
      <c r="H14" s="383">
        <f t="shared" si="1"/>
        <v>19.787037037037038</v>
      </c>
      <c r="I14" s="434">
        <v>3875</v>
      </c>
      <c r="J14" s="383">
        <f t="shared" si="2"/>
        <v>18.107476635514018</v>
      </c>
      <c r="K14" s="434">
        <v>299</v>
      </c>
      <c r="L14" s="382">
        <f t="shared" si="3"/>
        <v>6.9957884885353305</v>
      </c>
      <c r="M14" s="383">
        <f t="shared" si="4"/>
        <v>1.3842592592592593</v>
      </c>
      <c r="N14" s="382">
        <f t="shared" si="5"/>
        <v>90.664482919981282</v>
      </c>
      <c r="O14" s="434">
        <v>3592</v>
      </c>
      <c r="P14" s="382">
        <f t="array" ref="P14">O14:O42/G14:G42*100</f>
        <v>84.043051006083289</v>
      </c>
      <c r="Q14" s="434">
        <v>283</v>
      </c>
      <c r="R14" s="382">
        <f t="array" ref="R14">Q14:Q42/G14:G42*100</f>
        <v>6.6214319138979878</v>
      </c>
      <c r="S14" s="434">
        <v>75</v>
      </c>
      <c r="T14" s="382">
        <f t="shared" si="6"/>
        <v>1.7547964436125409</v>
      </c>
      <c r="U14" s="434">
        <v>25</v>
      </c>
      <c r="V14" s="382">
        <f t="shared" si="7"/>
        <v>0.58493214787084702</v>
      </c>
      <c r="W14" s="113"/>
    </row>
    <row r="15" spans="1:23">
      <c r="A15" s="45" t="s">
        <v>532</v>
      </c>
      <c r="B15" s="112" t="s">
        <v>546</v>
      </c>
      <c r="C15" s="433">
        <v>1138</v>
      </c>
      <c r="D15" s="433">
        <v>1116</v>
      </c>
      <c r="E15" s="433">
        <f t="shared" si="8"/>
        <v>98.066783831282962</v>
      </c>
      <c r="F15" s="382"/>
      <c r="G15" s="434">
        <v>30576</v>
      </c>
      <c r="H15" s="383">
        <f t="shared" si="1"/>
        <v>26.868189806678384</v>
      </c>
      <c r="I15" s="434">
        <v>28695</v>
      </c>
      <c r="J15" s="383">
        <f t="shared" si="2"/>
        <v>25.712365591397848</v>
      </c>
      <c r="K15" s="434">
        <v>1499</v>
      </c>
      <c r="L15" s="382">
        <f t="shared" si="3"/>
        <v>4.9025379382522241</v>
      </c>
      <c r="M15" s="383">
        <f t="shared" si="4"/>
        <v>1.3172231985940246</v>
      </c>
      <c r="N15" s="382">
        <f t="shared" si="5"/>
        <v>93.848116169544738</v>
      </c>
      <c r="O15" s="434">
        <v>20071</v>
      </c>
      <c r="P15" s="382">
        <f t="array" ref="P15">O15:O43/G15:G43*100</f>
        <v>65.642987964416534</v>
      </c>
      <c r="Q15" s="434">
        <v>8624</v>
      </c>
      <c r="R15" s="382">
        <f t="array" ref="R15">Q15:Q43/G15:G43*100</f>
        <v>28.205128205128204</v>
      </c>
      <c r="S15" s="434">
        <v>141</v>
      </c>
      <c r="T15" s="382">
        <f t="shared" si="6"/>
        <v>0.46114599686028257</v>
      </c>
      <c r="U15" s="434">
        <v>244</v>
      </c>
      <c r="V15" s="382">
        <f t="shared" si="7"/>
        <v>0.79801151229722656</v>
      </c>
      <c r="W15" s="113"/>
    </row>
    <row r="16" spans="1:23">
      <c r="A16" s="45" t="s">
        <v>188</v>
      </c>
      <c r="B16" s="112" t="s">
        <v>88</v>
      </c>
      <c r="C16" s="433">
        <v>338</v>
      </c>
      <c r="D16" s="433">
        <v>337</v>
      </c>
      <c r="E16" s="433">
        <f t="shared" si="8"/>
        <v>99.704142011834321</v>
      </c>
      <c r="F16" s="382"/>
      <c r="G16" s="434">
        <v>6886</v>
      </c>
      <c r="H16" s="383">
        <f t="shared" si="1"/>
        <v>20.372781065088759</v>
      </c>
      <c r="I16" s="434">
        <v>6397</v>
      </c>
      <c r="J16" s="383">
        <f t="shared" si="2"/>
        <v>18.98219584569733</v>
      </c>
      <c r="K16" s="434">
        <v>453</v>
      </c>
      <c r="L16" s="382">
        <f t="shared" si="3"/>
        <v>6.5785652047632883</v>
      </c>
      <c r="M16" s="383">
        <f t="shared" si="4"/>
        <v>1.3402366863905326</v>
      </c>
      <c r="N16" s="382">
        <f t="shared" si="5"/>
        <v>92.898634911414462</v>
      </c>
      <c r="O16" s="434">
        <v>5886</v>
      </c>
      <c r="P16" s="382">
        <f t="array" ref="P16">O16:O44/G16:G44*100</f>
        <v>85.477781004937555</v>
      </c>
      <c r="Q16" s="434">
        <v>511</v>
      </c>
      <c r="R16" s="382">
        <f t="array" ref="R16">Q16:Q44/G16:G44*100</f>
        <v>7.4208539064769097</v>
      </c>
      <c r="S16" s="434">
        <v>33</v>
      </c>
      <c r="T16" s="382">
        <f t="shared" si="6"/>
        <v>0.47923322683706071</v>
      </c>
      <c r="U16" s="434">
        <v>3</v>
      </c>
      <c r="V16" s="382">
        <f t="shared" si="7"/>
        <v>4.3566656985187337E-2</v>
      </c>
      <c r="W16" s="113"/>
    </row>
    <row r="17" spans="1:23">
      <c r="A17" s="45" t="s">
        <v>92</v>
      </c>
      <c r="B17" s="112" t="s">
        <v>93</v>
      </c>
      <c r="C17" s="433">
        <v>30</v>
      </c>
      <c r="D17" s="433">
        <v>29</v>
      </c>
      <c r="E17" s="433">
        <f t="shared" si="8"/>
        <v>96.666666666666671</v>
      </c>
      <c r="F17" s="382"/>
      <c r="G17" s="434">
        <v>743</v>
      </c>
      <c r="H17" s="383">
        <f t="shared" si="1"/>
        <v>24.766666666666666</v>
      </c>
      <c r="I17" s="434">
        <v>718</v>
      </c>
      <c r="J17" s="383">
        <f t="shared" si="2"/>
        <v>24.758620689655171</v>
      </c>
      <c r="K17" s="434">
        <v>1</v>
      </c>
      <c r="L17" s="382">
        <f t="shared" si="3"/>
        <v>0.13458950201884254</v>
      </c>
      <c r="M17" s="383">
        <f t="shared" si="4"/>
        <v>3.3333333333333333E-2</v>
      </c>
      <c r="N17" s="382">
        <f t="shared" si="5"/>
        <v>96.635262449528938</v>
      </c>
      <c r="O17" s="434">
        <v>383</v>
      </c>
      <c r="P17" s="382">
        <f t="array" ref="P17">O17:O45/G17:G45*100</f>
        <v>51.54777927321669</v>
      </c>
      <c r="Q17" s="434">
        <v>335</v>
      </c>
      <c r="R17" s="382">
        <f t="array" ref="R17">Q17:Q45/G17:G45*100</f>
        <v>45.087483176312247</v>
      </c>
      <c r="S17" s="434">
        <v>18</v>
      </c>
      <c r="T17" s="382">
        <f t="shared" si="6"/>
        <v>2.4226110363391657</v>
      </c>
      <c r="U17" s="434">
        <v>6</v>
      </c>
      <c r="V17" s="382">
        <f t="shared" si="7"/>
        <v>0.80753701211305517</v>
      </c>
      <c r="W17" s="113"/>
    </row>
    <row r="18" spans="1:23">
      <c r="A18" s="45" t="s">
        <v>95</v>
      </c>
      <c r="B18" s="112" t="s">
        <v>96</v>
      </c>
      <c r="C18" s="433">
        <v>73</v>
      </c>
      <c r="D18" s="433">
        <v>73</v>
      </c>
      <c r="E18" s="433">
        <f t="shared" si="8"/>
        <v>100</v>
      </c>
      <c r="F18" s="382"/>
      <c r="G18" s="434">
        <v>2506</v>
      </c>
      <c r="H18" s="383">
        <f t="shared" si="1"/>
        <v>34.328767123287669</v>
      </c>
      <c r="I18" s="434">
        <v>2502</v>
      </c>
      <c r="J18" s="383">
        <f t="shared" si="2"/>
        <v>34.273972602739725</v>
      </c>
      <c r="K18" s="434">
        <v>2</v>
      </c>
      <c r="L18" s="382">
        <f t="shared" si="3"/>
        <v>7.9808459696727854E-2</v>
      </c>
      <c r="M18" s="383">
        <f t="shared" si="4"/>
        <v>2.7397260273972601E-2</v>
      </c>
      <c r="N18" s="382">
        <f t="shared" si="5"/>
        <v>99.840383080606543</v>
      </c>
      <c r="O18" s="434">
        <v>648</v>
      </c>
      <c r="P18" s="382">
        <f t="array" ref="P18">O18:O46/G18:G46*100</f>
        <v>25.857940941739827</v>
      </c>
      <c r="Q18" s="434">
        <v>1854</v>
      </c>
      <c r="R18" s="382">
        <f t="array" ref="R18">Q18:Q46/G18:G46*100</f>
        <v>73.982442138866716</v>
      </c>
      <c r="S18" s="434">
        <v>2</v>
      </c>
      <c r="T18" s="382">
        <f t="shared" si="6"/>
        <v>7.9808459696727854E-2</v>
      </c>
      <c r="U18" s="434">
        <v>0</v>
      </c>
      <c r="V18" s="382">
        <f t="shared" si="7"/>
        <v>0</v>
      </c>
      <c r="W18" s="113"/>
    </row>
    <row r="19" spans="1:23">
      <c r="A19" s="45" t="s">
        <v>98</v>
      </c>
      <c r="B19" s="112" t="s">
        <v>99</v>
      </c>
      <c r="C19" s="433">
        <v>42</v>
      </c>
      <c r="D19" s="433">
        <v>42</v>
      </c>
      <c r="E19" s="433">
        <f t="shared" si="8"/>
        <v>100</v>
      </c>
      <c r="F19" s="382"/>
      <c r="G19" s="434">
        <v>714</v>
      </c>
      <c r="H19" s="383">
        <f t="shared" si="1"/>
        <v>17</v>
      </c>
      <c r="I19" s="434">
        <v>712</v>
      </c>
      <c r="J19" s="383">
        <f t="shared" si="2"/>
        <v>16.952380952380953</v>
      </c>
      <c r="K19" s="434">
        <v>2</v>
      </c>
      <c r="L19" s="382">
        <f t="shared" si="3"/>
        <v>0.28011204481792717</v>
      </c>
      <c r="M19" s="383">
        <f t="shared" si="4"/>
        <v>4.7619047619047616E-2</v>
      </c>
      <c r="N19" s="382">
        <f t="shared" si="5"/>
        <v>99.719887955182074</v>
      </c>
      <c r="O19" s="434">
        <v>692</v>
      </c>
      <c r="P19" s="382">
        <f t="array" ref="P19">O19:O47/G19:G47*100</f>
        <v>96.918767507002798</v>
      </c>
      <c r="Q19" s="434">
        <v>20</v>
      </c>
      <c r="R19" s="382">
        <f t="array" ref="R19">Q19:Q47/G19:G47*100</f>
        <v>2.801120448179272</v>
      </c>
      <c r="S19" s="434">
        <v>0</v>
      </c>
      <c r="T19" s="382">
        <f t="shared" si="6"/>
        <v>0</v>
      </c>
      <c r="U19" s="434">
        <v>0</v>
      </c>
      <c r="V19" s="382">
        <f t="shared" si="7"/>
        <v>0</v>
      </c>
      <c r="W19" s="113"/>
    </row>
    <row r="20" spans="1:23">
      <c r="A20" s="45" t="s">
        <v>101</v>
      </c>
      <c r="B20" s="112" t="s">
        <v>102</v>
      </c>
      <c r="C20" s="433">
        <v>351</v>
      </c>
      <c r="D20" s="433">
        <v>207</v>
      </c>
      <c r="E20" s="433">
        <f t="shared" si="8"/>
        <v>58.974358974358978</v>
      </c>
      <c r="F20" s="382"/>
      <c r="G20" s="434">
        <v>8640</v>
      </c>
      <c r="H20" s="383">
        <f t="shared" si="1"/>
        <v>24.615384615384617</v>
      </c>
      <c r="I20" s="434">
        <v>7241</v>
      </c>
      <c r="J20" s="383">
        <f t="shared" si="2"/>
        <v>34.980676328502419</v>
      </c>
      <c r="K20" s="434">
        <v>549</v>
      </c>
      <c r="L20" s="382">
        <f t="shared" si="3"/>
        <v>6.3541666666666661</v>
      </c>
      <c r="M20" s="383">
        <f t="shared" si="4"/>
        <v>1.5641025641025641</v>
      </c>
      <c r="N20" s="382">
        <f t="shared" si="5"/>
        <v>83.807870370370381</v>
      </c>
      <c r="O20" s="434">
        <v>7032</v>
      </c>
      <c r="P20" s="382">
        <f t="array" ref="P20">O20:O48/G20:G48*100</f>
        <v>81.388888888888886</v>
      </c>
      <c r="Q20" s="434">
        <v>209</v>
      </c>
      <c r="R20" s="382">
        <f t="array" ref="R20">Q20:Q48/G20:G48*100</f>
        <v>2.4189814814814814</v>
      </c>
      <c r="S20" s="434">
        <v>87</v>
      </c>
      <c r="T20" s="382">
        <f t="shared" si="6"/>
        <v>1.0069444444444444</v>
      </c>
      <c r="U20" s="434">
        <v>763</v>
      </c>
      <c r="V20" s="382">
        <f t="shared" si="7"/>
        <v>8.831018518518519</v>
      </c>
      <c r="W20" s="113"/>
    </row>
    <row r="21" spans="1:23">
      <c r="A21" s="45" t="s">
        <v>104</v>
      </c>
      <c r="B21" s="112" t="s">
        <v>105</v>
      </c>
      <c r="C21" s="433">
        <v>299</v>
      </c>
      <c r="D21" s="433">
        <v>294</v>
      </c>
      <c r="E21" s="433">
        <f t="shared" si="8"/>
        <v>98.327759197324411</v>
      </c>
      <c r="F21" s="382"/>
      <c r="G21" s="434">
        <v>6017</v>
      </c>
      <c r="H21" s="383">
        <f t="shared" si="1"/>
        <v>20.123745819397993</v>
      </c>
      <c r="I21" s="434">
        <v>5473</v>
      </c>
      <c r="J21" s="383">
        <f t="shared" si="2"/>
        <v>18.6156462585034</v>
      </c>
      <c r="K21" s="434">
        <v>478</v>
      </c>
      <c r="L21" s="382">
        <f t="shared" si="3"/>
        <v>7.9441582183812534</v>
      </c>
      <c r="M21" s="383">
        <f t="shared" si="4"/>
        <v>1.5986622073578596</v>
      </c>
      <c r="N21" s="382">
        <f t="shared" si="5"/>
        <v>90.958949642679073</v>
      </c>
      <c r="O21" s="434">
        <v>5402</v>
      </c>
      <c r="P21" s="382">
        <f t="array" ref="P21">O21:O49/G21:G49*100</f>
        <v>89.778959614425787</v>
      </c>
      <c r="Q21" s="434">
        <v>71</v>
      </c>
      <c r="R21" s="382">
        <f t="array" ref="R21">Q21:Q49/G21:G49*100</f>
        <v>1.1799900282532825</v>
      </c>
      <c r="S21" s="434">
        <v>13</v>
      </c>
      <c r="T21" s="382">
        <f t="shared" si="6"/>
        <v>0.21605451221538974</v>
      </c>
      <c r="U21" s="434">
        <v>53</v>
      </c>
      <c r="V21" s="382">
        <f t="shared" si="7"/>
        <v>0.88083762672428123</v>
      </c>
      <c r="W21" s="113"/>
    </row>
    <row r="22" spans="1:23">
      <c r="A22" s="45" t="s">
        <v>107</v>
      </c>
      <c r="B22" s="112" t="s">
        <v>108</v>
      </c>
      <c r="C22" s="433">
        <v>325</v>
      </c>
      <c r="D22" s="433">
        <v>304</v>
      </c>
      <c r="E22" s="433">
        <f t="shared" si="8"/>
        <v>93.538461538461533</v>
      </c>
      <c r="F22" s="382"/>
      <c r="G22" s="434">
        <v>4731</v>
      </c>
      <c r="H22" s="383">
        <f t="shared" si="1"/>
        <v>14.556923076923077</v>
      </c>
      <c r="I22" s="434">
        <v>4175</v>
      </c>
      <c r="J22" s="383">
        <f t="shared" si="2"/>
        <v>13.733552631578947</v>
      </c>
      <c r="K22" s="434">
        <v>408</v>
      </c>
      <c r="L22" s="382">
        <f t="shared" si="3"/>
        <v>8.6239695624603687</v>
      </c>
      <c r="M22" s="383">
        <f t="shared" si="4"/>
        <v>1.2553846153846153</v>
      </c>
      <c r="N22" s="382">
        <f t="shared" si="5"/>
        <v>88.247727753117729</v>
      </c>
      <c r="O22" s="434">
        <v>4175</v>
      </c>
      <c r="P22" s="382">
        <f t="array" ref="P22">O22:O50/G22:G50*100</f>
        <v>88.247727753117729</v>
      </c>
      <c r="Q22" s="434">
        <v>0</v>
      </c>
      <c r="R22" s="382">
        <f t="array" ref="R22">Q22:Q50/G22:G50*100</f>
        <v>0</v>
      </c>
      <c r="S22" s="434">
        <v>0</v>
      </c>
      <c r="T22" s="382">
        <f t="shared" si="6"/>
        <v>0</v>
      </c>
      <c r="U22" s="434">
        <v>148</v>
      </c>
      <c r="V22" s="382">
        <f t="shared" si="7"/>
        <v>3.128302684421898</v>
      </c>
      <c r="W22" s="113"/>
    </row>
    <row r="23" spans="1:23">
      <c r="A23" s="45" t="s">
        <v>110</v>
      </c>
      <c r="B23" s="112" t="s">
        <v>109</v>
      </c>
      <c r="C23" s="433">
        <v>334</v>
      </c>
      <c r="D23" s="433">
        <v>323</v>
      </c>
      <c r="E23" s="433">
        <f t="shared" si="8"/>
        <v>96.706586826347305</v>
      </c>
      <c r="F23" s="382"/>
      <c r="G23" s="434">
        <v>7085</v>
      </c>
      <c r="H23" s="383">
        <f t="shared" si="1"/>
        <v>21.212574850299401</v>
      </c>
      <c r="I23" s="434">
        <v>6532</v>
      </c>
      <c r="J23" s="383">
        <f t="shared" si="2"/>
        <v>20.222910216718265</v>
      </c>
      <c r="K23" s="434">
        <v>492</v>
      </c>
      <c r="L23" s="382">
        <f t="shared" si="3"/>
        <v>6.9442484121383208</v>
      </c>
      <c r="M23" s="383">
        <f t="shared" si="4"/>
        <v>1.4730538922155689</v>
      </c>
      <c r="N23" s="382">
        <f t="shared" si="5"/>
        <v>92.194777699364863</v>
      </c>
      <c r="O23" s="434">
        <v>6532</v>
      </c>
      <c r="P23" s="382">
        <f t="array" ref="P23">O23:O51/G23:G51*100</f>
        <v>92.194777699364863</v>
      </c>
      <c r="Q23" s="434">
        <v>0</v>
      </c>
      <c r="R23" s="382">
        <f t="array" ref="R23">Q23:Q51/G23:G51*100</f>
        <v>0</v>
      </c>
      <c r="S23" s="434">
        <v>3</v>
      </c>
      <c r="T23" s="382">
        <f t="shared" si="6"/>
        <v>4.2342978122794639E-2</v>
      </c>
      <c r="U23" s="434">
        <v>58</v>
      </c>
      <c r="V23" s="382">
        <f t="shared" si="7"/>
        <v>0.81863091037402969</v>
      </c>
      <c r="W23" s="113"/>
    </row>
    <row r="24" spans="1:23">
      <c r="A24" s="45" t="s">
        <v>112</v>
      </c>
      <c r="B24" s="112" t="s">
        <v>113</v>
      </c>
      <c r="C24" s="433">
        <v>936</v>
      </c>
      <c r="D24" s="433">
        <v>703</v>
      </c>
      <c r="E24" s="433">
        <f t="shared" si="8"/>
        <v>75.106837606837601</v>
      </c>
      <c r="F24" s="382"/>
      <c r="G24" s="434">
        <v>25028</v>
      </c>
      <c r="H24" s="383">
        <f t="shared" si="1"/>
        <v>26.739316239316238</v>
      </c>
      <c r="I24" s="434">
        <v>18044</v>
      </c>
      <c r="J24" s="383">
        <f t="shared" si="2"/>
        <v>25.667140825035563</v>
      </c>
      <c r="K24" s="434">
        <v>1324</v>
      </c>
      <c r="L24" s="382">
        <f t="shared" si="3"/>
        <v>5.2900751158702253</v>
      </c>
      <c r="M24" s="383">
        <f t="shared" si="4"/>
        <v>1.4145299145299146</v>
      </c>
      <c r="N24" s="382">
        <f t="shared" si="5"/>
        <v>72.095253316285763</v>
      </c>
      <c r="O24" s="434">
        <v>10548</v>
      </c>
      <c r="P24" s="382">
        <f t="array" ref="P24">O24:O52/G24:G52*100</f>
        <v>42.144797826434392</v>
      </c>
      <c r="Q24" s="434">
        <v>7496</v>
      </c>
      <c r="R24" s="382">
        <f t="array" ref="R24">Q24:Q52/G24:G52*100</f>
        <v>29.950455489851368</v>
      </c>
      <c r="S24" s="434">
        <v>3660</v>
      </c>
      <c r="T24" s="382">
        <f t="shared" si="6"/>
        <v>14.623621543870865</v>
      </c>
      <c r="U24" s="434">
        <v>2000</v>
      </c>
      <c r="V24" s="382">
        <f t="shared" si="7"/>
        <v>7.9910500239731492</v>
      </c>
      <c r="W24" s="113"/>
    </row>
    <row r="25" spans="1:23">
      <c r="A25" s="45" t="s">
        <v>115</v>
      </c>
      <c r="B25" s="112" t="s">
        <v>116</v>
      </c>
      <c r="C25" s="433">
        <v>246</v>
      </c>
      <c r="D25" s="433">
        <v>205</v>
      </c>
      <c r="E25" s="433">
        <f t="shared" si="8"/>
        <v>83.333333333333343</v>
      </c>
      <c r="F25" s="382"/>
      <c r="G25" s="434">
        <v>7462</v>
      </c>
      <c r="H25" s="383">
        <f t="shared" si="1"/>
        <v>30.333333333333332</v>
      </c>
      <c r="I25" s="434">
        <v>6455</v>
      </c>
      <c r="J25" s="383">
        <f t="shared" si="2"/>
        <v>31.487804878048781</v>
      </c>
      <c r="K25" s="434">
        <v>396</v>
      </c>
      <c r="L25" s="382">
        <f t="shared" si="3"/>
        <v>5.3068882337175021</v>
      </c>
      <c r="M25" s="383">
        <f t="shared" si="4"/>
        <v>1.6097560975609757</v>
      </c>
      <c r="N25" s="382">
        <f t="shared" si="5"/>
        <v>86.504958456177974</v>
      </c>
      <c r="O25" s="434">
        <v>6455</v>
      </c>
      <c r="P25" s="382">
        <f t="array" ref="P25">O25:O53/G25:G53*100</f>
        <v>86.504958456177974</v>
      </c>
      <c r="Q25" s="434">
        <v>0</v>
      </c>
      <c r="R25" s="382">
        <f t="array" ref="R25">Q25:Q53/G25:G53*100</f>
        <v>0</v>
      </c>
      <c r="S25" s="434">
        <v>247</v>
      </c>
      <c r="T25" s="382">
        <f t="shared" si="6"/>
        <v>3.3101045296167246</v>
      </c>
      <c r="U25" s="434">
        <v>364</v>
      </c>
      <c r="V25" s="382">
        <f t="shared" si="7"/>
        <v>4.8780487804878048</v>
      </c>
      <c r="W25" s="113"/>
    </row>
    <row r="26" spans="1:23">
      <c r="A26" s="45" t="s">
        <v>118</v>
      </c>
      <c r="B26" s="112" t="s">
        <v>119</v>
      </c>
      <c r="C26" s="433">
        <v>264</v>
      </c>
      <c r="D26" s="433">
        <v>192</v>
      </c>
      <c r="E26" s="433">
        <f t="shared" si="8"/>
        <v>72.727272727272734</v>
      </c>
      <c r="F26" s="382"/>
      <c r="G26" s="434">
        <v>8354</v>
      </c>
      <c r="H26" s="383">
        <f t="shared" si="1"/>
        <v>31.643939393939394</v>
      </c>
      <c r="I26" s="434">
        <v>6809</v>
      </c>
      <c r="J26" s="383">
        <f t="shared" si="2"/>
        <v>35.463541666666664</v>
      </c>
      <c r="K26" s="434">
        <v>778</v>
      </c>
      <c r="L26" s="382">
        <f t="shared" si="3"/>
        <v>9.3129039980847494</v>
      </c>
      <c r="M26" s="383">
        <f t="shared" si="4"/>
        <v>2.9469696969696968</v>
      </c>
      <c r="N26" s="382">
        <f t="shared" si="5"/>
        <v>81.505865453674886</v>
      </c>
      <c r="O26" s="434">
        <v>5966</v>
      </c>
      <c r="P26" s="382">
        <f t="array" ref="P26">O26:O54/G26:G54*100</f>
        <v>71.414891070146041</v>
      </c>
      <c r="Q26" s="434">
        <v>843</v>
      </c>
      <c r="R26" s="382">
        <f t="array" ref="R26">Q26:Q54/G26:G54*100</f>
        <v>10.090974383528849</v>
      </c>
      <c r="S26" s="434">
        <v>51</v>
      </c>
      <c r="T26" s="382">
        <f t="shared" si="6"/>
        <v>0.61048599473306198</v>
      </c>
      <c r="U26" s="434">
        <v>716</v>
      </c>
      <c r="V26" s="382">
        <f t="shared" si="7"/>
        <v>8.5707445535073017</v>
      </c>
      <c r="W26" s="113"/>
    </row>
    <row r="27" spans="1:23">
      <c r="A27" s="45" t="s">
        <v>121</v>
      </c>
      <c r="B27" s="112" t="s">
        <v>122</v>
      </c>
      <c r="C27" s="433">
        <v>42</v>
      </c>
      <c r="D27" s="433">
        <v>32</v>
      </c>
      <c r="E27" s="433">
        <f t="shared" si="8"/>
        <v>76.19047619047619</v>
      </c>
      <c r="F27" s="382"/>
      <c r="G27" s="434">
        <v>805</v>
      </c>
      <c r="H27" s="383">
        <f t="shared" si="1"/>
        <v>19.166666666666668</v>
      </c>
      <c r="I27" s="434">
        <v>760</v>
      </c>
      <c r="J27" s="383">
        <f t="shared" si="2"/>
        <v>23.75</v>
      </c>
      <c r="K27" s="434">
        <v>22</v>
      </c>
      <c r="L27" s="382">
        <f t="shared" si="3"/>
        <v>2.7329192546583849</v>
      </c>
      <c r="M27" s="383">
        <f t="shared" si="4"/>
        <v>0.52380952380952384</v>
      </c>
      <c r="N27" s="382">
        <f t="shared" si="5"/>
        <v>94.409937888198755</v>
      </c>
      <c r="O27" s="434">
        <v>110</v>
      </c>
      <c r="P27" s="382">
        <f t="array" ref="P27">O27:O55/G27:G55*100</f>
        <v>13.664596273291925</v>
      </c>
      <c r="Q27" s="434">
        <v>650</v>
      </c>
      <c r="R27" s="382">
        <f t="array" ref="R27">Q27:Q55/G27:G55*100</f>
        <v>80.745341614906835</v>
      </c>
      <c r="S27" s="434">
        <v>0</v>
      </c>
      <c r="T27" s="382">
        <f t="shared" si="6"/>
        <v>0</v>
      </c>
      <c r="U27" s="434">
        <v>23</v>
      </c>
      <c r="V27" s="382">
        <f t="shared" si="7"/>
        <v>2.8571428571428572</v>
      </c>
      <c r="W27" s="113"/>
    </row>
    <row r="28" spans="1:23">
      <c r="A28" s="45" t="s">
        <v>124</v>
      </c>
      <c r="B28" s="112" t="s">
        <v>125</v>
      </c>
      <c r="C28" s="433">
        <v>36</v>
      </c>
      <c r="D28" s="433">
        <v>36</v>
      </c>
      <c r="E28" s="433">
        <f t="shared" si="8"/>
        <v>100</v>
      </c>
      <c r="F28" s="382"/>
      <c r="G28" s="434">
        <v>678</v>
      </c>
      <c r="H28" s="383">
        <f t="shared" si="1"/>
        <v>18.833333333333332</v>
      </c>
      <c r="I28" s="434">
        <v>677</v>
      </c>
      <c r="J28" s="383">
        <f t="shared" si="2"/>
        <v>18.805555555555557</v>
      </c>
      <c r="K28" s="434">
        <v>1</v>
      </c>
      <c r="L28" s="382">
        <f t="shared" si="3"/>
        <v>0.14749262536873156</v>
      </c>
      <c r="M28" s="383">
        <f t="shared" si="4"/>
        <v>2.7777777777777776E-2</v>
      </c>
      <c r="N28" s="382">
        <f t="shared" si="5"/>
        <v>99.852507374631273</v>
      </c>
      <c r="O28" s="434">
        <v>677</v>
      </c>
      <c r="P28" s="382">
        <f t="array" ref="P28">O28:O56/G28:G56*100</f>
        <v>99.852507374631273</v>
      </c>
      <c r="Q28" s="434">
        <v>0</v>
      </c>
      <c r="R28" s="382">
        <f t="array" ref="R28">Q28:Q56/G28:G56*100</f>
        <v>0</v>
      </c>
      <c r="S28" s="434">
        <v>0</v>
      </c>
      <c r="T28" s="382">
        <f t="shared" si="6"/>
        <v>0</v>
      </c>
      <c r="U28" s="434">
        <v>0</v>
      </c>
      <c r="V28" s="382">
        <f t="shared" si="7"/>
        <v>0</v>
      </c>
      <c r="W28" s="113"/>
    </row>
    <row r="29" spans="1:23">
      <c r="A29" s="45" t="s">
        <v>127</v>
      </c>
      <c r="B29" s="112" t="s">
        <v>128</v>
      </c>
      <c r="C29" s="433">
        <v>454</v>
      </c>
      <c r="D29" s="433">
        <v>445</v>
      </c>
      <c r="E29" s="433">
        <f t="shared" si="8"/>
        <v>98.017621145374449</v>
      </c>
      <c r="F29" s="382"/>
      <c r="G29" s="434">
        <v>8116</v>
      </c>
      <c r="H29" s="383">
        <f t="shared" si="1"/>
        <v>17.876651982378856</v>
      </c>
      <c r="I29" s="434">
        <v>7544</v>
      </c>
      <c r="J29" s="383">
        <f t="shared" si="2"/>
        <v>16.952808988764044</v>
      </c>
      <c r="K29" s="434">
        <v>380</v>
      </c>
      <c r="L29" s="382">
        <f t="shared" si="3"/>
        <v>4.6821094135041896</v>
      </c>
      <c r="M29" s="383">
        <f t="shared" si="4"/>
        <v>0.83700440528634357</v>
      </c>
      <c r="N29" s="382">
        <f t="shared" si="5"/>
        <v>92.952193198620009</v>
      </c>
      <c r="O29" s="434">
        <v>4667</v>
      </c>
      <c r="P29" s="382">
        <f t="array" ref="P29">O29:O57/G29:G57*100</f>
        <v>57.503696402168558</v>
      </c>
      <c r="Q29" s="434">
        <v>2877</v>
      </c>
      <c r="R29" s="382">
        <f t="array" ref="R29">Q29:Q57/G29:G57*100</f>
        <v>35.448496796451458</v>
      </c>
      <c r="S29" s="434">
        <v>41</v>
      </c>
      <c r="T29" s="382">
        <f t="shared" si="6"/>
        <v>0.50517496303597831</v>
      </c>
      <c r="U29" s="434">
        <v>151</v>
      </c>
      <c r="V29" s="382">
        <f t="shared" si="7"/>
        <v>1.8605224248398227</v>
      </c>
      <c r="W29" s="113"/>
    </row>
    <row r="30" spans="1:23">
      <c r="A30" s="45" t="s">
        <v>130</v>
      </c>
      <c r="B30" s="112" t="s">
        <v>131</v>
      </c>
      <c r="C30" s="433">
        <v>185</v>
      </c>
      <c r="D30" s="433">
        <v>161</v>
      </c>
      <c r="E30" s="433">
        <f t="shared" si="8"/>
        <v>87.027027027027032</v>
      </c>
      <c r="F30" s="382"/>
      <c r="G30" s="434">
        <v>6236</v>
      </c>
      <c r="H30" s="383">
        <f t="shared" si="1"/>
        <v>33.708108108108107</v>
      </c>
      <c r="I30" s="434">
        <v>5754</v>
      </c>
      <c r="J30" s="383">
        <f t="shared" si="2"/>
        <v>35.739130434782609</v>
      </c>
      <c r="K30" s="434">
        <v>322</v>
      </c>
      <c r="L30" s="382">
        <f t="shared" si="3"/>
        <v>5.1635663887107119</v>
      </c>
      <c r="M30" s="383">
        <f t="shared" si="4"/>
        <v>1.7405405405405405</v>
      </c>
      <c r="N30" s="382">
        <f t="shared" si="5"/>
        <v>92.270686337395773</v>
      </c>
      <c r="O30" s="434">
        <v>5728</v>
      </c>
      <c r="P30" s="382">
        <f t="array" ref="P30">O30:O58/G30:G58*100</f>
        <v>91.853752405388065</v>
      </c>
      <c r="Q30" s="434">
        <v>26</v>
      </c>
      <c r="R30" s="382">
        <f t="array" ref="R30">Q30:Q58/G30:G58*100</f>
        <v>0.41693393200769718</v>
      </c>
      <c r="S30" s="434">
        <v>21</v>
      </c>
      <c r="T30" s="382">
        <f t="shared" si="6"/>
        <v>0.3367543296985247</v>
      </c>
      <c r="U30" s="434">
        <v>139</v>
      </c>
      <c r="V30" s="382">
        <f t="shared" si="7"/>
        <v>2.2289929441949967</v>
      </c>
      <c r="W30" s="113"/>
    </row>
    <row r="31" spans="1:23">
      <c r="A31" s="45" t="s">
        <v>39</v>
      </c>
      <c r="B31" s="112" t="s">
        <v>136</v>
      </c>
      <c r="C31" s="433">
        <v>35</v>
      </c>
      <c r="D31" s="433">
        <v>35</v>
      </c>
      <c r="E31" s="433">
        <f t="shared" si="8"/>
        <v>100</v>
      </c>
      <c r="F31" s="382"/>
      <c r="G31" s="434">
        <v>692</v>
      </c>
      <c r="H31" s="383">
        <f t="shared" si="1"/>
        <v>19.771428571428572</v>
      </c>
      <c r="I31" s="434">
        <v>651</v>
      </c>
      <c r="J31" s="383">
        <f t="shared" si="2"/>
        <v>18.600000000000001</v>
      </c>
      <c r="K31" s="434">
        <v>21</v>
      </c>
      <c r="L31" s="382">
        <f t="shared" si="3"/>
        <v>3.0346820809248554</v>
      </c>
      <c r="M31" s="383">
        <f t="shared" si="4"/>
        <v>0.6</v>
      </c>
      <c r="N31" s="382">
        <f t="shared" si="5"/>
        <v>94.075144508670519</v>
      </c>
      <c r="O31" s="434">
        <v>651</v>
      </c>
      <c r="P31" s="382">
        <f t="array" ref="P31">O31:O59/G31:G59*100</f>
        <v>94.075144508670519</v>
      </c>
      <c r="Q31" s="434">
        <v>0</v>
      </c>
      <c r="R31" s="382">
        <f t="array" ref="R31">Q31:Q59/G31:G59*100</f>
        <v>0</v>
      </c>
      <c r="S31" s="434">
        <v>20</v>
      </c>
      <c r="T31" s="382">
        <f t="shared" si="6"/>
        <v>2.8901734104046244</v>
      </c>
      <c r="U31" s="434">
        <v>0</v>
      </c>
      <c r="V31" s="382">
        <f t="shared" si="7"/>
        <v>0</v>
      </c>
      <c r="W31" s="113"/>
    </row>
    <row r="32" spans="1:23">
      <c r="A32" s="50"/>
      <c r="C32" s="71"/>
      <c r="D32" s="71"/>
      <c r="E32" s="34"/>
      <c r="F32" s="34"/>
      <c r="G32" s="34"/>
      <c r="H32" s="34"/>
      <c r="I32" s="34"/>
      <c r="J32" s="34"/>
      <c r="K32" s="34"/>
    </row>
  </sheetData>
  <sheetProtection password="B8D9" sheet="1" objects="1" scenarios="1"/>
  <mergeCells count="2">
    <mergeCell ref="C1:E1"/>
    <mergeCell ref="G1:V1"/>
  </mergeCells>
  <printOptions horizontalCentered="1"/>
  <pageMargins left="0" right="0" top="0.27559055118110237" bottom="0.51181102362204722" header="0.15748031496062992" footer="0.19685039370078741"/>
  <pageSetup paperSize="9" scale="5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58.xml><?xml version="1.0" encoding="utf-8"?>
<worksheet xmlns="http://schemas.openxmlformats.org/spreadsheetml/2006/main" xmlns:r="http://schemas.openxmlformats.org/officeDocument/2006/relationships">
  <sheetPr codeName="Sheet71">
    <pageSetUpPr fitToPage="1"/>
  </sheetPr>
  <dimension ref="A1:X52"/>
  <sheetViews>
    <sheetView workbookViewId="0"/>
  </sheetViews>
  <sheetFormatPr defaultRowHeight="12.75"/>
  <cols>
    <col min="1" max="1" width="2.7109375" style="336" customWidth="1"/>
    <col min="2" max="16384" width="9.140625" style="336"/>
  </cols>
  <sheetData>
    <row r="1" spans="2:24" s="744" customFormat="1" ht="26.25" customHeight="1">
      <c r="B1" s="795" t="s">
        <v>756</v>
      </c>
      <c r="C1" s="795"/>
      <c r="D1" s="795"/>
      <c r="E1" s="795"/>
      <c r="F1" s="795"/>
      <c r="G1" s="795"/>
      <c r="H1" s="795"/>
      <c r="I1" s="795"/>
      <c r="J1" s="795"/>
      <c r="K1" s="795"/>
      <c r="L1" s="795"/>
      <c r="M1" s="795"/>
      <c r="N1" s="26"/>
      <c r="O1"/>
      <c r="P1" s="926" t="s">
        <v>48</v>
      </c>
      <c r="Q1" s="26"/>
      <c r="R1" s="26"/>
      <c r="S1" s="26"/>
      <c r="T1" s="26"/>
      <c r="U1" s="26"/>
      <c r="V1" s="26"/>
      <c r="W1" s="26"/>
      <c r="X1" s="26"/>
    </row>
    <row r="2" spans="2:24" s="744" customFormat="1">
      <c r="B2" s="940"/>
      <c r="C2" s="940"/>
      <c r="D2" s="940"/>
      <c r="E2" s="940"/>
      <c r="F2" s="940"/>
      <c r="G2" s="940"/>
      <c r="H2" s="940"/>
      <c r="I2" s="940"/>
      <c r="J2" s="746"/>
      <c r="K2" s="28"/>
      <c r="L2" s="28"/>
      <c r="M2" s="28"/>
      <c r="N2" s="28"/>
      <c r="O2" s="28"/>
      <c r="P2" s="926"/>
      <c r="Q2" s="28"/>
      <c r="R2" s="28"/>
      <c r="S2" s="28"/>
      <c r="T2" s="28"/>
      <c r="U2" s="803"/>
      <c r="V2" s="803"/>
      <c r="W2" s="803"/>
      <c r="X2" s="803"/>
    </row>
    <row r="3" spans="2:24" s="744" customFormat="1" ht="12.75" customHeight="1">
      <c r="B3" s="663" t="s">
        <v>226</v>
      </c>
      <c r="C3" s="106"/>
      <c r="D3" s="106"/>
      <c r="E3" s="106"/>
      <c r="F3" s="106"/>
      <c r="G3" s="106"/>
      <c r="H3" s="106"/>
      <c r="I3" s="106"/>
      <c r="J3" s="746"/>
      <c r="K3" s="29"/>
      <c r="L3" s="29"/>
      <c r="M3" s="29"/>
      <c r="N3" s="28"/>
      <c r="O3" s="28"/>
      <c r="P3" s="926"/>
      <c r="Q3" s="28"/>
      <c r="R3" s="28"/>
      <c r="S3" s="28"/>
      <c r="T3" s="28"/>
      <c r="U3" s="741"/>
      <c r="V3" s="741"/>
      <c r="W3" s="741"/>
      <c r="X3" s="741"/>
    </row>
    <row r="4" spans="2:24" s="744" customFormat="1" ht="15" customHeight="1">
      <c r="B4" s="836" t="s">
        <v>347</v>
      </c>
      <c r="C4" s="836"/>
      <c r="D4" s="836"/>
      <c r="E4" s="836"/>
      <c r="F4" s="836"/>
      <c r="G4" s="836"/>
      <c r="H4" s="836"/>
      <c r="I4" s="836"/>
      <c r="J4" s="836"/>
      <c r="K4" s="836"/>
      <c r="L4" s="836"/>
      <c r="M4" s="836"/>
      <c r="N4" s="836"/>
      <c r="O4" s="28"/>
      <c r="P4" s="28"/>
      <c r="Q4" s="28"/>
      <c r="R4" s="28"/>
      <c r="S4" s="28"/>
      <c r="T4" s="28"/>
      <c r="U4" s="741"/>
      <c r="V4" s="741"/>
      <c r="W4" s="741"/>
      <c r="X4" s="741"/>
    </row>
    <row r="5" spans="2:24" s="744" customFormat="1" ht="12.75" customHeight="1">
      <c r="B5" s="836"/>
      <c r="C5" s="836"/>
      <c r="D5" s="836"/>
      <c r="E5" s="836"/>
      <c r="F5" s="836"/>
      <c r="G5" s="836"/>
      <c r="H5" s="836"/>
      <c r="I5" s="836"/>
      <c r="J5" s="836"/>
      <c r="K5" s="836"/>
      <c r="L5" s="836"/>
      <c r="M5" s="836"/>
      <c r="N5" s="836"/>
      <c r="O5" s="29"/>
      <c r="P5" s="29"/>
      <c r="Q5" s="746" t="s">
        <v>755</v>
      </c>
      <c r="R5" s="29"/>
      <c r="S5" s="29"/>
      <c r="T5" s="29"/>
      <c r="U5" s="741"/>
      <c r="V5" s="741"/>
      <c r="W5" s="741"/>
      <c r="X5" s="741"/>
    </row>
    <row r="6" spans="2:24" s="744" customFormat="1" ht="12.75" customHeight="1">
      <c r="B6" s="836"/>
      <c r="C6" s="836"/>
      <c r="D6" s="836"/>
      <c r="E6" s="836"/>
      <c r="F6" s="836"/>
      <c r="G6" s="836"/>
      <c r="H6" s="836"/>
      <c r="I6" s="836"/>
      <c r="J6" s="836"/>
      <c r="K6" s="836"/>
      <c r="L6" s="836"/>
      <c r="M6" s="836"/>
      <c r="N6" s="836"/>
      <c r="O6" s="29"/>
      <c r="P6" s="29"/>
      <c r="Q6" s="29"/>
      <c r="R6" s="29"/>
      <c r="S6" s="29"/>
      <c r="T6" s="29"/>
      <c r="U6" s="741"/>
      <c r="V6" s="741"/>
      <c r="W6" s="741"/>
      <c r="X6" s="741"/>
    </row>
    <row r="7" spans="2:24" s="744" customFormat="1" ht="12.75" customHeight="1">
      <c r="B7" s="836"/>
      <c r="C7" s="836"/>
      <c r="D7" s="836"/>
      <c r="E7" s="836"/>
      <c r="F7" s="836"/>
      <c r="G7" s="836"/>
      <c r="H7" s="836"/>
      <c r="I7" s="836"/>
      <c r="J7" s="836"/>
      <c r="K7" s="836"/>
      <c r="L7" s="836"/>
      <c r="M7" s="836"/>
      <c r="N7" s="836"/>
      <c r="O7" s="29"/>
      <c r="P7" s="29"/>
      <c r="Q7" s="29"/>
      <c r="R7" s="29"/>
      <c r="S7" s="29"/>
      <c r="T7" s="29"/>
      <c r="U7" s="741"/>
      <c r="V7" s="741"/>
      <c r="W7" s="741"/>
      <c r="X7" s="741"/>
    </row>
    <row r="8" spans="2:24" s="744" customFormat="1" ht="12.75" customHeight="1">
      <c r="B8" s="836"/>
      <c r="C8" s="836"/>
      <c r="D8" s="836"/>
      <c r="E8" s="836"/>
      <c r="F8" s="836"/>
      <c r="G8" s="836"/>
      <c r="H8" s="836"/>
      <c r="I8" s="836"/>
      <c r="J8" s="836"/>
      <c r="K8" s="836"/>
      <c r="L8" s="836"/>
      <c r="M8" s="836"/>
      <c r="N8" s="836"/>
      <c r="O8" s="29"/>
      <c r="P8" s="29"/>
      <c r="Q8" s="29"/>
      <c r="R8" s="29"/>
      <c r="S8" s="29"/>
      <c r="T8" s="29"/>
      <c r="U8" s="741"/>
      <c r="V8" s="741"/>
      <c r="W8" s="741"/>
      <c r="X8" s="741"/>
    </row>
    <row r="9" spans="2:24" s="744" customFormat="1" ht="12.75" customHeight="1">
      <c r="B9" s="381"/>
      <c r="C9" s="381"/>
      <c r="D9" s="381"/>
      <c r="E9" s="381"/>
      <c r="F9" s="381"/>
      <c r="G9" s="381"/>
      <c r="H9" s="381"/>
      <c r="I9" s="381"/>
      <c r="J9" s="29"/>
      <c r="K9" s="29"/>
      <c r="L9" s="29"/>
      <c r="M9" s="29"/>
      <c r="N9" s="29"/>
      <c r="O9" s="29"/>
      <c r="P9" s="29"/>
      <c r="Q9" s="29"/>
      <c r="R9" s="29"/>
      <c r="S9" s="29"/>
      <c r="T9" s="29"/>
      <c r="U9" s="741"/>
      <c r="V9" s="741"/>
      <c r="W9" s="741"/>
      <c r="X9" s="741"/>
    </row>
    <row r="43" spans="2:21">
      <c r="B43" s="649"/>
      <c r="C43" s="649"/>
      <c r="D43" s="649"/>
      <c r="E43" s="649"/>
      <c r="F43" s="649"/>
      <c r="G43" s="649"/>
      <c r="H43" s="649"/>
      <c r="I43" s="649"/>
      <c r="J43" s="649"/>
      <c r="K43" s="649"/>
      <c r="L43" s="649"/>
      <c r="M43" s="649"/>
    </row>
    <row r="44" spans="2:21" s="744" customFormat="1">
      <c r="B44" s="32" t="s">
        <v>227</v>
      </c>
      <c r="C44" s="33"/>
      <c r="D44" s="34"/>
      <c r="E44" s="34"/>
      <c r="F44" s="34"/>
      <c r="G44" s="34"/>
      <c r="H44" s="34"/>
      <c r="I44" s="34"/>
      <c r="J44" s="34"/>
      <c r="K44" s="34"/>
      <c r="L44" s="740"/>
      <c r="M44" s="740"/>
      <c r="N44" s="35"/>
      <c r="O44" s="35"/>
      <c r="P44" s="35"/>
      <c r="Q44" s="35"/>
      <c r="R44" s="35"/>
      <c r="S44" s="35"/>
      <c r="T44" s="35"/>
      <c r="U44" s="35"/>
    </row>
    <row r="45" spans="2:21" s="744" customFormat="1">
      <c r="B45" s="67" t="s">
        <v>14</v>
      </c>
      <c r="D45" s="34"/>
      <c r="E45" s="34"/>
      <c r="F45" s="34"/>
      <c r="G45" s="34"/>
      <c r="H45" s="34"/>
      <c r="I45" s="34"/>
      <c r="J45" s="34"/>
      <c r="K45" s="34"/>
      <c r="L45" s="740"/>
      <c r="M45" s="740"/>
    </row>
    <row r="46" spans="2:21" s="744" customFormat="1">
      <c r="B46" s="67" t="s">
        <v>639</v>
      </c>
      <c r="D46" s="34"/>
      <c r="E46" s="34"/>
      <c r="F46" s="34"/>
      <c r="G46" s="34"/>
      <c r="H46" s="34"/>
      <c r="I46" s="34"/>
      <c r="J46" s="34"/>
      <c r="K46" s="34"/>
      <c r="L46" s="740"/>
      <c r="M46" s="740"/>
    </row>
    <row r="47" spans="2:21" s="744" customFormat="1">
      <c r="B47" s="62" t="s">
        <v>7</v>
      </c>
      <c r="D47" s="740"/>
      <c r="E47" s="740"/>
      <c r="F47" s="740"/>
      <c r="G47" s="740"/>
      <c r="H47" s="740"/>
      <c r="I47" s="740"/>
      <c r="J47" s="740"/>
      <c r="K47" s="740"/>
      <c r="L47" s="740"/>
      <c r="M47" s="740"/>
      <c r="N47" s="740"/>
      <c r="O47" s="740"/>
      <c r="P47" s="740"/>
      <c r="Q47" s="740"/>
      <c r="R47" s="740"/>
      <c r="S47" s="740"/>
      <c r="T47" s="740"/>
    </row>
    <row r="48" spans="2:21" s="744" customFormat="1">
      <c r="B48" s="62" t="s">
        <v>8</v>
      </c>
      <c r="D48" s="740"/>
      <c r="E48" s="740"/>
      <c r="F48" s="740"/>
      <c r="G48" s="740"/>
      <c r="H48" s="740"/>
      <c r="I48" s="740"/>
      <c r="J48" s="740"/>
      <c r="K48" s="740"/>
      <c r="L48" s="740"/>
      <c r="M48" s="740"/>
      <c r="N48" s="740"/>
      <c r="O48" s="740"/>
      <c r="P48" s="740"/>
      <c r="Q48" s="740"/>
      <c r="R48" s="740"/>
      <c r="S48" s="740"/>
      <c r="T48" s="740"/>
    </row>
    <row r="49" spans="1:23" s="744" customFormat="1">
      <c r="B49" s="67" t="s">
        <v>435</v>
      </c>
      <c r="D49" s="34"/>
      <c r="E49" s="34"/>
      <c r="F49" s="34"/>
      <c r="G49" s="34"/>
      <c r="H49" s="34"/>
      <c r="I49" s="34"/>
      <c r="J49" s="34"/>
      <c r="K49" s="34"/>
      <c r="L49" s="740"/>
      <c r="M49" s="740"/>
    </row>
    <row r="50" spans="1:23" s="744" customFormat="1">
      <c r="B50" s="67" t="s">
        <v>436</v>
      </c>
      <c r="D50" s="34"/>
      <c r="E50" s="34"/>
      <c r="F50" s="34"/>
      <c r="G50" s="34"/>
      <c r="H50" s="34"/>
      <c r="I50" s="34"/>
      <c r="J50" s="34"/>
      <c r="K50" s="34"/>
      <c r="L50" s="740"/>
      <c r="M50" s="740"/>
    </row>
    <row r="51" spans="1:23" s="744" customFormat="1">
      <c r="B51" s="67" t="s">
        <v>438</v>
      </c>
      <c r="D51" s="34"/>
      <c r="E51" s="34"/>
      <c r="F51" s="34"/>
      <c r="G51" s="34"/>
      <c r="H51" s="34"/>
      <c r="I51" s="34"/>
      <c r="J51" s="34"/>
      <c r="K51" s="34"/>
      <c r="L51" s="740"/>
      <c r="M51" s="740"/>
    </row>
    <row r="52" spans="1:23" s="744" customFormat="1">
      <c r="A52" s="106"/>
      <c r="B52" s="67" t="s">
        <v>437</v>
      </c>
      <c r="C52" s="106"/>
      <c r="D52" s="106"/>
      <c r="E52" s="106"/>
      <c r="F52" s="107" t="s">
        <v>228</v>
      </c>
      <c r="G52" s="106"/>
      <c r="H52" s="106"/>
      <c r="I52" s="106"/>
      <c r="J52" s="106"/>
      <c r="K52" s="106"/>
      <c r="L52" s="106"/>
      <c r="M52" s="107" t="s">
        <v>229</v>
      </c>
      <c r="N52" s="106"/>
      <c r="O52" s="108" t="s">
        <v>230</v>
      </c>
      <c r="P52" s="108"/>
      <c r="Q52" s="108" t="s">
        <v>231</v>
      </c>
      <c r="R52" s="108"/>
      <c r="S52" s="108" t="s">
        <v>232</v>
      </c>
      <c r="T52" s="106"/>
      <c r="U52" s="107" t="s">
        <v>233</v>
      </c>
      <c r="V52" s="1"/>
      <c r="W52" s="108" t="s">
        <v>234</v>
      </c>
    </row>
  </sheetData>
  <sheetProtection password="B8D9" sheet="1" objects="1" scenarios="1"/>
  <mergeCells count="5">
    <mergeCell ref="B1:M1"/>
    <mergeCell ref="P1:P3"/>
    <mergeCell ref="B2:I2"/>
    <mergeCell ref="U2:X2"/>
    <mergeCell ref="B4:N8"/>
  </mergeCells>
  <hyperlinks>
    <hyperlink ref="P1:P3" location="'List of Tables &amp; Charts'!A1" display="return to List of Tables &amp; Charts"/>
    <hyperlink ref="Q5" location="'Chart 13 (2015) DATA'!A1" display="view Chart 13 data"/>
  </hyperlinks>
  <pageMargins left="0.70866141732283472" right="0.70866141732283472" top="0.74803149606299213" bottom="0.74803149606299213" header="0.31496062992125984" footer="0.31496062992125984"/>
  <pageSetup scale="57"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59.xml><?xml version="1.0" encoding="utf-8"?>
<worksheet xmlns="http://schemas.openxmlformats.org/spreadsheetml/2006/main" xmlns:r="http://schemas.openxmlformats.org/officeDocument/2006/relationships">
  <sheetPr codeName="Sheet72">
    <pageSetUpPr fitToPage="1"/>
  </sheetPr>
  <dimension ref="A1:W32"/>
  <sheetViews>
    <sheetView showGridLines="0" zoomScaleNormal="100" workbookViewId="0"/>
  </sheetViews>
  <sheetFormatPr defaultRowHeight="12.75"/>
  <cols>
    <col min="1" max="1" width="16.7109375" style="744" customWidth="1"/>
    <col min="2" max="2" width="45.7109375" style="744" customWidth="1"/>
    <col min="3" max="3" width="10.7109375" style="740" customWidth="1"/>
    <col min="4" max="5" width="12.7109375" style="740" customWidth="1"/>
    <col min="6" max="6" width="1.7109375" style="740" customWidth="1"/>
    <col min="7" max="19" width="11.7109375" style="740" customWidth="1"/>
    <col min="20" max="22" width="11.7109375" style="744" customWidth="1"/>
    <col min="23" max="16384" width="9.140625" style="744"/>
  </cols>
  <sheetData>
    <row r="1" spans="1:23" ht="25.5" customHeight="1">
      <c r="A1" s="745">
        <v>2014</v>
      </c>
      <c r="B1" s="742"/>
      <c r="C1" s="881" t="s">
        <v>346</v>
      </c>
      <c r="D1" s="882"/>
      <c r="E1" s="883"/>
      <c r="F1" s="109"/>
      <c r="G1" s="941" t="s">
        <v>235</v>
      </c>
      <c r="H1" s="942"/>
      <c r="I1" s="942"/>
      <c r="J1" s="942"/>
      <c r="K1" s="942"/>
      <c r="L1" s="942"/>
      <c r="M1" s="942"/>
      <c r="N1" s="942"/>
      <c r="O1" s="942"/>
      <c r="P1" s="942"/>
      <c r="Q1" s="942"/>
      <c r="R1" s="942"/>
      <c r="S1" s="942"/>
      <c r="T1" s="942"/>
      <c r="U1" s="942"/>
      <c r="V1" s="943"/>
    </row>
    <row r="2" spans="1:23" ht="76.5">
      <c r="A2" s="80" t="s">
        <v>26</v>
      </c>
      <c r="B2" s="53" t="s">
        <v>27</v>
      </c>
      <c r="C2" s="75" t="s">
        <v>181</v>
      </c>
      <c r="D2" s="75" t="s">
        <v>236</v>
      </c>
      <c r="E2" s="75" t="s">
        <v>237</v>
      </c>
      <c r="F2" s="110"/>
      <c r="G2" s="75" t="s">
        <v>238</v>
      </c>
      <c r="H2" s="75" t="s">
        <v>239</v>
      </c>
      <c r="I2" s="75" t="s">
        <v>240</v>
      </c>
      <c r="J2" s="75" t="s">
        <v>241</v>
      </c>
      <c r="K2" s="75" t="s">
        <v>242</v>
      </c>
      <c r="L2" s="111" t="s">
        <v>243</v>
      </c>
      <c r="M2" s="111" t="s">
        <v>244</v>
      </c>
      <c r="N2" s="111" t="s">
        <v>245</v>
      </c>
      <c r="O2" s="111" t="s">
        <v>246</v>
      </c>
      <c r="P2" s="111" t="s">
        <v>247</v>
      </c>
      <c r="Q2" s="111" t="s">
        <v>248</v>
      </c>
      <c r="R2" s="111" t="s">
        <v>249</v>
      </c>
      <c r="S2" s="111" t="s">
        <v>250</v>
      </c>
      <c r="T2" s="111" t="s">
        <v>251</v>
      </c>
      <c r="U2" s="111" t="s">
        <v>252</v>
      </c>
      <c r="V2" s="111" t="s">
        <v>253</v>
      </c>
    </row>
    <row r="3" spans="1:23">
      <c r="A3" s="45" t="s">
        <v>137</v>
      </c>
      <c r="B3" s="112" t="s">
        <v>137</v>
      </c>
      <c r="C3" s="433">
        <f>SUM(C4:C31)</f>
        <v>8673</v>
      </c>
      <c r="D3" s="433">
        <f t="shared" ref="D3" si="0">SUM(D4:D31)</f>
        <v>7654</v>
      </c>
      <c r="E3" s="433">
        <f>D3/C3*100</f>
        <v>88.2508935777701</v>
      </c>
      <c r="F3" s="382"/>
      <c r="G3" s="434">
        <f>SUM(G4:G31)</f>
        <v>216911</v>
      </c>
      <c r="H3" s="383">
        <f>G3/C3</f>
        <v>25.009915830739075</v>
      </c>
      <c r="I3" s="434">
        <f>SUM(I4:I31)</f>
        <v>191509</v>
      </c>
      <c r="J3" s="383">
        <f>I3/D3</f>
        <v>25.020773451789914</v>
      </c>
      <c r="K3" s="434">
        <f>SUM(K4:K31)</f>
        <v>10669</v>
      </c>
      <c r="L3" s="382">
        <f>K3/G3*100</f>
        <v>4.9186071706829066</v>
      </c>
      <c r="M3" s="383">
        <f>K3/C3</f>
        <v>1.2301395134324917</v>
      </c>
      <c r="N3" s="382">
        <f>I3/G3*100</f>
        <v>88.289206172116678</v>
      </c>
      <c r="O3" s="434">
        <f>SUM(O4:O31)</f>
        <v>124371</v>
      </c>
      <c r="P3" s="382">
        <f t="array" ref="P3">O3:O31/G3:G31*100</f>
        <v>57.337341121473784</v>
      </c>
      <c r="Q3" s="434">
        <f>SUM(Q4:Q31)</f>
        <v>67138</v>
      </c>
      <c r="R3" s="382">
        <f t="array" ref="R3">Q3:Q31/G3:G31*100</f>
        <v>30.951865050642891</v>
      </c>
      <c r="S3" s="434">
        <f>SUM(S4:S31)</f>
        <v>5098</v>
      </c>
      <c r="T3" s="382">
        <f>S3/G3*100</f>
        <v>2.3502726924867803</v>
      </c>
      <c r="U3" s="434">
        <f>SUM(U4:U31)</f>
        <v>9635</v>
      </c>
      <c r="V3" s="382">
        <f>U3/G3*100</f>
        <v>4.4419139647136383</v>
      </c>
      <c r="W3" s="113"/>
    </row>
    <row r="4" spans="1:23">
      <c r="A4" s="45" t="s">
        <v>61</v>
      </c>
      <c r="B4" s="112" t="s">
        <v>60</v>
      </c>
      <c r="C4" s="433">
        <v>295</v>
      </c>
      <c r="D4" s="433">
        <v>285</v>
      </c>
      <c r="E4" s="433">
        <f>D4/C4*100</f>
        <v>96.610169491525426</v>
      </c>
      <c r="F4" s="382"/>
      <c r="G4" s="434">
        <v>7008</v>
      </c>
      <c r="H4" s="383">
        <f t="shared" ref="H4:H31" si="1">G4/C4</f>
        <v>23.755932203389829</v>
      </c>
      <c r="I4" s="434">
        <v>6513</v>
      </c>
      <c r="J4" s="383">
        <f t="shared" ref="J4:J31" si="2">I4/D4</f>
        <v>22.852631578947367</v>
      </c>
      <c r="K4" s="434">
        <v>388</v>
      </c>
      <c r="L4" s="382">
        <f t="shared" ref="L4:L31" si="3">K4/G4*100</f>
        <v>5.5365296803652964</v>
      </c>
      <c r="M4" s="383">
        <f t="shared" ref="M4:M31" si="4">K4/C4</f>
        <v>1.3152542372881355</v>
      </c>
      <c r="N4" s="382">
        <f t="shared" ref="N4:N31" si="5">I4/G4*100</f>
        <v>92.936643835616437</v>
      </c>
      <c r="O4" s="434">
        <v>2083</v>
      </c>
      <c r="P4" s="382">
        <f t="array" ref="P4">O4:O32/G4:G32*100</f>
        <v>29.723173515981738</v>
      </c>
      <c r="Q4" s="434">
        <v>4430</v>
      </c>
      <c r="R4" s="382">
        <f t="array" ref="R4">Q4:Q32/G4:G32*100</f>
        <v>63.213470319634702</v>
      </c>
      <c r="S4" s="434">
        <v>30</v>
      </c>
      <c r="T4" s="382">
        <f t="shared" ref="T4:T31" si="6">S4/G4*100</f>
        <v>0.42808219178082191</v>
      </c>
      <c r="U4" s="434">
        <v>77</v>
      </c>
      <c r="V4" s="382">
        <f t="shared" ref="V4:V31" si="7">U4/G4*100</f>
        <v>1.0987442922374429</v>
      </c>
      <c r="W4" s="113"/>
    </row>
    <row r="5" spans="1:23">
      <c r="A5" s="45" t="s">
        <v>63</v>
      </c>
      <c r="B5" s="112" t="s">
        <v>64</v>
      </c>
      <c r="C5" s="433">
        <v>332</v>
      </c>
      <c r="D5" s="433">
        <v>311</v>
      </c>
      <c r="E5" s="433">
        <f t="shared" ref="E5:E31" si="8">D5/C5*100</f>
        <v>93.674698795180717</v>
      </c>
      <c r="F5" s="382"/>
      <c r="G5" s="434">
        <v>9735</v>
      </c>
      <c r="H5" s="383">
        <f t="shared" si="1"/>
        <v>29.322289156626507</v>
      </c>
      <c r="I5" s="434">
        <v>9348</v>
      </c>
      <c r="J5" s="383">
        <f t="shared" si="2"/>
        <v>30.057877813504824</v>
      </c>
      <c r="K5" s="434">
        <v>165</v>
      </c>
      <c r="L5" s="382">
        <f t="shared" si="3"/>
        <v>1.6949152542372881</v>
      </c>
      <c r="M5" s="383">
        <f t="shared" si="4"/>
        <v>0.49698795180722893</v>
      </c>
      <c r="N5" s="382">
        <f t="shared" si="5"/>
        <v>96.024653312788914</v>
      </c>
      <c r="O5" s="434">
        <v>3958</v>
      </c>
      <c r="P5" s="382">
        <f t="array" ref="P5">O5:O33/G5:G33*100</f>
        <v>40.657421674370823</v>
      </c>
      <c r="Q5" s="434">
        <v>5390</v>
      </c>
      <c r="R5" s="382">
        <f t="array" ref="R5">Q5:Q33/G5:G33*100</f>
        <v>55.367231638418076</v>
      </c>
      <c r="S5" s="434">
        <v>0</v>
      </c>
      <c r="T5" s="382">
        <f t="shared" si="6"/>
        <v>0</v>
      </c>
      <c r="U5" s="434">
        <v>222</v>
      </c>
      <c r="V5" s="382">
        <f t="shared" si="7"/>
        <v>2.2804314329738058</v>
      </c>
      <c r="W5" s="113"/>
    </row>
    <row r="6" spans="1:23">
      <c r="A6" s="45" t="s">
        <v>30</v>
      </c>
      <c r="B6" s="112" t="s">
        <v>66</v>
      </c>
      <c r="C6" s="433">
        <v>209</v>
      </c>
      <c r="D6" s="433">
        <v>187</v>
      </c>
      <c r="E6" s="433">
        <f t="shared" si="8"/>
        <v>89.473684210526315</v>
      </c>
      <c r="F6" s="382"/>
      <c r="G6" s="434">
        <v>5947</v>
      </c>
      <c r="H6" s="383">
        <f t="shared" si="1"/>
        <v>28.454545454545453</v>
      </c>
      <c r="I6" s="434">
        <v>2516</v>
      </c>
      <c r="J6" s="383">
        <f t="shared" si="2"/>
        <v>13.454545454545455</v>
      </c>
      <c r="K6" s="434">
        <v>129</v>
      </c>
      <c r="L6" s="382">
        <f t="shared" si="3"/>
        <v>2.1691609214730114</v>
      </c>
      <c r="M6" s="383">
        <f t="shared" si="4"/>
        <v>0.61722488038277512</v>
      </c>
      <c r="N6" s="382">
        <f t="shared" si="5"/>
        <v>42.30704556919455</v>
      </c>
      <c r="O6" s="434">
        <v>2443</v>
      </c>
      <c r="P6" s="382">
        <f t="array" ref="P6">O6:O34/G6:G34*100</f>
        <v>41.079535900454012</v>
      </c>
      <c r="Q6" s="434">
        <v>73</v>
      </c>
      <c r="R6" s="382">
        <f t="array" ref="R6">Q6:Q34/G6:G34*100</f>
        <v>1.2275096687405416</v>
      </c>
      <c r="S6" s="434">
        <v>3236</v>
      </c>
      <c r="T6" s="382">
        <f t="shared" si="6"/>
        <v>54.413990247183449</v>
      </c>
      <c r="U6" s="434">
        <v>66</v>
      </c>
      <c r="V6" s="382">
        <f t="shared" si="7"/>
        <v>1.1098032621489828</v>
      </c>
      <c r="W6" s="113"/>
    </row>
    <row r="7" spans="1:23">
      <c r="A7" s="45" t="s">
        <v>68</v>
      </c>
      <c r="B7" s="112" t="s">
        <v>69</v>
      </c>
      <c r="C7" s="433">
        <v>253</v>
      </c>
      <c r="D7" s="433">
        <v>219</v>
      </c>
      <c r="E7" s="433">
        <f t="shared" si="8"/>
        <v>86.56126482213439</v>
      </c>
      <c r="F7" s="382"/>
      <c r="G7" s="434">
        <v>3781</v>
      </c>
      <c r="H7" s="383">
        <f t="shared" si="1"/>
        <v>14.944664031620553</v>
      </c>
      <c r="I7" s="434">
        <v>3238</v>
      </c>
      <c r="J7" s="383">
        <f t="shared" si="2"/>
        <v>14.785388127853881</v>
      </c>
      <c r="K7" s="434">
        <v>210</v>
      </c>
      <c r="L7" s="382">
        <f t="shared" si="3"/>
        <v>5.5540862205765675</v>
      </c>
      <c r="M7" s="383">
        <f t="shared" si="4"/>
        <v>0.83003952569169959</v>
      </c>
      <c r="N7" s="382">
        <f t="shared" si="5"/>
        <v>85.638719915366295</v>
      </c>
      <c r="O7" s="434">
        <v>1805</v>
      </c>
      <c r="P7" s="382">
        <f t="array" ref="P7">O7:O35/G7:G35*100</f>
        <v>47.738693467336688</v>
      </c>
      <c r="Q7" s="434">
        <v>1433</v>
      </c>
      <c r="R7" s="382">
        <f t="array" ref="R7">Q7:Q35/G7:G35*100</f>
        <v>37.900026448029621</v>
      </c>
      <c r="S7" s="434">
        <v>190</v>
      </c>
      <c r="T7" s="382">
        <f t="shared" si="6"/>
        <v>5.025125628140704</v>
      </c>
      <c r="U7" s="434">
        <v>143</v>
      </c>
      <c r="V7" s="382">
        <f t="shared" si="7"/>
        <v>3.7820682359164239</v>
      </c>
      <c r="W7" s="113"/>
    </row>
    <row r="8" spans="1:23">
      <c r="A8" s="45" t="s">
        <v>71</v>
      </c>
      <c r="B8" s="112" t="s">
        <v>72</v>
      </c>
      <c r="C8" s="433">
        <v>39</v>
      </c>
      <c r="D8" s="433">
        <v>39</v>
      </c>
      <c r="E8" s="433">
        <f t="shared" si="8"/>
        <v>100</v>
      </c>
      <c r="F8" s="382"/>
      <c r="G8" s="434">
        <v>889</v>
      </c>
      <c r="H8" s="383">
        <f t="shared" si="1"/>
        <v>22.794871794871796</v>
      </c>
      <c r="I8" s="434">
        <v>875</v>
      </c>
      <c r="J8" s="383">
        <f t="shared" si="2"/>
        <v>22.435897435897434</v>
      </c>
      <c r="K8" s="434">
        <v>14</v>
      </c>
      <c r="L8" s="382">
        <f t="shared" si="3"/>
        <v>1.5748031496062991</v>
      </c>
      <c r="M8" s="383">
        <f t="shared" si="4"/>
        <v>0.35897435897435898</v>
      </c>
      <c r="N8" s="382">
        <f t="shared" si="5"/>
        <v>98.425196850393704</v>
      </c>
      <c r="O8" s="434">
        <v>243</v>
      </c>
      <c r="P8" s="382">
        <f t="array" ref="P8">O8:O36/G8:G36*100</f>
        <v>27.334083239595053</v>
      </c>
      <c r="Q8" s="434">
        <v>632</v>
      </c>
      <c r="R8" s="382">
        <f t="array" ref="R8">Q8:Q36/G8:G36*100</f>
        <v>71.091113610798658</v>
      </c>
      <c r="S8" s="434">
        <v>0</v>
      </c>
      <c r="T8" s="382">
        <f t="shared" si="6"/>
        <v>0</v>
      </c>
      <c r="U8" s="434">
        <v>0</v>
      </c>
      <c r="V8" s="382">
        <f t="shared" si="7"/>
        <v>0</v>
      </c>
      <c r="W8" s="113"/>
    </row>
    <row r="9" spans="1:23">
      <c r="A9" s="45" t="s">
        <v>177</v>
      </c>
      <c r="B9" s="112" t="s">
        <v>74</v>
      </c>
      <c r="C9" s="433">
        <v>618</v>
      </c>
      <c r="D9" s="433">
        <v>478</v>
      </c>
      <c r="E9" s="433">
        <f t="shared" si="8"/>
        <v>77.346278317152112</v>
      </c>
      <c r="F9" s="382"/>
      <c r="G9" s="434">
        <v>15232</v>
      </c>
      <c r="H9" s="383">
        <f t="shared" si="1"/>
        <v>24.64724919093851</v>
      </c>
      <c r="I9" s="434">
        <v>14040</v>
      </c>
      <c r="J9" s="383">
        <f t="shared" si="2"/>
        <v>29.372384937238493</v>
      </c>
      <c r="K9" s="434">
        <v>550</v>
      </c>
      <c r="L9" s="382">
        <f t="shared" si="3"/>
        <v>3.6108193277310923</v>
      </c>
      <c r="M9" s="383">
        <f t="shared" si="4"/>
        <v>0.88996763754045305</v>
      </c>
      <c r="N9" s="382">
        <f t="shared" si="5"/>
        <v>92.174369747899149</v>
      </c>
      <c r="O9" s="434">
        <v>5889</v>
      </c>
      <c r="P9" s="382">
        <f t="array" ref="P9">O9:O37/G9:G37*100</f>
        <v>38.662027310924366</v>
      </c>
      <c r="Q9" s="434">
        <v>8151</v>
      </c>
      <c r="R9" s="382">
        <f t="array" ref="R9">Q9:Q37/G9:G37*100</f>
        <v>53.512342436974791</v>
      </c>
      <c r="S9" s="434">
        <v>296</v>
      </c>
      <c r="T9" s="382">
        <f t="shared" si="6"/>
        <v>1.9432773109243697</v>
      </c>
      <c r="U9" s="434">
        <v>346</v>
      </c>
      <c r="V9" s="382">
        <f t="shared" si="7"/>
        <v>2.2715336134453779</v>
      </c>
      <c r="W9" s="113"/>
    </row>
    <row r="10" spans="1:23">
      <c r="A10" s="45" t="s">
        <v>574</v>
      </c>
      <c r="B10" s="112" t="s">
        <v>76</v>
      </c>
      <c r="C10" s="433">
        <v>500</v>
      </c>
      <c r="D10" s="433">
        <v>444</v>
      </c>
      <c r="E10" s="433">
        <f t="shared" si="8"/>
        <v>88.8</v>
      </c>
      <c r="F10" s="382"/>
      <c r="G10" s="434">
        <v>11603</v>
      </c>
      <c r="H10" s="383">
        <f t="shared" si="1"/>
        <v>23.206</v>
      </c>
      <c r="I10" s="434">
        <v>10805</v>
      </c>
      <c r="J10" s="383">
        <f t="shared" si="2"/>
        <v>24.335585585585587</v>
      </c>
      <c r="K10" s="434">
        <v>675</v>
      </c>
      <c r="L10" s="382">
        <f t="shared" si="3"/>
        <v>5.8174610014651389</v>
      </c>
      <c r="M10" s="383">
        <f t="shared" si="4"/>
        <v>1.35</v>
      </c>
      <c r="N10" s="382">
        <f t="shared" si="5"/>
        <v>93.122468327156767</v>
      </c>
      <c r="O10" s="434">
        <v>8080</v>
      </c>
      <c r="P10" s="382">
        <f t="array" ref="P10">O10:O38/G10:G38*100</f>
        <v>69.637162802723424</v>
      </c>
      <c r="Q10" s="434">
        <v>2725</v>
      </c>
      <c r="R10" s="382">
        <f t="array" ref="R10">Q10:Q38/G10:G38*100</f>
        <v>23.485305524433336</v>
      </c>
      <c r="S10" s="434">
        <v>11</v>
      </c>
      <c r="T10" s="382">
        <f t="shared" si="6"/>
        <v>9.4803068172024482E-2</v>
      </c>
      <c r="U10" s="434">
        <v>112</v>
      </c>
      <c r="V10" s="382">
        <f t="shared" si="7"/>
        <v>0.96526760320606741</v>
      </c>
      <c r="W10" s="113"/>
    </row>
    <row r="11" spans="1:23">
      <c r="A11" s="45" t="s">
        <v>178</v>
      </c>
      <c r="B11" s="112" t="s">
        <v>78</v>
      </c>
      <c r="C11" s="433">
        <v>624</v>
      </c>
      <c r="D11" s="433">
        <v>478</v>
      </c>
      <c r="E11" s="433">
        <f t="shared" si="8"/>
        <v>76.602564102564102</v>
      </c>
      <c r="F11" s="382"/>
      <c r="G11" s="434">
        <v>24332</v>
      </c>
      <c r="H11" s="383">
        <f t="shared" si="1"/>
        <v>38.993589743589745</v>
      </c>
      <c r="I11" s="434">
        <v>19419</v>
      </c>
      <c r="J11" s="383">
        <f t="shared" si="2"/>
        <v>40.6255230125523</v>
      </c>
      <c r="K11" s="434">
        <v>1235</v>
      </c>
      <c r="L11" s="382">
        <f t="shared" si="3"/>
        <v>5.0756205819496962</v>
      </c>
      <c r="M11" s="383">
        <f t="shared" si="4"/>
        <v>1.9791666666666667</v>
      </c>
      <c r="N11" s="382">
        <f t="shared" si="5"/>
        <v>79.808482656583919</v>
      </c>
      <c r="O11" s="434">
        <v>5075</v>
      </c>
      <c r="P11" s="382">
        <f t="array" ref="P11">O11:O39/G11:G39*100</f>
        <v>20.857307249712314</v>
      </c>
      <c r="Q11" s="434">
        <v>14344</v>
      </c>
      <c r="R11" s="382">
        <f t="array" ref="R11">Q11:Q39/G11:G39*100</f>
        <v>58.951175406871613</v>
      </c>
      <c r="S11" s="434">
        <v>546</v>
      </c>
      <c r="T11" s="382">
        <f t="shared" si="6"/>
        <v>2.2439585730724971</v>
      </c>
      <c r="U11" s="434">
        <v>3132</v>
      </c>
      <c r="V11" s="382">
        <f t="shared" si="7"/>
        <v>12.871938188393884</v>
      </c>
      <c r="W11" s="113"/>
    </row>
    <row r="12" spans="1:23">
      <c r="A12" s="45" t="s">
        <v>80</v>
      </c>
      <c r="B12" s="112" t="s">
        <v>81</v>
      </c>
      <c r="C12" s="433">
        <v>111</v>
      </c>
      <c r="D12" s="433">
        <v>99</v>
      </c>
      <c r="E12" s="433">
        <f t="shared" si="8"/>
        <v>89.189189189189193</v>
      </c>
      <c r="F12" s="382"/>
      <c r="G12" s="434">
        <v>2032</v>
      </c>
      <c r="H12" s="383">
        <f t="shared" si="1"/>
        <v>18.306306306306308</v>
      </c>
      <c r="I12" s="434">
        <v>1868</v>
      </c>
      <c r="J12" s="383">
        <f t="shared" si="2"/>
        <v>18.868686868686869</v>
      </c>
      <c r="K12" s="434">
        <v>140</v>
      </c>
      <c r="L12" s="382">
        <f t="shared" si="3"/>
        <v>6.8897637795275593</v>
      </c>
      <c r="M12" s="383">
        <f t="shared" si="4"/>
        <v>1.2612612612612613</v>
      </c>
      <c r="N12" s="382">
        <f t="shared" si="5"/>
        <v>91.929133858267718</v>
      </c>
      <c r="O12" s="434">
        <v>1855</v>
      </c>
      <c r="P12" s="382">
        <f t="array" ref="P12">O12:O40/G12:G40*100</f>
        <v>91.289370078740163</v>
      </c>
      <c r="Q12" s="434">
        <v>13</v>
      </c>
      <c r="R12" s="382">
        <f t="array" ref="R12">Q12:Q40/G12:G40*100</f>
        <v>0.63976377952755903</v>
      </c>
      <c r="S12" s="434">
        <v>6</v>
      </c>
      <c r="T12" s="382">
        <f t="shared" si="6"/>
        <v>0.29527559055118108</v>
      </c>
      <c r="U12" s="434">
        <v>18</v>
      </c>
      <c r="V12" s="382">
        <f t="shared" si="7"/>
        <v>0.88582677165354329</v>
      </c>
      <c r="W12" s="113"/>
    </row>
    <row r="13" spans="1:23">
      <c r="A13" s="45" t="s">
        <v>575</v>
      </c>
      <c r="B13" s="112" t="s">
        <v>83</v>
      </c>
      <c r="C13" s="433">
        <v>486</v>
      </c>
      <c r="D13" s="433">
        <v>455</v>
      </c>
      <c r="E13" s="433">
        <f t="shared" si="8"/>
        <v>93.621399176954739</v>
      </c>
      <c r="F13" s="382"/>
      <c r="G13" s="434">
        <v>10128</v>
      </c>
      <c r="H13" s="383">
        <f t="shared" si="1"/>
        <v>20.839506172839506</v>
      </c>
      <c r="I13" s="434">
        <v>8857</v>
      </c>
      <c r="J13" s="383">
        <f t="shared" si="2"/>
        <v>19.465934065934064</v>
      </c>
      <c r="K13" s="434">
        <v>889</v>
      </c>
      <c r="L13" s="382">
        <f t="shared" si="3"/>
        <v>8.7776461295418642</v>
      </c>
      <c r="M13" s="383">
        <f t="shared" si="4"/>
        <v>1.8292181069958848</v>
      </c>
      <c r="N13" s="382">
        <f t="shared" si="5"/>
        <v>87.450631911532383</v>
      </c>
      <c r="O13" s="434">
        <v>4869</v>
      </c>
      <c r="P13" s="382">
        <f t="array" ref="P13">O13:O41/G13:G41*100</f>
        <v>48.074644549763036</v>
      </c>
      <c r="Q13" s="434">
        <v>3988</v>
      </c>
      <c r="R13" s="382">
        <f t="array" ref="R13">Q13:Q41/G13:G41*100</f>
        <v>39.375987361769354</v>
      </c>
      <c r="S13" s="434">
        <v>47</v>
      </c>
      <c r="T13" s="382">
        <f t="shared" si="6"/>
        <v>0.46406003159557657</v>
      </c>
      <c r="U13" s="434">
        <v>335</v>
      </c>
      <c r="V13" s="382">
        <f t="shared" si="7"/>
        <v>3.3076619273301735</v>
      </c>
      <c r="W13" s="113"/>
    </row>
    <row r="14" spans="1:23">
      <c r="A14" s="45" t="s">
        <v>85</v>
      </c>
      <c r="B14" s="112" t="s">
        <v>86</v>
      </c>
      <c r="C14" s="433">
        <v>203</v>
      </c>
      <c r="D14" s="433">
        <v>203</v>
      </c>
      <c r="E14" s="433">
        <f t="shared" si="8"/>
        <v>100</v>
      </c>
      <c r="F14" s="382"/>
      <c r="G14" s="434">
        <v>3401</v>
      </c>
      <c r="H14" s="383">
        <f t="shared" si="1"/>
        <v>16.753694581280786</v>
      </c>
      <c r="I14" s="434">
        <v>3164</v>
      </c>
      <c r="J14" s="383">
        <f t="shared" si="2"/>
        <v>15.586206896551724</v>
      </c>
      <c r="K14" s="434">
        <v>237</v>
      </c>
      <c r="L14" s="382">
        <f t="shared" si="3"/>
        <v>6.9685386650985004</v>
      </c>
      <c r="M14" s="383">
        <f t="shared" si="4"/>
        <v>1.1674876847290641</v>
      </c>
      <c r="N14" s="382">
        <f t="shared" si="5"/>
        <v>93.031461334901493</v>
      </c>
      <c r="O14" s="434">
        <v>3164</v>
      </c>
      <c r="P14" s="382">
        <f t="array" ref="P14">O14:O42/G14:G42*100</f>
        <v>93.031461334901493</v>
      </c>
      <c r="Q14" s="434">
        <v>0</v>
      </c>
      <c r="R14" s="382">
        <f t="array" ref="R14">Q14:Q42/G14:G42*100</f>
        <v>0</v>
      </c>
      <c r="S14" s="434">
        <v>0</v>
      </c>
      <c r="T14" s="382">
        <f t="shared" si="6"/>
        <v>0</v>
      </c>
      <c r="U14" s="434">
        <v>0</v>
      </c>
      <c r="V14" s="382">
        <f t="shared" si="7"/>
        <v>0</v>
      </c>
      <c r="W14" s="113"/>
    </row>
    <row r="15" spans="1:23">
      <c r="A15" s="45" t="s">
        <v>532</v>
      </c>
      <c r="B15" s="112" t="s">
        <v>546</v>
      </c>
      <c r="C15" s="433">
        <v>1153</v>
      </c>
      <c r="D15" s="433">
        <v>1056</v>
      </c>
      <c r="E15" s="433">
        <f t="shared" si="8"/>
        <v>91.587163920208141</v>
      </c>
      <c r="F15" s="382"/>
      <c r="G15" s="434">
        <v>29044</v>
      </c>
      <c r="H15" s="383">
        <f t="shared" si="1"/>
        <v>25.189939288811797</v>
      </c>
      <c r="I15" s="434">
        <v>26740</v>
      </c>
      <c r="J15" s="383">
        <f t="shared" si="2"/>
        <v>25.321969696969695</v>
      </c>
      <c r="K15" s="434">
        <v>1123</v>
      </c>
      <c r="L15" s="382">
        <f t="shared" si="3"/>
        <v>3.8665473075333976</v>
      </c>
      <c r="M15" s="383">
        <f t="shared" si="4"/>
        <v>0.97398091934084996</v>
      </c>
      <c r="N15" s="382">
        <f t="shared" si="5"/>
        <v>92.067208373502268</v>
      </c>
      <c r="O15" s="434">
        <v>19302</v>
      </c>
      <c r="P15" s="382">
        <f t="array" ref="P15">O15:O43/G15:G43*100</f>
        <v>66.457788183445814</v>
      </c>
      <c r="Q15" s="434">
        <v>7438</v>
      </c>
      <c r="R15" s="382">
        <f t="array" ref="R15">Q15:Q43/G15:G43*100</f>
        <v>25.609420190056465</v>
      </c>
      <c r="S15" s="434">
        <v>390</v>
      </c>
      <c r="T15" s="382">
        <f t="shared" si="6"/>
        <v>1.342790249276959</v>
      </c>
      <c r="U15" s="434">
        <v>791</v>
      </c>
      <c r="V15" s="382">
        <f t="shared" si="7"/>
        <v>2.7234540696873708</v>
      </c>
      <c r="W15" s="113"/>
    </row>
    <row r="16" spans="1:23">
      <c r="A16" s="45" t="s">
        <v>188</v>
      </c>
      <c r="B16" s="112" t="s">
        <v>88</v>
      </c>
      <c r="C16" s="433">
        <v>372</v>
      </c>
      <c r="D16" s="433">
        <v>371</v>
      </c>
      <c r="E16" s="433">
        <f t="shared" si="8"/>
        <v>99.731182795698928</v>
      </c>
      <c r="F16" s="382"/>
      <c r="G16" s="434">
        <v>5850</v>
      </c>
      <c r="H16" s="383">
        <f t="shared" si="1"/>
        <v>15.725806451612904</v>
      </c>
      <c r="I16" s="434">
        <v>5385</v>
      </c>
      <c r="J16" s="383">
        <f t="shared" si="2"/>
        <v>14.514824797843666</v>
      </c>
      <c r="K16" s="434">
        <v>421</v>
      </c>
      <c r="L16" s="382">
        <f t="shared" si="3"/>
        <v>7.1965811965811959</v>
      </c>
      <c r="M16" s="383">
        <f t="shared" si="4"/>
        <v>1.131720430107527</v>
      </c>
      <c r="N16" s="382">
        <f t="shared" si="5"/>
        <v>92.051282051282044</v>
      </c>
      <c r="O16" s="434">
        <v>5384</v>
      </c>
      <c r="P16" s="382">
        <f t="array" ref="P16">O16:O44/G16:G44*100</f>
        <v>92.034188034188034</v>
      </c>
      <c r="Q16" s="434">
        <v>1</v>
      </c>
      <c r="R16" s="382">
        <f t="array" ref="R16">Q16:Q44/G16:G44*100</f>
        <v>1.7094017094017096E-2</v>
      </c>
      <c r="S16" s="434">
        <v>12</v>
      </c>
      <c r="T16" s="382">
        <f t="shared" si="6"/>
        <v>0.20512820512820512</v>
      </c>
      <c r="U16" s="434">
        <v>32</v>
      </c>
      <c r="V16" s="382">
        <f t="shared" si="7"/>
        <v>0.54700854700854706</v>
      </c>
      <c r="W16" s="113"/>
    </row>
    <row r="17" spans="1:23">
      <c r="A17" s="45" t="s">
        <v>92</v>
      </c>
      <c r="B17" s="112" t="s">
        <v>93</v>
      </c>
      <c r="C17" s="433">
        <v>29</v>
      </c>
      <c r="D17" s="433">
        <v>29</v>
      </c>
      <c r="E17" s="433">
        <f t="shared" si="8"/>
        <v>100</v>
      </c>
      <c r="F17" s="382"/>
      <c r="G17" s="434">
        <v>690</v>
      </c>
      <c r="H17" s="383">
        <f t="shared" si="1"/>
        <v>23.793103448275861</v>
      </c>
      <c r="I17" s="434">
        <v>683</v>
      </c>
      <c r="J17" s="383">
        <f t="shared" si="2"/>
        <v>23.551724137931036</v>
      </c>
      <c r="K17" s="434">
        <v>3</v>
      </c>
      <c r="L17" s="382">
        <f t="shared" si="3"/>
        <v>0.43478260869565216</v>
      </c>
      <c r="M17" s="383">
        <f t="shared" si="4"/>
        <v>0.10344827586206896</v>
      </c>
      <c r="N17" s="382">
        <f t="shared" si="5"/>
        <v>98.985507246376812</v>
      </c>
      <c r="O17" s="434">
        <v>116</v>
      </c>
      <c r="P17" s="382">
        <f t="array" ref="P17">O17:O45/G17:G45*100</f>
        <v>16.811594202898551</v>
      </c>
      <c r="Q17" s="434">
        <v>567</v>
      </c>
      <c r="R17" s="382">
        <f t="array" ref="R17">Q17:Q45/G17:G45*100</f>
        <v>82.173913043478265</v>
      </c>
      <c r="S17" s="434">
        <v>0</v>
      </c>
      <c r="T17" s="382">
        <f t="shared" si="6"/>
        <v>0</v>
      </c>
      <c r="U17" s="434">
        <v>4</v>
      </c>
      <c r="V17" s="382">
        <f t="shared" si="7"/>
        <v>0.57971014492753625</v>
      </c>
      <c r="W17" s="113"/>
    </row>
    <row r="18" spans="1:23">
      <c r="A18" s="45" t="s">
        <v>95</v>
      </c>
      <c r="B18" s="112" t="s">
        <v>96</v>
      </c>
      <c r="C18" s="433">
        <v>69</v>
      </c>
      <c r="D18" s="433">
        <v>69</v>
      </c>
      <c r="E18" s="433">
        <f t="shared" si="8"/>
        <v>100</v>
      </c>
      <c r="F18" s="382"/>
      <c r="G18" s="434">
        <v>939</v>
      </c>
      <c r="H18" s="383">
        <f t="shared" si="1"/>
        <v>13.608695652173912</v>
      </c>
      <c r="I18" s="434">
        <v>930</v>
      </c>
      <c r="J18" s="383">
        <f t="shared" si="2"/>
        <v>13.478260869565217</v>
      </c>
      <c r="K18" s="434">
        <v>3</v>
      </c>
      <c r="L18" s="382">
        <f t="shared" si="3"/>
        <v>0.31948881789137379</v>
      </c>
      <c r="M18" s="383">
        <f t="shared" si="4"/>
        <v>4.3478260869565216E-2</v>
      </c>
      <c r="N18" s="382">
        <f t="shared" si="5"/>
        <v>99.04153354632588</v>
      </c>
      <c r="O18" s="434">
        <v>380</v>
      </c>
      <c r="P18" s="382">
        <f t="array" ref="P18">O18:O46/G18:G46*100</f>
        <v>40.468583599574018</v>
      </c>
      <c r="Q18" s="434">
        <v>550</v>
      </c>
      <c r="R18" s="382">
        <f t="array" ref="R18">Q18:Q46/G18:G46*100</f>
        <v>58.572949946751862</v>
      </c>
      <c r="S18" s="434">
        <v>6</v>
      </c>
      <c r="T18" s="382">
        <f t="shared" si="6"/>
        <v>0.63897763578274758</v>
      </c>
      <c r="U18" s="434">
        <v>0</v>
      </c>
      <c r="V18" s="382">
        <f t="shared" si="7"/>
        <v>0</v>
      </c>
      <c r="W18" s="113"/>
    </row>
    <row r="19" spans="1:23">
      <c r="A19" s="45" t="s">
        <v>98</v>
      </c>
      <c r="B19" s="112" t="s">
        <v>99</v>
      </c>
      <c r="C19" s="433">
        <v>43</v>
      </c>
      <c r="D19" s="433">
        <v>42</v>
      </c>
      <c r="E19" s="433">
        <f t="shared" si="8"/>
        <v>97.674418604651152</v>
      </c>
      <c r="F19" s="382"/>
      <c r="G19" s="434">
        <v>959</v>
      </c>
      <c r="H19" s="383">
        <f t="shared" si="1"/>
        <v>22.302325581395348</v>
      </c>
      <c r="I19" s="434">
        <v>943</v>
      </c>
      <c r="J19" s="383">
        <f t="shared" si="2"/>
        <v>22.452380952380953</v>
      </c>
      <c r="K19" s="434">
        <v>12</v>
      </c>
      <c r="L19" s="382">
        <f t="shared" si="3"/>
        <v>1.251303441084463</v>
      </c>
      <c r="M19" s="383">
        <f t="shared" si="4"/>
        <v>0.27906976744186046</v>
      </c>
      <c r="N19" s="382">
        <f t="shared" si="5"/>
        <v>98.331595411887378</v>
      </c>
      <c r="O19" s="434">
        <v>943</v>
      </c>
      <c r="P19" s="382">
        <f t="array" ref="P19">O19:O47/G19:G47*100</f>
        <v>98.331595411887378</v>
      </c>
      <c r="Q19" s="434">
        <v>0</v>
      </c>
      <c r="R19" s="382">
        <f t="array" ref="R19">Q19:Q47/G19:G47*100</f>
        <v>0</v>
      </c>
      <c r="S19" s="434">
        <v>0</v>
      </c>
      <c r="T19" s="382">
        <f t="shared" si="6"/>
        <v>0</v>
      </c>
      <c r="U19" s="434">
        <v>4</v>
      </c>
      <c r="V19" s="382">
        <f t="shared" si="7"/>
        <v>0.41710114702815432</v>
      </c>
      <c r="W19" s="113"/>
    </row>
    <row r="20" spans="1:23">
      <c r="A20" s="45" t="s">
        <v>101</v>
      </c>
      <c r="B20" s="112" t="s">
        <v>102</v>
      </c>
      <c r="C20" s="433">
        <v>325</v>
      </c>
      <c r="D20" s="433">
        <v>248</v>
      </c>
      <c r="E20" s="433">
        <f t="shared" si="8"/>
        <v>76.307692307692307</v>
      </c>
      <c r="F20" s="382"/>
      <c r="G20" s="434">
        <v>7733</v>
      </c>
      <c r="H20" s="383">
        <f t="shared" si="1"/>
        <v>23.793846153846154</v>
      </c>
      <c r="I20" s="434">
        <v>6949</v>
      </c>
      <c r="J20" s="383">
        <f t="shared" si="2"/>
        <v>28.02016129032258</v>
      </c>
      <c r="K20" s="434">
        <v>428</v>
      </c>
      <c r="L20" s="382">
        <f t="shared" si="3"/>
        <v>5.5347213241950088</v>
      </c>
      <c r="M20" s="383">
        <f t="shared" si="4"/>
        <v>1.3169230769230769</v>
      </c>
      <c r="N20" s="382">
        <f t="shared" si="5"/>
        <v>89.861631966895132</v>
      </c>
      <c r="O20" s="434">
        <v>6548</v>
      </c>
      <c r="P20" s="382">
        <f t="array" ref="P20">O20:O48/G20:G48*100</f>
        <v>84.676063623432043</v>
      </c>
      <c r="Q20" s="434">
        <v>401</v>
      </c>
      <c r="R20" s="382">
        <f t="array" ref="R20">Q20:Q48/G20:G48*100</f>
        <v>5.1855683434630802</v>
      </c>
      <c r="S20" s="434">
        <v>0</v>
      </c>
      <c r="T20" s="382">
        <f t="shared" si="6"/>
        <v>0</v>
      </c>
      <c r="U20" s="434">
        <v>356</v>
      </c>
      <c r="V20" s="382">
        <f t="shared" si="7"/>
        <v>4.6036467089098672</v>
      </c>
      <c r="W20" s="113"/>
    </row>
    <row r="21" spans="1:23">
      <c r="A21" s="45" t="s">
        <v>104</v>
      </c>
      <c r="B21" s="112" t="s">
        <v>105</v>
      </c>
      <c r="C21" s="433">
        <v>280</v>
      </c>
      <c r="D21" s="433">
        <v>274</v>
      </c>
      <c r="E21" s="433">
        <f t="shared" si="8"/>
        <v>97.857142857142847</v>
      </c>
      <c r="F21" s="382"/>
      <c r="G21" s="434">
        <v>5317</v>
      </c>
      <c r="H21" s="383">
        <f t="shared" si="1"/>
        <v>18.989285714285714</v>
      </c>
      <c r="I21" s="434">
        <v>4839</v>
      </c>
      <c r="J21" s="383">
        <f t="shared" si="2"/>
        <v>17.660583941605839</v>
      </c>
      <c r="K21" s="434">
        <v>437</v>
      </c>
      <c r="L21" s="382">
        <f t="shared" si="3"/>
        <v>8.2189204438593197</v>
      </c>
      <c r="M21" s="383">
        <f t="shared" si="4"/>
        <v>1.5607142857142857</v>
      </c>
      <c r="N21" s="382">
        <f t="shared" si="5"/>
        <v>91.009968027082948</v>
      </c>
      <c r="O21" s="434">
        <v>4839</v>
      </c>
      <c r="P21" s="382">
        <f t="array" ref="P21">O21:O49/G21:G49*100</f>
        <v>91.009968027082948</v>
      </c>
      <c r="Q21" s="434">
        <v>0</v>
      </c>
      <c r="R21" s="382">
        <f t="array" ref="R21">Q21:Q49/G21:G49*100</f>
        <v>0</v>
      </c>
      <c r="S21" s="434">
        <v>1</v>
      </c>
      <c r="T21" s="382">
        <f t="shared" si="6"/>
        <v>1.8807598269700961E-2</v>
      </c>
      <c r="U21" s="434">
        <v>40</v>
      </c>
      <c r="V21" s="382">
        <f t="shared" si="7"/>
        <v>0.75230393078803837</v>
      </c>
      <c r="W21" s="113"/>
    </row>
    <row r="22" spans="1:23">
      <c r="A22" s="45" t="s">
        <v>107</v>
      </c>
      <c r="B22" s="112" t="s">
        <v>108</v>
      </c>
      <c r="C22" s="433">
        <v>291</v>
      </c>
      <c r="D22" s="433">
        <v>280</v>
      </c>
      <c r="E22" s="433">
        <f t="shared" si="8"/>
        <v>96.219931271477662</v>
      </c>
      <c r="F22" s="382"/>
      <c r="G22" s="434">
        <v>4085</v>
      </c>
      <c r="H22" s="383">
        <f t="shared" si="1"/>
        <v>14.037800687285223</v>
      </c>
      <c r="I22" s="434">
        <v>3679</v>
      </c>
      <c r="J22" s="383">
        <f t="shared" si="2"/>
        <v>13.139285714285714</v>
      </c>
      <c r="K22" s="434">
        <v>343</v>
      </c>
      <c r="L22" s="382">
        <f t="shared" si="3"/>
        <v>8.3965728274173816</v>
      </c>
      <c r="M22" s="383">
        <f t="shared" si="4"/>
        <v>1.1786941580756014</v>
      </c>
      <c r="N22" s="382">
        <f t="shared" si="5"/>
        <v>90.061199510403924</v>
      </c>
      <c r="O22" s="434">
        <v>3679</v>
      </c>
      <c r="P22" s="382">
        <f t="array" ref="P22">O22:O50/G22:G50*100</f>
        <v>90.061199510403924</v>
      </c>
      <c r="Q22" s="434">
        <v>0</v>
      </c>
      <c r="R22" s="382">
        <f t="array" ref="R22">Q22:Q50/G22:G50*100</f>
        <v>0</v>
      </c>
      <c r="S22" s="434">
        <v>0</v>
      </c>
      <c r="T22" s="382">
        <f t="shared" si="6"/>
        <v>0</v>
      </c>
      <c r="U22" s="434">
        <v>63</v>
      </c>
      <c r="V22" s="382">
        <f t="shared" si="7"/>
        <v>1.5422276621787026</v>
      </c>
      <c r="W22" s="113"/>
    </row>
    <row r="23" spans="1:23">
      <c r="A23" s="45" t="s">
        <v>110</v>
      </c>
      <c r="B23" s="112" t="s">
        <v>109</v>
      </c>
      <c r="C23" s="433">
        <v>346</v>
      </c>
      <c r="D23" s="433">
        <v>341</v>
      </c>
      <c r="E23" s="433">
        <f t="shared" si="8"/>
        <v>98.554913294797686</v>
      </c>
      <c r="F23" s="382"/>
      <c r="G23" s="434">
        <v>6973</v>
      </c>
      <c r="H23" s="383">
        <f t="shared" si="1"/>
        <v>20.153179190751445</v>
      </c>
      <c r="I23" s="434">
        <v>6642</v>
      </c>
      <c r="J23" s="383">
        <f t="shared" si="2"/>
        <v>19.478005865102638</v>
      </c>
      <c r="K23" s="434">
        <v>316</v>
      </c>
      <c r="L23" s="382">
        <f t="shared" si="3"/>
        <v>4.5317653807543383</v>
      </c>
      <c r="M23" s="383">
        <f t="shared" si="4"/>
        <v>0.91329479768786126</v>
      </c>
      <c r="N23" s="382">
        <f t="shared" si="5"/>
        <v>95.253119173956691</v>
      </c>
      <c r="O23" s="434">
        <v>6603</v>
      </c>
      <c r="P23" s="382">
        <f t="array" ref="P23">O23:O51/G23:G51*100</f>
        <v>94.693819016205367</v>
      </c>
      <c r="Q23" s="434">
        <v>39</v>
      </c>
      <c r="R23" s="382">
        <f t="array" ref="R23">Q23:Q51/G23:G51*100</f>
        <v>0.55930015775132658</v>
      </c>
      <c r="S23" s="434">
        <v>1</v>
      </c>
      <c r="T23" s="382">
        <f t="shared" si="6"/>
        <v>1.434102968593145E-2</v>
      </c>
      <c r="U23" s="434">
        <v>14</v>
      </c>
      <c r="V23" s="382">
        <f t="shared" si="7"/>
        <v>0.20077441560304032</v>
      </c>
      <c r="W23" s="113"/>
    </row>
    <row r="24" spans="1:23">
      <c r="A24" s="45" t="s">
        <v>112</v>
      </c>
      <c r="B24" s="112" t="s">
        <v>113</v>
      </c>
      <c r="C24" s="433">
        <v>873</v>
      </c>
      <c r="D24" s="433">
        <v>668</v>
      </c>
      <c r="E24" s="433">
        <f t="shared" si="8"/>
        <v>76.51775486827033</v>
      </c>
      <c r="F24" s="382"/>
      <c r="G24" s="434">
        <v>27363</v>
      </c>
      <c r="H24" s="383">
        <f t="shared" si="1"/>
        <v>31.343642611683848</v>
      </c>
      <c r="I24" s="434">
        <v>23629</v>
      </c>
      <c r="J24" s="383">
        <f t="shared" si="2"/>
        <v>35.372754491017965</v>
      </c>
      <c r="K24" s="434">
        <v>1076</v>
      </c>
      <c r="L24" s="382">
        <f t="shared" si="3"/>
        <v>3.9323173628622596</v>
      </c>
      <c r="M24" s="383">
        <f t="shared" si="4"/>
        <v>1.2325315005727377</v>
      </c>
      <c r="N24" s="382">
        <f t="shared" si="5"/>
        <v>86.353835471256801</v>
      </c>
      <c r="O24" s="434">
        <v>11784</v>
      </c>
      <c r="P24" s="382">
        <f t="array" ref="P24">O24:O52/G24:G52*100</f>
        <v>43.065453349413438</v>
      </c>
      <c r="Q24" s="434">
        <v>11845</v>
      </c>
      <c r="R24" s="382">
        <f t="array" ref="R24">Q24:Q52/G24:G52*100</f>
        <v>43.28838212184337</v>
      </c>
      <c r="S24" s="434">
        <v>152</v>
      </c>
      <c r="T24" s="382">
        <f t="shared" si="6"/>
        <v>0.55549464605489163</v>
      </c>
      <c r="U24" s="434">
        <v>2506</v>
      </c>
      <c r="V24" s="382">
        <f t="shared" si="7"/>
        <v>9.1583525198260425</v>
      </c>
      <c r="W24" s="113"/>
    </row>
    <row r="25" spans="1:23">
      <c r="A25" s="45" t="s">
        <v>115</v>
      </c>
      <c r="B25" s="112" t="s">
        <v>116</v>
      </c>
      <c r="C25" s="433">
        <v>232</v>
      </c>
      <c r="D25" s="433">
        <v>195</v>
      </c>
      <c r="E25" s="433">
        <f t="shared" si="8"/>
        <v>84.051724137931032</v>
      </c>
      <c r="F25" s="382"/>
      <c r="G25" s="434">
        <v>7926</v>
      </c>
      <c r="H25" s="383">
        <f t="shared" si="1"/>
        <v>34.163793103448278</v>
      </c>
      <c r="I25" s="434">
        <v>7246</v>
      </c>
      <c r="J25" s="383">
        <f t="shared" si="2"/>
        <v>37.158974358974362</v>
      </c>
      <c r="K25" s="434">
        <v>455</v>
      </c>
      <c r="L25" s="382">
        <f t="shared" si="3"/>
        <v>5.740600555134999</v>
      </c>
      <c r="M25" s="383">
        <f t="shared" si="4"/>
        <v>1.9612068965517242</v>
      </c>
      <c r="N25" s="382">
        <f t="shared" si="5"/>
        <v>91.420640928589449</v>
      </c>
      <c r="O25" s="434">
        <v>7190</v>
      </c>
      <c r="P25" s="382">
        <f t="array" ref="P25">O25:O53/G25:G53*100</f>
        <v>90.71410547564976</v>
      </c>
      <c r="Q25" s="434">
        <v>56</v>
      </c>
      <c r="R25" s="382">
        <f t="array" ref="R25">Q25:Q53/G25:G53*100</f>
        <v>0.70653545293969211</v>
      </c>
      <c r="S25" s="434">
        <v>27</v>
      </c>
      <c r="T25" s="382">
        <f t="shared" si="6"/>
        <v>0.34065102195306585</v>
      </c>
      <c r="U25" s="434">
        <v>198</v>
      </c>
      <c r="V25" s="382">
        <f t="shared" si="7"/>
        <v>2.498107494322483</v>
      </c>
      <c r="W25" s="113"/>
    </row>
    <row r="26" spans="1:23">
      <c r="A26" s="45" t="s">
        <v>118</v>
      </c>
      <c r="B26" s="112" t="s">
        <v>119</v>
      </c>
      <c r="C26" s="433">
        <v>318</v>
      </c>
      <c r="D26" s="433">
        <v>229</v>
      </c>
      <c r="E26" s="433">
        <f t="shared" si="8"/>
        <v>72.012578616352201</v>
      </c>
      <c r="F26" s="382"/>
      <c r="G26" s="434">
        <v>10279</v>
      </c>
      <c r="H26" s="383">
        <f t="shared" si="1"/>
        <v>32.323899371069182</v>
      </c>
      <c r="I26" s="434">
        <v>8645</v>
      </c>
      <c r="J26" s="383">
        <f t="shared" si="2"/>
        <v>37.751091703056765</v>
      </c>
      <c r="K26" s="434">
        <v>511</v>
      </c>
      <c r="L26" s="382">
        <f t="shared" si="3"/>
        <v>4.9713007101858153</v>
      </c>
      <c r="M26" s="383">
        <f t="shared" si="4"/>
        <v>1.6069182389937107</v>
      </c>
      <c r="N26" s="382">
        <f t="shared" si="5"/>
        <v>84.103512014787427</v>
      </c>
      <c r="O26" s="434">
        <v>7481</v>
      </c>
      <c r="P26" s="382">
        <f t="array" ref="P26">O26:O54/G26:G54*100</f>
        <v>72.77945325420761</v>
      </c>
      <c r="Q26" s="434">
        <v>1164</v>
      </c>
      <c r="R26" s="382">
        <f t="array" ref="R26">Q26:Q54/G26:G54*100</f>
        <v>11.324058760579824</v>
      </c>
      <c r="S26" s="434">
        <v>1</v>
      </c>
      <c r="T26" s="382">
        <f t="shared" si="6"/>
        <v>9.7285728183675452E-3</v>
      </c>
      <c r="U26" s="434">
        <v>1122</v>
      </c>
      <c r="V26" s="382">
        <f t="shared" si="7"/>
        <v>10.915458702208387</v>
      </c>
      <c r="W26" s="113"/>
    </row>
    <row r="27" spans="1:23">
      <c r="A27" s="45" t="s">
        <v>121</v>
      </c>
      <c r="B27" s="112" t="s">
        <v>122</v>
      </c>
      <c r="C27" s="433">
        <v>36</v>
      </c>
      <c r="D27" s="433">
        <v>29</v>
      </c>
      <c r="E27" s="433">
        <f t="shared" si="8"/>
        <v>80.555555555555557</v>
      </c>
      <c r="F27" s="382"/>
      <c r="G27" s="434">
        <v>680</v>
      </c>
      <c r="H27" s="383">
        <f t="shared" si="1"/>
        <v>18.888888888888889</v>
      </c>
      <c r="I27" s="434">
        <v>622</v>
      </c>
      <c r="J27" s="383">
        <f t="shared" si="2"/>
        <v>21.448275862068964</v>
      </c>
      <c r="K27" s="434">
        <v>40</v>
      </c>
      <c r="L27" s="382">
        <f t="shared" si="3"/>
        <v>5.8823529411764701</v>
      </c>
      <c r="M27" s="383">
        <f t="shared" si="4"/>
        <v>1.1111111111111112</v>
      </c>
      <c r="N27" s="382">
        <f t="shared" si="5"/>
        <v>91.470588235294116</v>
      </c>
      <c r="O27" s="434">
        <v>71</v>
      </c>
      <c r="P27" s="382">
        <f t="array" ref="P27">O27:O55/G27:G55*100</f>
        <v>10.441176470588236</v>
      </c>
      <c r="Q27" s="434">
        <v>551</v>
      </c>
      <c r="R27" s="382">
        <f t="array" ref="R27">Q27:Q55/G27:G55*100</f>
        <v>81.029411764705884</v>
      </c>
      <c r="S27" s="434">
        <v>0</v>
      </c>
      <c r="T27" s="382">
        <f t="shared" si="6"/>
        <v>0</v>
      </c>
      <c r="U27" s="434">
        <v>18</v>
      </c>
      <c r="V27" s="382">
        <f t="shared" si="7"/>
        <v>2.6470588235294117</v>
      </c>
      <c r="W27" s="113"/>
    </row>
    <row r="28" spans="1:23">
      <c r="A28" s="45" t="s">
        <v>124</v>
      </c>
      <c r="B28" s="112" t="s">
        <v>125</v>
      </c>
      <c r="C28" s="433">
        <v>35</v>
      </c>
      <c r="D28" s="433">
        <v>35</v>
      </c>
      <c r="E28" s="433">
        <f t="shared" si="8"/>
        <v>100</v>
      </c>
      <c r="F28" s="382"/>
      <c r="G28" s="434">
        <v>893</v>
      </c>
      <c r="H28" s="383">
        <f t="shared" si="1"/>
        <v>25.514285714285716</v>
      </c>
      <c r="I28" s="434">
        <v>890</v>
      </c>
      <c r="J28" s="383">
        <f t="shared" si="2"/>
        <v>25.428571428571427</v>
      </c>
      <c r="K28" s="434">
        <v>2</v>
      </c>
      <c r="L28" s="382">
        <f t="shared" si="3"/>
        <v>0.22396416573348266</v>
      </c>
      <c r="M28" s="383">
        <f t="shared" si="4"/>
        <v>5.7142857142857141E-2</v>
      </c>
      <c r="N28" s="382">
        <f t="shared" si="5"/>
        <v>99.664053751399777</v>
      </c>
      <c r="O28" s="434">
        <v>890</v>
      </c>
      <c r="P28" s="382">
        <f t="array" ref="P28">O28:O56/G28:G56*100</f>
        <v>99.664053751399777</v>
      </c>
      <c r="Q28" s="434">
        <v>0</v>
      </c>
      <c r="R28" s="382">
        <f t="array" ref="R28">Q28:Q56/G28:G56*100</f>
        <v>0</v>
      </c>
      <c r="S28" s="434">
        <v>0</v>
      </c>
      <c r="T28" s="382">
        <f t="shared" si="6"/>
        <v>0</v>
      </c>
      <c r="U28" s="434">
        <v>1</v>
      </c>
      <c r="V28" s="382">
        <f t="shared" si="7"/>
        <v>0.11198208286674133</v>
      </c>
      <c r="W28" s="113"/>
    </row>
    <row r="29" spans="1:23">
      <c r="A29" s="45" t="s">
        <v>127</v>
      </c>
      <c r="B29" s="112" t="s">
        <v>128</v>
      </c>
      <c r="C29" s="433">
        <v>383</v>
      </c>
      <c r="D29" s="433">
        <v>382</v>
      </c>
      <c r="E29" s="433">
        <f t="shared" si="8"/>
        <v>99.738903394255871</v>
      </c>
      <c r="F29" s="382"/>
      <c r="G29" s="434">
        <v>7007</v>
      </c>
      <c r="H29" s="383">
        <f t="shared" si="1"/>
        <v>18.295039164490863</v>
      </c>
      <c r="I29" s="434">
        <v>6515</v>
      </c>
      <c r="J29" s="383">
        <f t="shared" si="2"/>
        <v>17.054973821989527</v>
      </c>
      <c r="K29" s="434">
        <v>352</v>
      </c>
      <c r="L29" s="382">
        <f t="shared" si="3"/>
        <v>5.0235478806907379</v>
      </c>
      <c r="M29" s="383">
        <f t="shared" si="4"/>
        <v>0.91906005221932119</v>
      </c>
      <c r="N29" s="382">
        <f t="shared" si="5"/>
        <v>92.978450121307262</v>
      </c>
      <c r="O29" s="434">
        <v>3193</v>
      </c>
      <c r="P29" s="382">
        <f t="array" ref="P29">O29:O57/G29:G57*100</f>
        <v>45.568716997288426</v>
      </c>
      <c r="Q29" s="434">
        <v>3322</v>
      </c>
      <c r="R29" s="382">
        <f t="array" ref="R29">Q29:Q57/G29:G57*100</f>
        <v>47.409733124018835</v>
      </c>
      <c r="S29" s="434">
        <v>126</v>
      </c>
      <c r="T29" s="382">
        <f t="shared" si="6"/>
        <v>1.7982017982017984</v>
      </c>
      <c r="U29" s="434">
        <v>14</v>
      </c>
      <c r="V29" s="382">
        <f t="shared" si="7"/>
        <v>0.19980019980019981</v>
      </c>
      <c r="W29" s="113"/>
    </row>
    <row r="30" spans="1:23">
      <c r="A30" s="45" t="s">
        <v>130</v>
      </c>
      <c r="B30" s="112" t="s">
        <v>131</v>
      </c>
      <c r="C30" s="433">
        <v>194</v>
      </c>
      <c r="D30" s="433">
        <v>184</v>
      </c>
      <c r="E30" s="433">
        <f t="shared" si="8"/>
        <v>94.845360824742258</v>
      </c>
      <c r="F30" s="382"/>
      <c r="G30" s="434">
        <v>6178</v>
      </c>
      <c r="H30" s="383">
        <f t="shared" si="1"/>
        <v>31.845360824742269</v>
      </c>
      <c r="I30" s="434">
        <v>5777</v>
      </c>
      <c r="J30" s="383">
        <f t="shared" si="2"/>
        <v>31.396739130434781</v>
      </c>
      <c r="K30" s="434">
        <v>360</v>
      </c>
      <c r="L30" s="382">
        <f t="shared" si="3"/>
        <v>5.8271285205568146</v>
      </c>
      <c r="M30" s="383">
        <f t="shared" si="4"/>
        <v>1.8556701030927836</v>
      </c>
      <c r="N30" s="382">
        <f t="shared" si="5"/>
        <v>93.509226286824216</v>
      </c>
      <c r="O30" s="434">
        <v>5752</v>
      </c>
      <c r="P30" s="382">
        <f t="array" ref="P30">O30:O58/G30:G58*100</f>
        <v>93.104564584007761</v>
      </c>
      <c r="Q30" s="434">
        <v>25</v>
      </c>
      <c r="R30" s="382">
        <f t="array" ref="R30">Q30:Q58/G30:G58*100</f>
        <v>0.40466170281644548</v>
      </c>
      <c r="S30" s="434">
        <v>20</v>
      </c>
      <c r="T30" s="382">
        <f t="shared" si="6"/>
        <v>0.32372936225315635</v>
      </c>
      <c r="U30" s="434">
        <v>21</v>
      </c>
      <c r="V30" s="382">
        <f t="shared" si="7"/>
        <v>0.33991583036581419</v>
      </c>
      <c r="W30" s="113"/>
    </row>
    <row r="31" spans="1:23">
      <c r="A31" s="45" t="s">
        <v>39</v>
      </c>
      <c r="B31" s="112" t="s">
        <v>136</v>
      </c>
      <c r="C31" s="433">
        <v>24</v>
      </c>
      <c r="D31" s="433">
        <v>24</v>
      </c>
      <c r="E31" s="433">
        <f t="shared" si="8"/>
        <v>100</v>
      </c>
      <c r="F31" s="382"/>
      <c r="G31" s="434">
        <v>907</v>
      </c>
      <c r="H31" s="383">
        <f t="shared" si="1"/>
        <v>37.791666666666664</v>
      </c>
      <c r="I31" s="434">
        <v>752</v>
      </c>
      <c r="J31" s="383">
        <f t="shared" si="2"/>
        <v>31.333333333333332</v>
      </c>
      <c r="K31" s="434">
        <v>155</v>
      </c>
      <c r="L31" s="382">
        <f t="shared" si="3"/>
        <v>17.089305402425577</v>
      </c>
      <c r="M31" s="383">
        <f t="shared" si="4"/>
        <v>6.458333333333333</v>
      </c>
      <c r="N31" s="382">
        <f t="shared" si="5"/>
        <v>82.91069459757442</v>
      </c>
      <c r="O31" s="434">
        <v>752</v>
      </c>
      <c r="P31" s="382">
        <f t="array" ref="P31">O31:O59/G31:G59*100</f>
        <v>82.91069459757442</v>
      </c>
      <c r="Q31" s="434">
        <v>0</v>
      </c>
      <c r="R31" s="382">
        <f t="array" ref="R31">Q31:Q59/G31:G59*100</f>
        <v>0</v>
      </c>
      <c r="S31" s="434">
        <v>0</v>
      </c>
      <c r="T31" s="382">
        <f t="shared" si="6"/>
        <v>0</v>
      </c>
      <c r="U31" s="434">
        <v>0</v>
      </c>
      <c r="V31" s="382">
        <f t="shared" si="7"/>
        <v>0</v>
      </c>
      <c r="W31" s="113"/>
    </row>
    <row r="32" spans="1:23">
      <c r="A32" s="50"/>
      <c r="C32" s="71"/>
      <c r="D32" s="71"/>
      <c r="E32" s="34"/>
      <c r="F32" s="34"/>
      <c r="G32" s="34"/>
      <c r="H32" s="34"/>
      <c r="I32" s="34"/>
      <c r="J32" s="34"/>
      <c r="K32" s="34"/>
    </row>
  </sheetData>
  <sheetProtection password="B8D9" sheet="1" objects="1" scenarios="1"/>
  <mergeCells count="2">
    <mergeCell ref="C1:E1"/>
    <mergeCell ref="G1:V1"/>
  </mergeCells>
  <printOptions horizontalCentered="1"/>
  <pageMargins left="0" right="0" top="0.27559055118110237" bottom="0.51181102362204722" header="0.15748031496062992" footer="0.19685039370078741"/>
  <pageSetup paperSize="9" scale="5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6.xml><?xml version="1.0" encoding="utf-8"?>
<worksheet xmlns="http://schemas.openxmlformats.org/spreadsheetml/2006/main" xmlns:r="http://schemas.openxmlformats.org/officeDocument/2006/relationships">
  <sheetPr codeName="Sheet1">
    <pageSetUpPr fitToPage="1"/>
  </sheetPr>
  <dimension ref="A1:O35"/>
  <sheetViews>
    <sheetView workbookViewId="0"/>
  </sheetViews>
  <sheetFormatPr defaultRowHeight="12.75"/>
  <cols>
    <col min="1" max="1" width="1.7109375" style="335" customWidth="1"/>
    <col min="2" max="2" width="32.7109375" style="335" customWidth="1"/>
    <col min="3" max="4" width="24.7109375" style="335" customWidth="1"/>
    <col min="5" max="5" width="26.85546875" style="335" customWidth="1"/>
    <col min="6" max="6" width="12.7109375" style="335" customWidth="1"/>
    <col min="7" max="7" width="1.7109375" style="335" customWidth="1"/>
    <col min="8" max="8" width="12.7109375" style="335" customWidth="1"/>
    <col min="9" max="9" width="9.140625" style="335"/>
    <col min="10" max="11" width="6.7109375" style="335" customWidth="1"/>
    <col min="12" max="13" width="9.5703125" style="335" bestFit="1" customWidth="1"/>
    <col min="14" max="16384" width="9.140625" style="335"/>
  </cols>
  <sheetData>
    <row r="1" spans="1:15" ht="15.75" customHeight="1">
      <c r="B1" s="26" t="s">
        <v>611</v>
      </c>
      <c r="C1" s="26"/>
      <c r="D1" s="26"/>
      <c r="E1" s="26"/>
      <c r="F1" s="333"/>
    </row>
    <row r="2" spans="1:15">
      <c r="B2" s="333"/>
      <c r="C2" s="333"/>
      <c r="D2" s="106"/>
      <c r="E2" s="106"/>
      <c r="F2" s="106"/>
      <c r="G2" s="106"/>
      <c r="H2" s="106"/>
    </row>
    <row r="3" spans="1:15" ht="15">
      <c r="B3" s="786" t="s">
        <v>48</v>
      </c>
      <c r="C3" s="786"/>
      <c r="F3" s="282"/>
    </row>
    <row r="4" spans="1:15">
      <c r="B4" s="787" t="s">
        <v>283</v>
      </c>
      <c r="C4" s="788" t="s">
        <v>545</v>
      </c>
      <c r="D4" s="788" t="s">
        <v>547</v>
      </c>
      <c r="E4" s="788" t="s">
        <v>267</v>
      </c>
      <c r="F4" s="789" t="s">
        <v>165</v>
      </c>
      <c r="G4" s="790"/>
      <c r="H4" s="791"/>
    </row>
    <row r="5" spans="1:15" ht="31.5" customHeight="1">
      <c r="B5" s="787"/>
      <c r="C5" s="788"/>
      <c r="D5" s="788"/>
      <c r="E5" s="788"/>
      <c r="F5" s="792"/>
      <c r="G5" s="793"/>
      <c r="H5" s="794"/>
    </row>
    <row r="6" spans="1:15">
      <c r="B6" s="165" t="s">
        <v>137</v>
      </c>
      <c r="C6" s="166">
        <v>908</v>
      </c>
      <c r="D6" s="410">
        <v>5347600</v>
      </c>
      <c r="E6" s="167">
        <f>IF(ISERR(C6/D6*100000),"-",C6/D6*100000)</f>
        <v>16.979579624504453</v>
      </c>
      <c r="F6" s="168">
        <f>IF(AND(C6&gt;=0,C6&lt;100),SUM(VLOOKUP(C6,'Poisson sub 100'!$A$4:$C$103,2,FALSE)/D6*100000),IF(C6&gt;=100,SUM((((1.96/2)-SQRT(C6))^2)/D6*100000),""))</f>
        <v>15.893104286793852</v>
      </c>
      <c r="G6" s="169" t="s">
        <v>268</v>
      </c>
      <c r="H6" s="170">
        <f>IF(AND(C6&gt;=0,C6&lt;100),SUM(VLOOKUP(C6,'Poisson sub 100'!$A$4:$C$103,3,FALSE)/D6*100000),IF(C6&gt;=100,SUM((((1.96/2)+SQRT(C6+1))^2)/D6*100000),""))</f>
        <v>18.121281858257738</v>
      </c>
      <c r="J6" s="171"/>
      <c r="K6" s="171"/>
      <c r="L6" s="171"/>
      <c r="M6" s="171"/>
      <c r="N6" s="171"/>
      <c r="O6" s="171"/>
    </row>
    <row r="7" spans="1:15">
      <c r="A7" s="172" t="str">
        <f>B7</f>
        <v>Ayrshire &amp; Arran</v>
      </c>
      <c r="B7" s="173" t="s">
        <v>35</v>
      </c>
      <c r="C7" s="131">
        <v>48</v>
      </c>
      <c r="D7" s="411">
        <v>371110</v>
      </c>
      <c r="E7" s="174">
        <f t="shared" ref="E7:E20" si="0">IF(ISERR(C7/D7*100000),"-",C7/D7*100000)</f>
        <v>12.934170461588208</v>
      </c>
      <c r="F7" s="175">
        <f>IF(AND(C7&gt;=0,C7&lt;100),SUM(VLOOKUP(C7,'Poisson sub 100'!$A$4:$C$103,2,FALSE)/D7*100000),IF(C7&gt;=100,SUM((((1.96/2)-SQRT(C7))^2)/D7*100000),""))</f>
        <v>9.5366333432136017</v>
      </c>
      <c r="G7" s="331" t="s">
        <v>268</v>
      </c>
      <c r="H7" s="177">
        <f>IF(AND(C7&gt;=0,C7&lt;100),SUM(VLOOKUP(C7,'Poisson sub 100'!$A$4:$C$103,3,FALSE)/D7*100000),IF(C7&gt;=100,SUM((((1.96/2)+SQRT(C7+1))^2)/D7*100000),""))</f>
        <v>17.14882379887365</v>
      </c>
      <c r="J7" s="171"/>
      <c r="K7" s="171"/>
      <c r="L7" s="171"/>
      <c r="M7" s="171"/>
      <c r="N7" s="171"/>
      <c r="O7" s="171"/>
    </row>
    <row r="8" spans="1:15">
      <c r="A8" s="172" t="str">
        <f t="shared" ref="A8:A21" si="1">B8</f>
        <v>Borders</v>
      </c>
      <c r="B8" s="173" t="s">
        <v>30</v>
      </c>
      <c r="C8" s="131">
        <v>9</v>
      </c>
      <c r="D8" s="411">
        <v>114030</v>
      </c>
      <c r="E8" s="174">
        <f t="shared" si="0"/>
        <v>7.8926598263614833</v>
      </c>
      <c r="F8" s="175">
        <f>IF(AND(C8&gt;=0,C8&lt;100),SUM(VLOOKUP(C8,'Poisson sub 100'!$A$4:$C$103,2,FALSE)/D8*100000),IF(C8&gt;=100,SUM((((1.96/2)-SQRT(C8))^2)/D8*100000),""))</f>
        <v>3.6090502499342283</v>
      </c>
      <c r="G8" s="331" t="s">
        <v>268</v>
      </c>
      <c r="H8" s="177">
        <f>IF(AND(C8&gt;=0,C8&lt;100),SUM(VLOOKUP(C8,'Poisson sub 100'!$A$4:$C$103,3,FALSE)/D8*100000),IF(C8&gt;=100,SUM((((1.96/2)+SQRT(C8+1))^2)/D8*100000),""))</f>
        <v>14.982723844602299</v>
      </c>
      <c r="J8" s="171"/>
      <c r="K8" s="171"/>
      <c r="L8" s="171"/>
      <c r="M8" s="171"/>
      <c r="N8" s="171"/>
      <c r="O8" s="171"/>
    </row>
    <row r="9" spans="1:15">
      <c r="A9" s="172" t="str">
        <f t="shared" si="1"/>
        <v>Dumfries &amp; Galloway</v>
      </c>
      <c r="B9" s="173" t="s">
        <v>33</v>
      </c>
      <c r="C9" s="131">
        <v>38</v>
      </c>
      <c r="D9" s="411">
        <v>149940</v>
      </c>
      <c r="E9" s="174">
        <f t="shared" si="0"/>
        <v>25.34347072162198</v>
      </c>
      <c r="F9" s="175">
        <f>IF(AND(C9&gt;=0,C9&lt;100),SUM(VLOOKUP(C9,'Poisson sub 100'!$A$4:$C$103,2,FALSE)/D9*100000),IF(C9&gt;=100,SUM((((1.96/2)-SQRT(C9))^2)/D9*100000),""))</f>
        <v>17.934573829531814</v>
      </c>
      <c r="G9" s="331" t="s">
        <v>268</v>
      </c>
      <c r="H9" s="177">
        <f>IF(AND(C9&gt;=0,C9&lt;100),SUM(VLOOKUP(C9,'Poisson sub 100'!$A$4:$C$103,3,FALSE)/D9*100000),IF(C9&gt;=100,SUM((((1.96/2)+SQRT(C9+1))^2)/D9*100000),""))</f>
        <v>34.785914365746301</v>
      </c>
      <c r="J9" s="171"/>
      <c r="K9" s="171"/>
      <c r="L9" s="171"/>
      <c r="M9" s="171"/>
      <c r="N9" s="171"/>
      <c r="O9" s="171"/>
    </row>
    <row r="10" spans="1:15">
      <c r="A10" s="172" t="str">
        <f t="shared" si="1"/>
        <v>Fife</v>
      </c>
      <c r="B10" s="173" t="s">
        <v>32</v>
      </c>
      <c r="C10" s="131">
        <v>68</v>
      </c>
      <c r="D10" s="411">
        <v>367260</v>
      </c>
      <c r="E10" s="174">
        <f t="shared" si="0"/>
        <v>18.515493111147414</v>
      </c>
      <c r="F10" s="175">
        <f>IF(AND(C10&gt;=0,C10&lt;100),SUM(VLOOKUP(C10,'Poisson sub 100'!$A$4:$C$103,2,FALSE)/D10*100000),IF(C10&gt;=100,SUM((((1.96/2)-SQRT(C10))^2)/D10*100000),""))</f>
        <v>14.378015574797146</v>
      </c>
      <c r="G10" s="331" t="s">
        <v>268</v>
      </c>
      <c r="H10" s="177">
        <f>IF(AND(C10&gt;=0,C10&lt;100),SUM(VLOOKUP(C10,'Poisson sub 100'!$A$4:$C$103,3,FALSE)/D10*100000),IF(C10&gt;=100,SUM((((1.96/2)+SQRT(C10+1))^2)/D10*100000),""))</f>
        <v>23.472744104993737</v>
      </c>
      <c r="J10" s="171"/>
      <c r="K10" s="171"/>
      <c r="L10" s="171"/>
      <c r="M10" s="171"/>
      <c r="N10" s="171"/>
      <c r="O10" s="171"/>
    </row>
    <row r="11" spans="1:15">
      <c r="A11" s="172" t="str">
        <f t="shared" si="1"/>
        <v>Forth Valley</v>
      </c>
      <c r="B11" s="173" t="s">
        <v>37</v>
      </c>
      <c r="C11" s="131">
        <v>40</v>
      </c>
      <c r="D11" s="411">
        <v>300410</v>
      </c>
      <c r="E11" s="174">
        <f t="shared" si="0"/>
        <v>13.315135980826204</v>
      </c>
      <c r="F11" s="175">
        <f>IF(AND(C11&gt;=0,C11&lt;100),SUM(VLOOKUP(C11,'Poisson sub 100'!$A$4:$C$103,2,FALSE)/D11*100000),IF(C11&gt;=100,SUM((((1.96/2)-SQRT(C11))^2)/D11*100000),""))</f>
        <v>9.5125328717419517</v>
      </c>
      <c r="G11" s="331" t="s">
        <v>268</v>
      </c>
      <c r="H11" s="177">
        <f>IF(AND(C11&gt;=0,C11&lt;100),SUM(VLOOKUP(C11,'Poisson sub 100'!$A$4:$C$103,3,FALSE)/D11*100000),IF(C11&gt;=100,SUM((((1.96/2)+SQRT(C11+1))^2)/D11*100000),""))</f>
        <v>18.131420392130757</v>
      </c>
      <c r="J11" s="171"/>
      <c r="K11" s="171"/>
      <c r="L11" s="171"/>
      <c r="M11" s="171"/>
      <c r="N11" s="171"/>
      <c r="O11" s="171"/>
    </row>
    <row r="12" spans="1:15">
      <c r="A12" s="172" t="str">
        <f t="shared" si="1"/>
        <v>Grampian</v>
      </c>
      <c r="B12" s="173" t="s">
        <v>36</v>
      </c>
      <c r="C12" s="131">
        <v>154</v>
      </c>
      <c r="D12" s="411">
        <v>584240</v>
      </c>
      <c r="E12" s="174">
        <f t="shared" si="0"/>
        <v>26.359030535396414</v>
      </c>
      <c r="F12" s="175">
        <f>IF(AND(C12&gt;=0,C12&lt;100),SUM(VLOOKUP(C12,'Poisson sub 100'!$A$4:$C$103,2,FALSE)/D12*100000),IF(C12&gt;=100,SUM((((1.96/2)-SQRT(C12))^2)/D12*100000),""))</f>
        <v>22.360235460402901</v>
      </c>
      <c r="G12" s="331" t="s">
        <v>268</v>
      </c>
      <c r="H12" s="177">
        <f>IF(AND(C12&gt;=0,C12&lt;100),SUM(VLOOKUP(C12,'Poisson sub 100'!$A$4:$C$103,3,FALSE)/D12*100000),IF(C12&gt;=100,SUM((((1.96/2)+SQRT(C12+1))^2)/D12*100000),""))</f>
        <v>30.871252090246802</v>
      </c>
      <c r="J12" s="171"/>
      <c r="K12" s="171"/>
      <c r="L12" s="171"/>
      <c r="M12" s="171"/>
      <c r="N12" s="171"/>
      <c r="O12" s="171"/>
    </row>
    <row r="13" spans="1:15">
      <c r="A13" s="172" t="str">
        <f t="shared" si="1"/>
        <v>Greater Glasgow &amp; Clyde</v>
      </c>
      <c r="B13" s="173" t="s">
        <v>42</v>
      </c>
      <c r="C13" s="131">
        <v>194</v>
      </c>
      <c r="D13" s="411">
        <v>1142580</v>
      </c>
      <c r="E13" s="174">
        <f t="shared" si="0"/>
        <v>16.979117435978225</v>
      </c>
      <c r="F13" s="175">
        <f>IF(AND(C13&gt;=0,C13&lt;100),SUM(VLOOKUP(C13,'Poisson sub 100'!$A$4:$C$103,2,FALSE)/D13*100000),IF(C13&gt;=100,SUM((((1.96/2)-SQRT(C13))^2)/D13*100000),""))</f>
        <v>14.673874825108012</v>
      </c>
      <c r="G13" s="331" t="s">
        <v>268</v>
      </c>
      <c r="H13" s="177">
        <f>IF(AND(C13&gt;=0,C13&lt;100),SUM(VLOOKUP(C13,'Poisson sub 100'!$A$4:$C$103,3,FALSE)/D13*100000),IF(C13&gt;=100,SUM((((1.96/2)+SQRT(C13+1))^2)/D13*100000),""))</f>
        <v>19.546142106967313</v>
      </c>
      <c r="J13" s="171"/>
      <c r="K13" s="171"/>
      <c r="L13" s="171"/>
      <c r="M13" s="171"/>
      <c r="N13" s="171"/>
      <c r="O13" s="171"/>
    </row>
    <row r="14" spans="1:15">
      <c r="A14" s="172" t="str">
        <f t="shared" si="1"/>
        <v>Highland</v>
      </c>
      <c r="B14" s="173" t="s">
        <v>38</v>
      </c>
      <c r="C14" s="131">
        <v>38</v>
      </c>
      <c r="D14" s="411">
        <v>320760</v>
      </c>
      <c r="E14" s="174">
        <f t="shared" si="0"/>
        <v>11.84686369871555</v>
      </c>
      <c r="F14" s="175">
        <f>IF(AND(C14&gt;=0,C14&lt;100),SUM(VLOOKUP(C14,'Poisson sub 100'!$A$4:$C$103,2,FALSE)/D14*100000),IF(C14&gt;=100,SUM((((1.96/2)-SQRT(C14))^2)/D14*100000),""))</f>
        <v>8.3835578002244677</v>
      </c>
      <c r="G14" s="331" t="s">
        <v>268</v>
      </c>
      <c r="H14" s="177">
        <f>IF(AND(C14&gt;=0,C14&lt;100),SUM(VLOOKUP(C14,'Poisson sub 100'!$A$4:$C$103,3,FALSE)/D14*100000),IF(C14&gt;=100,SUM((((1.96/2)+SQRT(C14+1))^2)/D14*100000),""))</f>
        <v>16.26075570520015</v>
      </c>
      <c r="J14" s="171"/>
      <c r="K14" s="171"/>
      <c r="L14" s="171"/>
      <c r="M14" s="171"/>
      <c r="N14" s="171"/>
      <c r="O14" s="171"/>
    </row>
    <row r="15" spans="1:15">
      <c r="A15" s="172" t="str">
        <f t="shared" si="1"/>
        <v>Lanarkshire</v>
      </c>
      <c r="B15" s="173" t="s">
        <v>31</v>
      </c>
      <c r="C15" s="131">
        <v>129</v>
      </c>
      <c r="D15" s="411">
        <v>653310</v>
      </c>
      <c r="E15" s="174">
        <f t="shared" si="0"/>
        <v>19.745603159296504</v>
      </c>
      <c r="F15" s="175">
        <f>IF(AND(C15&gt;=0,C15&lt;100),SUM(VLOOKUP(C15,'Poisson sub 100'!$A$4:$C$103,2,FALSE)/D15*100000),IF(C15&gt;=100,SUM((((1.96/2)-SQRT(C15))^2)/D15*100000),""))</f>
        <v>16.485141706764463</v>
      </c>
      <c r="G15" s="331" t="s">
        <v>268</v>
      </c>
      <c r="H15" s="177">
        <f>IF(AND(C15&gt;=0,C15&lt;100),SUM(VLOOKUP(C15,'Poisson sub 100'!$A$4:$C$103,3,FALSE)/D15*100000),IF(C15&gt;=100,SUM((((1.96/2)+SQRT(C15+1))^2)/D15*100000),""))</f>
        <v>23.46632354195452</v>
      </c>
      <c r="J15" s="171"/>
      <c r="K15" s="171"/>
      <c r="L15" s="171"/>
      <c r="M15" s="171"/>
      <c r="N15" s="171"/>
      <c r="O15" s="171"/>
    </row>
    <row r="16" spans="1:15">
      <c r="A16" s="172" t="str">
        <f t="shared" si="1"/>
        <v>Lothian</v>
      </c>
      <c r="B16" s="173" t="s">
        <v>40</v>
      </c>
      <c r="C16" s="131">
        <v>114</v>
      </c>
      <c r="D16" s="411">
        <v>858090</v>
      </c>
      <c r="E16" s="174">
        <f t="shared" si="0"/>
        <v>13.285319721707513</v>
      </c>
      <c r="F16" s="175">
        <f>IF(AND(C16&gt;=0,C16&lt;100),SUM(VLOOKUP(C16,'Poisson sub 100'!$A$4:$C$103,2,FALSE)/D16*100000),IF(C16&gt;=100,SUM((((1.96/2)-SQRT(C16))^2)/D16*100000),""))</f>
        <v>10.958445690547451</v>
      </c>
      <c r="G16" s="331" t="s">
        <v>268</v>
      </c>
      <c r="H16" s="177">
        <f>IF(AND(C16&gt;=0,C16&lt;100),SUM(VLOOKUP(C16,'Poisson sub 100'!$A$4:$C$103,3,FALSE)/D16*100000),IF(C16&gt;=100,SUM((((1.96/2)+SQRT(C16+1))^2)/D16*100000),""))</f>
        <v>15.963250751988332</v>
      </c>
      <c r="J16" s="171"/>
      <c r="K16" s="171"/>
      <c r="L16" s="171"/>
      <c r="M16" s="171"/>
      <c r="N16" s="171"/>
      <c r="O16" s="171"/>
    </row>
    <row r="17" spans="1:15">
      <c r="A17" s="172" t="str">
        <f t="shared" si="1"/>
        <v>Orkney</v>
      </c>
      <c r="B17" s="173" t="s">
        <v>43</v>
      </c>
      <c r="C17" s="131">
        <v>3</v>
      </c>
      <c r="D17" s="411">
        <v>21590</v>
      </c>
      <c r="E17" s="174">
        <f t="shared" si="0"/>
        <v>13.895321908290875</v>
      </c>
      <c r="F17" s="175">
        <f>IF(AND(C17&gt;=0,C17&lt;100),SUM(VLOOKUP(C17,'Poisson sub 100'!$A$4:$C$103,2,FALSE)/D17*100000),IF(C17&gt;=100,SUM((((1.96/2)-SQRT(C17))^2)/D17*100000),""))</f>
        <v>2.8656785548865216</v>
      </c>
      <c r="G17" s="331" t="s">
        <v>268</v>
      </c>
      <c r="H17" s="177">
        <f>IF(AND(C17&gt;=0,C17&lt;100),SUM(VLOOKUP(C17,'Poisson sub 100'!$A$4:$C$103,3,FALSE)/D17*100000),IF(C17&gt;=100,SUM((((1.96/2)+SQRT(C17+1))^2)/D17*100000),""))</f>
        <v>40.608151922186195</v>
      </c>
      <c r="J17" s="171"/>
      <c r="K17" s="171"/>
      <c r="L17" s="171"/>
      <c r="M17" s="171"/>
      <c r="N17" s="171"/>
      <c r="O17" s="171"/>
    </row>
    <row r="18" spans="1:15">
      <c r="A18" s="172" t="str">
        <f t="shared" si="1"/>
        <v>Shetland</v>
      </c>
      <c r="B18" s="173" t="s">
        <v>41</v>
      </c>
      <c r="C18" s="131">
        <v>2</v>
      </c>
      <c r="D18" s="411">
        <v>23230</v>
      </c>
      <c r="E18" s="174">
        <f t="shared" si="0"/>
        <v>8.6095566078346959</v>
      </c>
      <c r="F18" s="175">
        <f>IF(AND(C18&gt;=0,C18&lt;100),SUM(VLOOKUP(C18,'Poisson sub 100'!$A$4:$C$103,2,FALSE)/D18*100000),IF(C18&gt;=100,SUM((((1.96/2)-SQRT(C18))^2)/D18*100000),""))</f>
        <v>1.0426173052087817</v>
      </c>
      <c r="G18" s="331" t="s">
        <v>268</v>
      </c>
      <c r="H18" s="177">
        <f>IF(AND(C18&gt;=0,C18&lt;100),SUM(VLOOKUP(C18,'Poisson sub 100'!$A$4:$C$103,3,FALSE)/D18*100000),IF(C18&gt;=100,SUM((((1.96/2)+SQRT(C18+1))^2)/D18*100000),""))</f>
        <v>31.100731812311668</v>
      </c>
      <c r="J18" s="171"/>
      <c r="K18" s="171"/>
      <c r="L18" s="171"/>
      <c r="M18" s="171"/>
      <c r="N18" s="171"/>
      <c r="O18" s="171"/>
    </row>
    <row r="19" spans="1:15">
      <c r="A19" s="172" t="str">
        <f t="shared" si="1"/>
        <v>Tayside</v>
      </c>
      <c r="B19" s="173" t="s">
        <v>34</v>
      </c>
      <c r="C19" s="131">
        <v>66</v>
      </c>
      <c r="D19" s="411">
        <v>413800</v>
      </c>
      <c r="E19" s="174">
        <f t="shared" si="0"/>
        <v>15.949734171097148</v>
      </c>
      <c r="F19" s="175">
        <f>IF(AND(C19&gt;=0,C19&lt;100),SUM(VLOOKUP(C19,'Poisson sub 100'!$A$4:$C$103,2,FALSE)/D19*100000),IF(C19&gt;=100,SUM((((1.96/2)-SQRT(C19))^2)/D19*100000),""))</f>
        <v>12.335524407926536</v>
      </c>
      <c r="G19" s="331" t="s">
        <v>268</v>
      </c>
      <c r="H19" s="177">
        <f>IF(AND(C19&gt;=0,C19&lt;100),SUM(VLOOKUP(C19,'Poisson sub 100'!$A$4:$C$103,3,FALSE)/D19*100000),IF(C19&gt;=100,SUM((((1.96/2)+SQRT(C19+1))^2)/D19*100000),""))</f>
        <v>20.29192846785887</v>
      </c>
      <c r="J19" s="171"/>
      <c r="K19" s="171"/>
      <c r="L19" s="171"/>
      <c r="M19" s="171"/>
      <c r="N19" s="171"/>
      <c r="O19" s="171"/>
    </row>
    <row r="20" spans="1:15">
      <c r="A20" s="172" t="str">
        <f t="shared" si="1"/>
        <v>Western Isles</v>
      </c>
      <c r="B20" s="173" t="s">
        <v>39</v>
      </c>
      <c r="C20" s="131">
        <v>5</v>
      </c>
      <c r="D20" s="411">
        <v>27250</v>
      </c>
      <c r="E20" s="174">
        <f t="shared" si="0"/>
        <v>18.348623853211009</v>
      </c>
      <c r="F20" s="175">
        <f>IF(AND(C20&gt;=0,C20&lt;100),SUM(VLOOKUP(C20,'Poisson sub 100'!$A$4:$C$103,2,FALSE)/D20*100000),IF(C20&gt;=100,SUM((((1.96/2)-SQRT(C20))^2)/D20*100000),""))</f>
        <v>5.9577981651376142</v>
      </c>
      <c r="G20" s="331" t="s">
        <v>268</v>
      </c>
      <c r="H20" s="177">
        <f>IF(AND(C20&gt;=0,C20&lt;100),SUM(VLOOKUP(C20,'Poisson sub 100'!$A$4:$C$103,3,FALSE)/D20*100000),IF(C20&gt;=100,SUM((((1.96/2)+SQRT(C20+1))^2)/D20*100000),""))</f>
        <v>42.819449541284406</v>
      </c>
      <c r="J20" s="171"/>
      <c r="K20" s="171"/>
      <c r="L20" s="171"/>
      <c r="M20" s="171"/>
      <c r="N20" s="171"/>
      <c r="O20" s="171"/>
    </row>
    <row r="21" spans="1:15">
      <c r="A21" s="172" t="str">
        <f t="shared" si="1"/>
        <v>Outside Scotland/ Not Known/ Other</v>
      </c>
      <c r="B21" s="173" t="s">
        <v>269</v>
      </c>
      <c r="C21" s="131">
        <v>38</v>
      </c>
      <c r="D21" s="178" t="s">
        <v>268</v>
      </c>
      <c r="E21" s="179" t="s">
        <v>268</v>
      </c>
      <c r="F21" s="779" t="s">
        <v>268</v>
      </c>
      <c r="G21" s="780"/>
      <c r="H21" s="781"/>
    </row>
    <row r="22" spans="1:15">
      <c r="A22" s="172"/>
      <c r="B22" s="180"/>
      <c r="C22" s="181"/>
      <c r="D22" s="182"/>
      <c r="E22" s="183"/>
      <c r="F22" s="184"/>
      <c r="G22" s="184"/>
      <c r="H22" s="184"/>
    </row>
    <row r="23" spans="1:15">
      <c r="A23" s="172"/>
      <c r="B23" s="185" t="s">
        <v>623</v>
      </c>
      <c r="C23" s="186"/>
      <c r="D23" s="187"/>
      <c r="E23" s="188"/>
      <c r="F23" s="189"/>
      <c r="G23" s="189"/>
      <c r="H23" s="189"/>
    </row>
    <row r="24" spans="1:15" ht="26.1" customHeight="1">
      <c r="A24" s="172"/>
      <c r="B24" s="782" t="s">
        <v>624</v>
      </c>
      <c r="C24" s="782"/>
      <c r="D24" s="782"/>
      <c r="E24" s="782"/>
      <c r="F24" s="782"/>
      <c r="G24" s="782"/>
      <c r="H24" s="782"/>
    </row>
    <row r="25" spans="1:15" ht="25.5" customHeight="1">
      <c r="B25" s="783" t="s">
        <v>5</v>
      </c>
      <c r="C25" s="784"/>
      <c r="D25" s="784"/>
      <c r="E25" s="784"/>
      <c r="F25" s="784"/>
      <c r="G25" s="784"/>
      <c r="H25" s="784"/>
    </row>
    <row r="26" spans="1:15">
      <c r="B26" s="769" t="s">
        <v>625</v>
      </c>
      <c r="C26" s="769"/>
      <c r="D26" s="769"/>
      <c r="E26" s="769"/>
      <c r="F26" s="769"/>
      <c r="G26" s="769"/>
      <c r="H26" s="769"/>
    </row>
    <row r="27" spans="1:15" s="400" customFormat="1">
      <c r="B27" s="769"/>
      <c r="C27" s="769"/>
      <c r="D27" s="769"/>
      <c r="E27" s="769"/>
      <c r="F27" s="769"/>
      <c r="G27" s="769"/>
      <c r="H27" s="769"/>
    </row>
    <row r="28" spans="1:15" s="400" customFormat="1">
      <c r="B28" s="769"/>
      <c r="C28" s="769"/>
      <c r="D28" s="769"/>
      <c r="E28" s="769"/>
      <c r="F28" s="769"/>
      <c r="G28" s="769"/>
      <c r="H28" s="769"/>
    </row>
    <row r="29" spans="1:15" ht="24" customHeight="1">
      <c r="B29" s="785"/>
      <c r="C29" s="784"/>
      <c r="D29" s="784"/>
      <c r="E29" s="784"/>
      <c r="F29" s="784"/>
      <c r="G29" s="784"/>
      <c r="H29" s="784"/>
    </row>
    <row r="30" spans="1:15" ht="24" customHeight="1">
      <c r="B30" s="332"/>
      <c r="C30" s="330"/>
      <c r="D30" s="330"/>
      <c r="E30" s="330"/>
      <c r="F30" s="330"/>
      <c r="G30" s="330"/>
      <c r="H30" s="330"/>
    </row>
    <row r="31" spans="1:15">
      <c r="B31" s="191" t="s">
        <v>270</v>
      </c>
      <c r="C31" s="330"/>
      <c r="D31" s="330"/>
      <c r="E31" s="330"/>
      <c r="F31" s="330"/>
      <c r="G31" s="330"/>
      <c r="H31" s="330"/>
    </row>
    <row r="32" spans="1:15">
      <c r="B32" s="191" t="s">
        <v>271</v>
      </c>
      <c r="C32" s="191"/>
      <c r="D32" s="191"/>
      <c r="E32" s="191"/>
      <c r="F32" s="334"/>
      <c r="G32" s="334"/>
      <c r="H32" s="334"/>
    </row>
    <row r="33" spans="2:2">
      <c r="B33" s="192" t="s">
        <v>272</v>
      </c>
    </row>
    <row r="34" spans="2:2">
      <c r="B34" s="192" t="s">
        <v>273</v>
      </c>
    </row>
    <row r="35" spans="2:2">
      <c r="B35" s="192" t="s">
        <v>274</v>
      </c>
    </row>
  </sheetData>
  <sheetProtection password="B8D9" sheet="1" objects="1" scenarios="1"/>
  <mergeCells count="11">
    <mergeCell ref="F21:H21"/>
    <mergeCell ref="B24:H24"/>
    <mergeCell ref="B25:H25"/>
    <mergeCell ref="B29:H29"/>
    <mergeCell ref="B3:C3"/>
    <mergeCell ref="B4:B5"/>
    <mergeCell ref="C4:C5"/>
    <mergeCell ref="D4:D5"/>
    <mergeCell ref="E4:E5"/>
    <mergeCell ref="F4:H5"/>
    <mergeCell ref="B26:H28"/>
  </mergeCells>
  <hyperlinks>
    <hyperlink ref="D3" location="'List of Tables &amp; Charts'!A1" display="return to List of Tables &amp; Charts"/>
    <hyperlink ref="E3" location="'List of Tables &amp; Charts'!A1" display="return to List of Tables &amp; Charts"/>
    <hyperlink ref="H3" location="'List of Tables &amp; Charts'!A1" display="return to List of Tables &amp; Chart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4"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60.xml><?xml version="1.0" encoding="utf-8"?>
<worksheet xmlns="http://schemas.openxmlformats.org/spreadsheetml/2006/main" xmlns:r="http://schemas.openxmlformats.org/officeDocument/2006/relationships">
  <sheetPr codeName="Sheet73">
    <pageSetUpPr fitToPage="1"/>
  </sheetPr>
  <dimension ref="A1:W107"/>
  <sheetViews>
    <sheetView workbookViewId="0"/>
  </sheetViews>
  <sheetFormatPr defaultRowHeight="12.75"/>
  <cols>
    <col min="1" max="1" width="1.7109375" style="214" customWidth="1"/>
    <col min="2" max="2" width="16.7109375" style="214" customWidth="1"/>
    <col min="3" max="3" width="45.7109375" style="214" customWidth="1"/>
    <col min="4" max="4" width="6.7109375" style="371" customWidth="1"/>
    <col min="5" max="5" width="10.7109375" style="371" customWidth="1"/>
    <col min="6" max="6" width="6.7109375" style="371" customWidth="1"/>
    <col min="7" max="7" width="10.7109375" style="371" customWidth="1"/>
    <col min="8" max="8" width="6.7109375" style="371" customWidth="1"/>
    <col min="9" max="9" width="10.7109375" style="371" customWidth="1"/>
    <col min="10" max="13" width="1.7109375" style="371" customWidth="1"/>
    <col min="14" max="14" width="9.28515625" style="214" customWidth="1"/>
    <col min="15" max="15" width="11.28515625" style="214" customWidth="1"/>
    <col min="16" max="16" width="9.28515625" style="214" customWidth="1"/>
    <col min="17" max="17" width="11.28515625" style="214" customWidth="1"/>
    <col min="18" max="18" width="9.28515625" style="214" customWidth="1"/>
    <col min="19" max="19" width="11.28515625" style="214" customWidth="1"/>
    <col min="20" max="16384" width="9.140625" style="214"/>
  </cols>
  <sheetData>
    <row r="1" spans="2:20" ht="12.75" customHeight="1">
      <c r="B1" s="944" t="s">
        <v>696</v>
      </c>
      <c r="C1" s="944"/>
      <c r="D1" s="944"/>
      <c r="E1" s="944"/>
      <c r="F1" s="944"/>
      <c r="G1" s="944"/>
      <c r="H1" s="944"/>
      <c r="I1" s="944"/>
      <c r="J1" s="945" t="s">
        <v>48</v>
      </c>
      <c r="K1" s="945"/>
      <c r="L1" s="945"/>
      <c r="M1" s="945"/>
      <c r="N1" s="945"/>
      <c r="O1" s="30"/>
      <c r="P1" s="213"/>
      <c r="Q1" s="213"/>
      <c r="R1" s="213"/>
      <c r="S1" s="213"/>
      <c r="T1" s="213"/>
    </row>
    <row r="2" spans="2:20" ht="12.75" customHeight="1">
      <c r="J2" s="945"/>
      <c r="K2" s="945"/>
      <c r="L2" s="945"/>
      <c r="M2" s="945"/>
      <c r="N2" s="945"/>
      <c r="O2" s="30"/>
      <c r="P2" s="30"/>
      <c r="T2" s="215"/>
    </row>
    <row r="3" spans="2:20" ht="12.6" customHeight="1">
      <c r="B3" s="836" t="s">
        <v>405</v>
      </c>
      <c r="C3" s="836"/>
      <c r="D3" s="836"/>
      <c r="E3" s="836"/>
      <c r="F3" s="836"/>
      <c r="G3" s="836"/>
      <c r="H3" s="836"/>
      <c r="I3" s="836"/>
      <c r="J3" s="945"/>
      <c r="K3" s="945"/>
      <c r="L3" s="945"/>
      <c r="M3" s="945"/>
      <c r="N3" s="945"/>
      <c r="O3" s="30"/>
      <c r="P3" s="30"/>
      <c r="T3" s="215"/>
    </row>
    <row r="4" spans="2:20" ht="12.6" customHeight="1">
      <c r="B4" s="836"/>
      <c r="C4" s="836"/>
      <c r="D4" s="836"/>
      <c r="E4" s="836"/>
      <c r="F4" s="836"/>
      <c r="G4" s="836"/>
      <c r="H4" s="836"/>
      <c r="I4" s="836"/>
      <c r="J4" s="651"/>
      <c r="K4" s="651"/>
      <c r="L4" s="651"/>
      <c r="M4" s="651"/>
      <c r="N4" s="651"/>
      <c r="O4" s="30"/>
      <c r="P4" s="30"/>
      <c r="T4" s="215"/>
    </row>
    <row r="5" spans="2:20" ht="12.6" customHeight="1">
      <c r="B5" s="836"/>
      <c r="C5" s="836"/>
      <c r="D5" s="836"/>
      <c r="E5" s="836"/>
      <c r="F5" s="836"/>
      <c r="G5" s="836"/>
      <c r="H5" s="836"/>
      <c r="I5" s="836"/>
      <c r="J5" s="651"/>
      <c r="K5" s="651"/>
      <c r="L5" s="651"/>
      <c r="M5" s="651"/>
      <c r="N5" s="651"/>
      <c r="O5" s="30"/>
      <c r="P5" s="30"/>
      <c r="T5" s="215"/>
    </row>
    <row r="6" spans="2:20" ht="12.6" customHeight="1">
      <c r="B6" s="647"/>
      <c r="C6" s="647"/>
      <c r="D6" s="647"/>
      <c r="E6" s="647"/>
      <c r="F6" s="647"/>
      <c r="G6" s="647"/>
      <c r="H6" s="647"/>
      <c r="I6" s="647"/>
      <c r="J6" s="651"/>
      <c r="K6" s="651"/>
      <c r="L6" s="651"/>
      <c r="M6" s="651"/>
      <c r="N6" s="651"/>
      <c r="O6" s="30"/>
      <c r="P6" s="30"/>
      <c r="T6" s="215"/>
    </row>
    <row r="7" spans="2:20" ht="12.75" customHeight="1"/>
    <row r="36" spans="1:23">
      <c r="B36" s="216"/>
    </row>
    <row r="37" spans="1:23">
      <c r="B37" s="217" t="s">
        <v>697</v>
      </c>
      <c r="C37" s="218"/>
      <c r="D37" s="219"/>
      <c r="E37" s="219"/>
      <c r="F37" s="219"/>
      <c r="G37" s="219"/>
      <c r="H37" s="219"/>
      <c r="I37" s="219"/>
      <c r="J37" s="219"/>
      <c r="K37" s="219"/>
      <c r="N37" s="220"/>
      <c r="O37" s="220"/>
      <c r="P37" s="220"/>
      <c r="Q37" s="220"/>
    </row>
    <row r="38" spans="1:23">
      <c r="B38" s="454" t="s">
        <v>471</v>
      </c>
      <c r="C38" s="451"/>
      <c r="D38" s="452"/>
      <c r="E38" s="452"/>
      <c r="F38" s="452"/>
      <c r="G38" s="452"/>
      <c r="H38" s="452"/>
      <c r="I38" s="452"/>
      <c r="J38" s="452"/>
      <c r="K38" s="452"/>
      <c r="L38" s="453"/>
      <c r="M38" s="453"/>
      <c r="N38" s="220"/>
      <c r="O38" s="220"/>
      <c r="P38" s="220"/>
      <c r="Q38" s="220"/>
    </row>
    <row r="39" spans="1:23">
      <c r="B39" s="454" t="s">
        <v>472</v>
      </c>
      <c r="C39" s="451"/>
      <c r="D39" s="452"/>
      <c r="E39" s="452"/>
      <c r="F39" s="452"/>
      <c r="G39" s="452"/>
      <c r="H39" s="452"/>
      <c r="I39" s="452"/>
      <c r="J39" s="452"/>
      <c r="K39" s="452"/>
      <c r="L39" s="453"/>
      <c r="M39" s="453"/>
      <c r="N39" s="220"/>
      <c r="O39" s="220"/>
      <c r="P39" s="220"/>
      <c r="Q39" s="220"/>
    </row>
    <row r="40" spans="1:23">
      <c r="B40" s="456" t="s">
        <v>468</v>
      </c>
      <c r="C40" s="451"/>
      <c r="D40" s="452"/>
      <c r="E40" s="452"/>
      <c r="F40" s="452"/>
      <c r="G40" s="452"/>
      <c r="H40" s="452"/>
      <c r="I40" s="452"/>
      <c r="J40" s="452"/>
      <c r="K40" s="452"/>
      <c r="L40" s="453"/>
      <c r="M40" s="453"/>
      <c r="N40" s="220"/>
      <c r="O40" s="220"/>
      <c r="P40" s="220"/>
      <c r="Q40" s="220"/>
    </row>
    <row r="41" spans="1:23">
      <c r="B41" s="456" t="s">
        <v>469</v>
      </c>
      <c r="C41" s="451"/>
      <c r="D41" s="452"/>
      <c r="E41" s="452"/>
      <c r="F41" s="452"/>
      <c r="G41" s="452"/>
      <c r="H41" s="452"/>
      <c r="I41" s="452"/>
      <c r="J41" s="452"/>
      <c r="K41" s="452"/>
      <c r="L41" s="453"/>
      <c r="M41" s="453"/>
      <c r="N41" s="220"/>
      <c r="O41" s="220"/>
      <c r="P41" s="220"/>
      <c r="Q41" s="220"/>
    </row>
    <row r="42" spans="1:23">
      <c r="B42" s="454" t="s">
        <v>470</v>
      </c>
      <c r="C42" s="451"/>
      <c r="D42" s="452"/>
      <c r="E42" s="452"/>
      <c r="F42" s="452"/>
      <c r="G42" s="452"/>
      <c r="H42" s="452"/>
      <c r="I42" s="452"/>
      <c r="J42" s="452"/>
      <c r="K42" s="452"/>
      <c r="L42" s="453"/>
      <c r="M42" s="453"/>
      <c r="N42" s="220"/>
      <c r="O42" s="220"/>
      <c r="P42" s="220"/>
      <c r="Q42" s="220"/>
    </row>
    <row r="43" spans="1:23">
      <c r="B43" s="457" t="s">
        <v>473</v>
      </c>
      <c r="C43" s="453"/>
      <c r="D43" s="453"/>
      <c r="E43" s="453"/>
      <c r="F43" s="453"/>
      <c r="G43" s="453"/>
      <c r="H43" s="453"/>
      <c r="I43" s="453"/>
      <c r="J43" s="453"/>
      <c r="K43" s="453"/>
      <c r="L43" s="453"/>
      <c r="M43" s="453"/>
    </row>
    <row r="44" spans="1:23" ht="13.5" customHeight="1">
      <c r="B44" s="457" t="s">
        <v>474</v>
      </c>
      <c r="C44" s="455"/>
      <c r="D44" s="455"/>
      <c r="E44" s="455"/>
      <c r="F44" s="455"/>
      <c r="G44" s="455"/>
      <c r="H44" s="455"/>
      <c r="I44" s="455"/>
      <c r="J44" s="453"/>
      <c r="K44" s="453"/>
      <c r="L44" s="453"/>
      <c r="M44" s="453"/>
    </row>
    <row r="46" spans="1:23">
      <c r="A46" s="664"/>
      <c r="B46" s="665"/>
      <c r="C46" s="665"/>
      <c r="D46" s="666"/>
      <c r="E46" s="666"/>
      <c r="F46" s="666"/>
      <c r="G46" s="666"/>
      <c r="H46" s="666"/>
      <c r="I46" s="666"/>
      <c r="J46" s="667"/>
      <c r="K46" s="667"/>
      <c r="L46" s="668"/>
      <c r="M46" s="668"/>
      <c r="N46" s="666"/>
      <c r="O46" s="666"/>
      <c r="P46" s="666"/>
      <c r="Q46" s="666"/>
      <c r="R46" s="666"/>
      <c r="S46" s="666"/>
      <c r="T46" s="669"/>
      <c r="U46" s="669"/>
      <c r="V46" s="664"/>
      <c r="W46" s="664"/>
    </row>
    <row r="47" spans="1:23">
      <c r="A47" s="664"/>
      <c r="B47" s="670"/>
      <c r="C47" s="670"/>
      <c r="D47" s="666"/>
      <c r="E47" s="666"/>
      <c r="F47" s="666"/>
      <c r="G47" s="666"/>
      <c r="H47" s="666"/>
      <c r="I47" s="666"/>
      <c r="J47" s="671"/>
      <c r="K47" s="671"/>
      <c r="L47" s="668"/>
      <c r="M47" s="668"/>
      <c r="N47" s="672"/>
      <c r="O47" s="672"/>
      <c r="P47" s="672"/>
      <c r="Q47" s="672"/>
      <c r="R47" s="672"/>
      <c r="S47" s="672"/>
      <c r="T47" s="669"/>
      <c r="U47" s="669"/>
      <c r="V47" s="669"/>
      <c r="W47" s="669"/>
    </row>
    <row r="48" spans="1:23">
      <c r="A48" s="673"/>
      <c r="B48" s="664"/>
      <c r="C48" s="664"/>
      <c r="D48" s="674"/>
      <c r="E48" s="674"/>
      <c r="F48" s="674"/>
      <c r="G48" s="674"/>
      <c r="H48" s="674"/>
      <c r="I48" s="674"/>
      <c r="J48" s="675"/>
      <c r="K48" s="675"/>
      <c r="L48" s="676"/>
      <c r="M48" s="676"/>
      <c r="N48" s="677"/>
      <c r="O48" s="677"/>
      <c r="P48" s="677"/>
      <c r="Q48" s="677"/>
      <c r="R48" s="677"/>
      <c r="S48" s="677"/>
      <c r="T48" s="669"/>
      <c r="U48" s="669"/>
      <c r="V48" s="669"/>
      <c r="W48" s="669"/>
    </row>
    <row r="49" spans="1:23">
      <c r="A49" s="673"/>
      <c r="B49" s="664"/>
      <c r="C49" s="664"/>
      <c r="D49" s="674"/>
      <c r="E49" s="674"/>
      <c r="F49" s="674"/>
      <c r="G49" s="674"/>
      <c r="H49" s="674"/>
      <c r="I49" s="674"/>
      <c r="J49" s="675"/>
      <c r="K49" s="675"/>
      <c r="L49" s="676"/>
      <c r="M49" s="676"/>
      <c r="N49" s="677"/>
      <c r="O49" s="677"/>
      <c r="P49" s="677"/>
      <c r="Q49" s="677"/>
      <c r="R49" s="677"/>
      <c r="S49" s="677"/>
      <c r="T49" s="678"/>
      <c r="U49" s="678"/>
      <c r="V49" s="664"/>
      <c r="W49" s="664"/>
    </row>
    <row r="50" spans="1:23">
      <c r="A50" s="673"/>
      <c r="B50" s="664"/>
      <c r="C50" s="664"/>
      <c r="D50" s="674"/>
      <c r="E50" s="674"/>
      <c r="F50" s="674"/>
      <c r="G50" s="674"/>
      <c r="H50" s="674"/>
      <c r="I50" s="674"/>
      <c r="J50" s="675"/>
      <c r="K50" s="675"/>
      <c r="L50" s="676"/>
      <c r="M50" s="676"/>
      <c r="N50" s="677"/>
      <c r="O50" s="677"/>
      <c r="P50" s="677"/>
      <c r="Q50" s="677"/>
      <c r="R50" s="677"/>
      <c r="S50" s="677"/>
      <c r="T50" s="678"/>
      <c r="U50" s="678"/>
      <c r="V50" s="664"/>
      <c r="W50" s="664"/>
    </row>
    <row r="51" spans="1:23">
      <c r="A51" s="673"/>
      <c r="B51" s="664"/>
      <c r="C51" s="664"/>
      <c r="D51" s="674"/>
      <c r="E51" s="674"/>
      <c r="F51" s="674"/>
      <c r="G51" s="674"/>
      <c r="H51" s="674"/>
      <c r="I51" s="674"/>
      <c r="J51" s="675"/>
      <c r="K51" s="675"/>
      <c r="L51" s="676"/>
      <c r="M51" s="676"/>
      <c r="N51" s="677"/>
      <c r="O51" s="677"/>
      <c r="P51" s="677"/>
      <c r="Q51" s="677"/>
      <c r="R51" s="677"/>
      <c r="S51" s="677"/>
      <c r="T51" s="678"/>
      <c r="U51" s="678"/>
      <c r="V51" s="664"/>
      <c r="W51" s="664"/>
    </row>
    <row r="52" spans="1:23">
      <c r="A52" s="673"/>
      <c r="B52" s="664"/>
      <c r="C52" s="664"/>
      <c r="D52" s="674"/>
      <c r="E52" s="674"/>
      <c r="F52" s="674"/>
      <c r="G52" s="674"/>
      <c r="H52" s="674"/>
      <c r="I52" s="674"/>
      <c r="J52" s="675"/>
      <c r="K52" s="675"/>
      <c r="L52" s="676"/>
      <c r="M52" s="676"/>
      <c r="N52" s="677"/>
      <c r="O52" s="677"/>
      <c r="P52" s="677"/>
      <c r="Q52" s="677"/>
      <c r="R52" s="677"/>
      <c r="S52" s="677"/>
      <c r="T52" s="678"/>
      <c r="U52" s="678"/>
      <c r="V52" s="664"/>
      <c r="W52" s="664"/>
    </row>
    <row r="53" spans="1:23">
      <c r="A53" s="673"/>
      <c r="B53" s="664"/>
      <c r="C53" s="664"/>
      <c r="D53" s="674"/>
      <c r="E53" s="674"/>
      <c r="F53" s="674"/>
      <c r="G53" s="674"/>
      <c r="H53" s="674"/>
      <c r="I53" s="674"/>
      <c r="J53" s="675"/>
      <c r="K53" s="675"/>
      <c r="L53" s="676"/>
      <c r="M53" s="676"/>
      <c r="N53" s="677"/>
      <c r="O53" s="677"/>
      <c r="P53" s="677"/>
      <c r="Q53" s="677"/>
      <c r="R53" s="677"/>
      <c r="S53" s="677"/>
      <c r="T53" s="678"/>
      <c r="U53" s="678"/>
      <c r="V53" s="664"/>
      <c r="W53" s="664"/>
    </row>
    <row r="54" spans="1:23">
      <c r="A54" s="673"/>
      <c r="B54" s="664"/>
      <c r="C54" s="664"/>
      <c r="D54" s="674"/>
      <c r="E54" s="674"/>
      <c r="F54" s="674"/>
      <c r="G54" s="674"/>
      <c r="H54" s="674"/>
      <c r="I54" s="674"/>
      <c r="J54" s="675"/>
      <c r="K54" s="675"/>
      <c r="L54" s="676"/>
      <c r="M54" s="676"/>
      <c r="N54" s="677"/>
      <c r="O54" s="677"/>
      <c r="P54" s="677"/>
      <c r="Q54" s="677"/>
      <c r="R54" s="677"/>
      <c r="S54" s="677"/>
      <c r="T54" s="678"/>
      <c r="U54" s="678"/>
      <c r="V54" s="664"/>
      <c r="W54" s="664"/>
    </row>
    <row r="55" spans="1:23">
      <c r="A55" s="673"/>
      <c r="B55" s="664"/>
      <c r="C55" s="664"/>
      <c r="D55" s="674"/>
      <c r="E55" s="674"/>
      <c r="F55" s="674"/>
      <c r="G55" s="674"/>
      <c r="H55" s="674"/>
      <c r="I55" s="674"/>
      <c r="J55" s="675"/>
      <c r="K55" s="675"/>
      <c r="L55" s="676"/>
      <c r="M55" s="676"/>
      <c r="N55" s="677"/>
      <c r="O55" s="677"/>
      <c r="P55" s="677"/>
      <c r="Q55" s="677"/>
      <c r="R55" s="677"/>
      <c r="S55" s="677"/>
      <c r="T55" s="678"/>
      <c r="U55" s="678"/>
      <c r="V55" s="664"/>
      <c r="W55" s="664"/>
    </row>
    <row r="56" spans="1:23">
      <c r="A56" s="673"/>
      <c r="B56" s="664"/>
      <c r="C56" s="664"/>
      <c r="D56" s="674"/>
      <c r="E56" s="674"/>
      <c r="F56" s="674"/>
      <c r="G56" s="674"/>
      <c r="H56" s="674"/>
      <c r="I56" s="674"/>
      <c r="J56" s="675"/>
      <c r="K56" s="675"/>
      <c r="L56" s="676"/>
      <c r="M56" s="676"/>
      <c r="N56" s="677"/>
      <c r="O56" s="677"/>
      <c r="P56" s="677"/>
      <c r="Q56" s="677"/>
      <c r="R56" s="677"/>
      <c r="S56" s="677"/>
      <c r="T56" s="678"/>
      <c r="U56" s="678"/>
      <c r="V56" s="664"/>
      <c r="W56" s="664"/>
    </row>
    <row r="57" spans="1:23">
      <c r="A57" s="673"/>
      <c r="B57" s="664"/>
      <c r="C57" s="664"/>
      <c r="D57" s="674"/>
      <c r="E57" s="674"/>
      <c r="F57" s="674"/>
      <c r="G57" s="674"/>
      <c r="H57" s="674"/>
      <c r="I57" s="674"/>
      <c r="J57" s="675"/>
      <c r="K57" s="675"/>
      <c r="L57" s="676"/>
      <c r="M57" s="676"/>
      <c r="N57" s="677"/>
      <c r="O57" s="677"/>
      <c r="P57" s="677"/>
      <c r="Q57" s="677"/>
      <c r="R57" s="677"/>
      <c r="S57" s="677"/>
      <c r="T57" s="678"/>
      <c r="U57" s="678"/>
      <c r="V57" s="664"/>
      <c r="W57" s="664"/>
    </row>
    <row r="58" spans="1:23">
      <c r="A58" s="673"/>
      <c r="B58" s="664"/>
      <c r="C58" s="664"/>
      <c r="D58" s="674"/>
      <c r="E58" s="674"/>
      <c r="F58" s="674"/>
      <c r="G58" s="674"/>
      <c r="H58" s="674"/>
      <c r="I58" s="674"/>
      <c r="J58" s="675"/>
      <c r="K58" s="675"/>
      <c r="L58" s="676"/>
      <c r="M58" s="676"/>
      <c r="N58" s="677"/>
      <c r="O58" s="677"/>
      <c r="P58" s="677"/>
      <c r="Q58" s="677"/>
      <c r="R58" s="677"/>
      <c r="S58" s="677"/>
      <c r="T58" s="678"/>
      <c r="U58" s="678"/>
      <c r="V58" s="664"/>
      <c r="W58" s="664"/>
    </row>
    <row r="59" spans="1:23">
      <c r="A59" s="673"/>
      <c r="B59" s="664"/>
      <c r="C59" s="664"/>
      <c r="D59" s="674"/>
      <c r="E59" s="674"/>
      <c r="F59" s="674"/>
      <c r="G59" s="674"/>
      <c r="H59" s="674"/>
      <c r="I59" s="674"/>
      <c r="J59" s="675"/>
      <c r="K59" s="675"/>
      <c r="L59" s="676"/>
      <c r="M59" s="676"/>
      <c r="N59" s="677"/>
      <c r="O59" s="677"/>
      <c r="P59" s="677"/>
      <c r="Q59" s="677"/>
      <c r="R59" s="677"/>
      <c r="S59" s="677"/>
      <c r="T59" s="678"/>
      <c r="U59" s="678"/>
      <c r="V59" s="664"/>
      <c r="W59" s="664"/>
    </row>
    <row r="60" spans="1:23">
      <c r="A60" s="673"/>
      <c r="B60" s="664"/>
      <c r="C60" s="664"/>
      <c r="D60" s="674"/>
      <c r="E60" s="674"/>
      <c r="F60" s="674"/>
      <c r="G60" s="674"/>
      <c r="H60" s="674"/>
      <c r="I60" s="674"/>
      <c r="J60" s="675"/>
      <c r="K60" s="675"/>
      <c r="L60" s="676"/>
      <c r="M60" s="676"/>
      <c r="N60" s="677"/>
      <c r="O60" s="677"/>
      <c r="P60" s="677"/>
      <c r="Q60" s="677"/>
      <c r="R60" s="677"/>
      <c r="S60" s="677"/>
      <c r="T60" s="678"/>
      <c r="U60" s="678"/>
      <c r="V60" s="664"/>
      <c r="W60" s="664"/>
    </row>
    <row r="61" spans="1:23">
      <c r="A61" s="673"/>
      <c r="B61" s="664"/>
      <c r="C61" s="664"/>
      <c r="D61" s="674"/>
      <c r="E61" s="674"/>
      <c r="F61" s="674"/>
      <c r="G61" s="674"/>
      <c r="H61" s="674"/>
      <c r="I61" s="674"/>
      <c r="J61" s="675"/>
      <c r="K61" s="675"/>
      <c r="L61" s="676"/>
      <c r="M61" s="676"/>
      <c r="N61" s="677"/>
      <c r="O61" s="677"/>
      <c r="P61" s="677"/>
      <c r="Q61" s="677"/>
      <c r="R61" s="677"/>
      <c r="S61" s="677"/>
      <c r="T61" s="678"/>
      <c r="U61" s="678"/>
      <c r="V61" s="664"/>
      <c r="W61" s="664"/>
    </row>
    <row r="62" spans="1:23">
      <c r="A62" s="673"/>
      <c r="B62" s="664"/>
      <c r="C62" s="664"/>
      <c r="D62" s="674"/>
      <c r="E62" s="674"/>
      <c r="F62" s="674"/>
      <c r="G62" s="674"/>
      <c r="H62" s="674"/>
      <c r="I62" s="674"/>
      <c r="J62" s="675"/>
      <c r="K62" s="675"/>
      <c r="L62" s="676"/>
      <c r="M62" s="676"/>
      <c r="N62" s="677"/>
      <c r="O62" s="677"/>
      <c r="P62" s="677"/>
      <c r="Q62" s="677"/>
      <c r="R62" s="677"/>
      <c r="S62" s="677"/>
      <c r="T62" s="678"/>
      <c r="U62" s="678"/>
      <c r="V62" s="664"/>
      <c r="W62" s="664"/>
    </row>
    <row r="63" spans="1:23">
      <c r="A63" s="673"/>
      <c r="B63" s="664"/>
      <c r="C63" s="664"/>
      <c r="D63" s="674"/>
      <c r="E63" s="674"/>
      <c r="F63" s="674"/>
      <c r="G63" s="674"/>
      <c r="H63" s="674"/>
      <c r="I63" s="674"/>
      <c r="J63" s="675"/>
      <c r="K63" s="675"/>
      <c r="L63" s="676"/>
      <c r="M63" s="676"/>
      <c r="N63" s="677"/>
      <c r="O63" s="677"/>
      <c r="P63" s="677"/>
      <c r="Q63" s="677"/>
      <c r="R63" s="677"/>
      <c r="S63" s="677"/>
      <c r="T63" s="678"/>
      <c r="U63" s="678"/>
      <c r="V63" s="664"/>
      <c r="W63" s="664"/>
    </row>
    <row r="64" spans="1:23">
      <c r="A64" s="673"/>
      <c r="B64" s="664"/>
      <c r="C64" s="664"/>
      <c r="D64" s="674"/>
      <c r="E64" s="674"/>
      <c r="F64" s="674"/>
      <c r="G64" s="674"/>
      <c r="H64" s="674"/>
      <c r="I64" s="674"/>
      <c r="J64" s="675"/>
      <c r="K64" s="675"/>
      <c r="L64" s="676"/>
      <c r="M64" s="676"/>
      <c r="N64" s="677"/>
      <c r="O64" s="677"/>
      <c r="P64" s="677"/>
      <c r="Q64" s="677"/>
      <c r="R64" s="677"/>
      <c r="S64" s="677"/>
      <c r="T64" s="678"/>
      <c r="U64" s="678"/>
      <c r="V64" s="664"/>
      <c r="W64" s="664"/>
    </row>
    <row r="65" spans="1:23">
      <c r="A65" s="673"/>
      <c r="B65" s="664"/>
      <c r="C65" s="664"/>
      <c r="D65" s="674"/>
      <c r="E65" s="674"/>
      <c r="F65" s="674"/>
      <c r="G65" s="674"/>
      <c r="H65" s="674"/>
      <c r="I65" s="674"/>
      <c r="J65" s="675"/>
      <c r="K65" s="675"/>
      <c r="L65" s="676"/>
      <c r="M65" s="676"/>
      <c r="N65" s="677"/>
      <c r="O65" s="677"/>
      <c r="P65" s="677"/>
      <c r="Q65" s="677"/>
      <c r="R65" s="677"/>
      <c r="S65" s="677"/>
      <c r="T65" s="678"/>
      <c r="U65" s="678"/>
      <c r="V65" s="664"/>
      <c r="W65" s="664"/>
    </row>
    <row r="66" spans="1:23">
      <c r="A66" s="673"/>
      <c r="B66" s="664"/>
      <c r="C66" s="664"/>
      <c r="D66" s="674"/>
      <c r="E66" s="674"/>
      <c r="F66" s="674"/>
      <c r="G66" s="674"/>
      <c r="H66" s="674"/>
      <c r="I66" s="674"/>
      <c r="J66" s="675"/>
      <c r="K66" s="675"/>
      <c r="L66" s="676"/>
      <c r="M66" s="676"/>
      <c r="N66" s="677"/>
      <c r="O66" s="677"/>
      <c r="P66" s="677"/>
      <c r="Q66" s="677"/>
      <c r="R66" s="677"/>
      <c r="S66" s="677"/>
      <c r="T66" s="678"/>
      <c r="U66" s="678"/>
      <c r="V66" s="664"/>
      <c r="W66" s="664"/>
    </row>
    <row r="67" spans="1:23">
      <c r="A67" s="673"/>
      <c r="B67" s="664"/>
      <c r="C67" s="664"/>
      <c r="D67" s="674"/>
      <c r="E67" s="674"/>
      <c r="F67" s="674"/>
      <c r="G67" s="674"/>
      <c r="H67" s="674"/>
      <c r="I67" s="674"/>
      <c r="J67" s="675"/>
      <c r="K67" s="675"/>
      <c r="L67" s="676"/>
      <c r="M67" s="676"/>
      <c r="N67" s="677"/>
      <c r="O67" s="677"/>
      <c r="P67" s="677"/>
      <c r="Q67" s="677"/>
      <c r="R67" s="677"/>
      <c r="S67" s="677"/>
      <c r="T67" s="678"/>
      <c r="U67" s="678"/>
      <c r="V67" s="664"/>
      <c r="W67" s="664"/>
    </row>
    <row r="68" spans="1:23">
      <c r="A68" s="673"/>
      <c r="B68" s="664"/>
      <c r="C68" s="664"/>
      <c r="D68" s="674"/>
      <c r="E68" s="674"/>
      <c r="F68" s="674"/>
      <c r="G68" s="674"/>
      <c r="H68" s="674"/>
      <c r="I68" s="674"/>
      <c r="J68" s="675"/>
      <c r="K68" s="675"/>
      <c r="L68" s="676"/>
      <c r="M68" s="676"/>
      <c r="N68" s="677"/>
      <c r="O68" s="677"/>
      <c r="P68" s="677"/>
      <c r="Q68" s="677"/>
      <c r="R68" s="677"/>
      <c r="S68" s="677"/>
      <c r="T68" s="678"/>
      <c r="U68" s="678"/>
      <c r="V68" s="664"/>
      <c r="W68" s="664"/>
    </row>
    <row r="69" spans="1:23">
      <c r="A69" s="673"/>
      <c r="B69" s="664"/>
      <c r="C69" s="664"/>
      <c r="D69" s="674"/>
      <c r="E69" s="674"/>
      <c r="F69" s="674"/>
      <c r="G69" s="674"/>
      <c r="H69" s="674"/>
      <c r="I69" s="674"/>
      <c r="J69" s="675"/>
      <c r="K69" s="675"/>
      <c r="L69" s="676"/>
      <c r="M69" s="676"/>
      <c r="N69" s="677"/>
      <c r="O69" s="677"/>
      <c r="P69" s="677"/>
      <c r="Q69" s="677"/>
      <c r="R69" s="677"/>
      <c r="S69" s="677"/>
      <c r="T69" s="678"/>
      <c r="U69" s="678"/>
      <c r="V69" s="664"/>
      <c r="W69" s="664"/>
    </row>
    <row r="70" spans="1:23">
      <c r="A70" s="673"/>
      <c r="B70" s="664"/>
      <c r="C70" s="664"/>
      <c r="D70" s="674"/>
      <c r="E70" s="674"/>
      <c r="F70" s="674"/>
      <c r="G70" s="674"/>
      <c r="H70" s="674"/>
      <c r="I70" s="674"/>
      <c r="J70" s="675"/>
      <c r="K70" s="675"/>
      <c r="L70" s="676"/>
      <c r="M70" s="676"/>
      <c r="N70" s="677"/>
      <c r="O70" s="677"/>
      <c r="P70" s="677"/>
      <c r="Q70" s="677"/>
      <c r="R70" s="677"/>
      <c r="S70" s="677"/>
      <c r="T70" s="678"/>
      <c r="U70" s="678"/>
      <c r="V70" s="664"/>
      <c r="W70" s="664"/>
    </row>
    <row r="71" spans="1:23">
      <c r="A71" s="673"/>
      <c r="B71" s="664"/>
      <c r="C71" s="664"/>
      <c r="D71" s="674"/>
      <c r="E71" s="674"/>
      <c r="F71" s="674"/>
      <c r="G71" s="674"/>
      <c r="H71" s="674"/>
      <c r="I71" s="674"/>
      <c r="J71" s="675"/>
      <c r="K71" s="675"/>
      <c r="L71" s="676"/>
      <c r="M71" s="676"/>
      <c r="N71" s="677"/>
      <c r="O71" s="677"/>
      <c r="P71" s="677"/>
      <c r="Q71" s="677"/>
      <c r="R71" s="677"/>
      <c r="S71" s="677"/>
      <c r="T71" s="678"/>
      <c r="U71" s="678"/>
      <c r="V71" s="664"/>
      <c r="W71" s="664"/>
    </row>
    <row r="72" spans="1:23">
      <c r="A72" s="673"/>
      <c r="B72" s="664"/>
      <c r="C72" s="664"/>
      <c r="D72" s="674"/>
      <c r="E72" s="674"/>
      <c r="F72" s="674"/>
      <c r="G72" s="674"/>
      <c r="H72" s="674"/>
      <c r="I72" s="674"/>
      <c r="J72" s="675"/>
      <c r="K72" s="675"/>
      <c r="L72" s="676"/>
      <c r="M72" s="676"/>
      <c r="N72" s="677"/>
      <c r="O72" s="677"/>
      <c r="P72" s="677"/>
      <c r="Q72" s="677"/>
      <c r="R72" s="677"/>
      <c r="S72" s="677"/>
      <c r="T72" s="678"/>
      <c r="U72" s="678"/>
      <c r="V72" s="664"/>
      <c r="W72" s="664"/>
    </row>
    <row r="73" spans="1:23">
      <c r="A73" s="673"/>
      <c r="B73" s="664"/>
      <c r="C73" s="664"/>
      <c r="D73" s="674"/>
      <c r="E73" s="674"/>
      <c r="F73" s="674"/>
      <c r="G73" s="674"/>
      <c r="H73" s="674"/>
      <c r="I73" s="674"/>
      <c r="J73" s="675"/>
      <c r="K73" s="675"/>
      <c r="L73" s="676"/>
      <c r="M73" s="676"/>
      <c r="N73" s="677"/>
      <c r="O73" s="677"/>
      <c r="P73" s="677"/>
      <c r="Q73" s="677"/>
      <c r="R73" s="677"/>
      <c r="S73" s="677"/>
      <c r="T73" s="678"/>
      <c r="U73" s="678"/>
      <c r="V73" s="664"/>
      <c r="W73" s="664"/>
    </row>
    <row r="74" spans="1:23">
      <c r="A74" s="673"/>
      <c r="B74" s="664"/>
      <c r="C74" s="664"/>
      <c r="D74" s="674"/>
      <c r="E74" s="674"/>
      <c r="F74" s="674"/>
      <c r="G74" s="674"/>
      <c r="H74" s="674"/>
      <c r="I74" s="674"/>
      <c r="J74" s="675"/>
      <c r="K74" s="675"/>
      <c r="L74" s="676"/>
      <c r="M74" s="676"/>
      <c r="N74" s="677"/>
      <c r="O74" s="677"/>
      <c r="P74" s="677"/>
      <c r="Q74" s="677"/>
      <c r="R74" s="677"/>
      <c r="S74" s="677"/>
      <c r="T74" s="678"/>
      <c r="U74" s="678"/>
      <c r="V74" s="664"/>
      <c r="W74" s="664"/>
    </row>
    <row r="75" spans="1:23">
      <c r="A75" s="673"/>
      <c r="B75" s="664"/>
      <c r="C75" s="664"/>
      <c r="D75" s="674"/>
      <c r="E75" s="674"/>
      <c r="F75" s="674"/>
      <c r="G75" s="674"/>
      <c r="H75" s="674"/>
      <c r="I75" s="674"/>
      <c r="J75" s="675"/>
      <c r="K75" s="675"/>
      <c r="L75" s="676"/>
      <c r="M75" s="676"/>
      <c r="N75" s="677"/>
      <c r="O75" s="677"/>
      <c r="P75" s="677"/>
      <c r="Q75" s="677"/>
      <c r="R75" s="677"/>
      <c r="S75" s="677"/>
      <c r="T75" s="678"/>
      <c r="U75" s="678"/>
      <c r="V75" s="664"/>
      <c r="W75" s="664"/>
    </row>
    <row r="76" spans="1:23">
      <c r="A76" s="673"/>
      <c r="B76" s="664"/>
      <c r="C76" s="664"/>
      <c r="D76" s="674"/>
      <c r="E76" s="674"/>
      <c r="F76" s="674"/>
      <c r="G76" s="674"/>
      <c r="H76" s="674"/>
      <c r="I76" s="674"/>
      <c r="J76" s="675"/>
      <c r="K76" s="675"/>
      <c r="L76" s="676"/>
      <c r="M76" s="676"/>
      <c r="N76" s="677"/>
      <c r="O76" s="677"/>
      <c r="P76" s="677"/>
      <c r="Q76" s="677"/>
      <c r="R76" s="677"/>
      <c r="S76" s="677"/>
      <c r="T76" s="678"/>
      <c r="U76" s="678"/>
      <c r="V76" s="664"/>
      <c r="W76" s="664"/>
    </row>
    <row r="77" spans="1:23">
      <c r="A77" s="673"/>
      <c r="B77" s="664"/>
      <c r="C77" s="664"/>
      <c r="D77" s="674"/>
      <c r="E77" s="674"/>
      <c r="F77" s="674"/>
      <c r="G77" s="674"/>
      <c r="H77" s="674"/>
      <c r="I77" s="674"/>
      <c r="J77" s="675"/>
      <c r="K77" s="675"/>
      <c r="L77" s="676"/>
      <c r="M77" s="676"/>
      <c r="N77" s="677"/>
      <c r="O77" s="677"/>
      <c r="P77" s="677"/>
      <c r="Q77" s="677"/>
      <c r="R77" s="677"/>
      <c r="S77" s="677"/>
      <c r="T77" s="678"/>
      <c r="U77" s="678"/>
      <c r="V77" s="664"/>
      <c r="W77" s="664"/>
    </row>
    <row r="78" spans="1:23">
      <c r="A78" s="673"/>
      <c r="B78" s="664"/>
      <c r="C78" s="664"/>
      <c r="D78" s="674"/>
      <c r="E78" s="674"/>
      <c r="F78" s="674"/>
      <c r="G78" s="674"/>
      <c r="H78" s="674"/>
      <c r="I78" s="674"/>
      <c r="J78" s="675"/>
      <c r="K78" s="675"/>
      <c r="L78" s="676"/>
      <c r="M78" s="676"/>
      <c r="N78" s="677"/>
      <c r="O78" s="677"/>
      <c r="P78" s="677"/>
      <c r="Q78" s="677"/>
      <c r="R78" s="677"/>
      <c r="S78" s="677"/>
      <c r="T78" s="678"/>
      <c r="U78" s="678"/>
      <c r="V78" s="664"/>
      <c r="W78" s="664"/>
    </row>
    <row r="79" spans="1:23">
      <c r="A79" s="673"/>
      <c r="B79" s="664"/>
      <c r="C79" s="664"/>
      <c r="D79" s="674"/>
      <c r="E79" s="674"/>
      <c r="F79" s="674"/>
      <c r="G79" s="674"/>
      <c r="H79" s="674"/>
      <c r="I79" s="674"/>
      <c r="J79" s="675"/>
      <c r="K79" s="675"/>
      <c r="L79" s="676"/>
      <c r="M79" s="676"/>
      <c r="N79" s="677"/>
      <c r="O79" s="677"/>
      <c r="P79" s="677"/>
      <c r="Q79" s="677"/>
      <c r="R79" s="677"/>
      <c r="S79" s="677"/>
      <c r="T79" s="678"/>
      <c r="U79" s="678"/>
      <c r="V79" s="664"/>
      <c r="W79" s="664"/>
    </row>
    <row r="80" spans="1:23">
      <c r="A80" s="664"/>
      <c r="B80" s="664"/>
      <c r="C80" s="664"/>
      <c r="D80" s="664"/>
      <c r="E80" s="664"/>
      <c r="F80" s="664"/>
      <c r="G80" s="664"/>
      <c r="H80" s="664"/>
      <c r="I80" s="664"/>
      <c r="J80" s="664"/>
      <c r="K80" s="664"/>
      <c r="L80" s="664"/>
      <c r="M80" s="664"/>
      <c r="N80" s="664"/>
      <c r="O80" s="664"/>
      <c r="P80" s="664"/>
      <c r="Q80" s="664"/>
      <c r="R80" s="664"/>
      <c r="S80" s="664"/>
      <c r="T80" s="664"/>
      <c r="U80" s="664"/>
      <c r="V80" s="664"/>
      <c r="W80" s="664"/>
    </row>
    <row r="81" spans="1:23">
      <c r="A81" s="664"/>
      <c r="B81" s="664"/>
      <c r="C81" s="664"/>
      <c r="D81" s="664"/>
      <c r="E81" s="664"/>
      <c r="F81" s="664"/>
      <c r="G81" s="664"/>
      <c r="H81" s="664"/>
      <c r="I81" s="664"/>
      <c r="J81" s="664"/>
      <c r="K81" s="664"/>
      <c r="L81" s="664"/>
      <c r="M81" s="664"/>
      <c r="N81" s="664"/>
      <c r="O81" s="664"/>
      <c r="P81" s="664"/>
      <c r="Q81" s="664"/>
      <c r="R81" s="664"/>
      <c r="S81" s="664"/>
      <c r="T81" s="664"/>
      <c r="U81" s="664"/>
      <c r="V81" s="664"/>
      <c r="W81" s="664"/>
    </row>
    <row r="82" spans="1:23">
      <c r="A82" s="664"/>
      <c r="B82" s="679"/>
      <c r="C82" s="679"/>
      <c r="D82" s="665"/>
      <c r="E82" s="665"/>
      <c r="F82" s="665"/>
      <c r="G82" s="665"/>
      <c r="H82" s="665"/>
      <c r="I82" s="665"/>
      <c r="J82" s="678"/>
      <c r="K82" s="678"/>
      <c r="L82" s="678"/>
      <c r="M82" s="678"/>
      <c r="N82" s="666"/>
      <c r="O82" s="666"/>
      <c r="P82" s="666"/>
      <c r="Q82" s="666"/>
      <c r="R82" s="666"/>
      <c r="S82" s="666"/>
      <c r="T82" s="669"/>
      <c r="U82" s="669"/>
      <c r="V82" s="664"/>
      <c r="W82" s="664"/>
    </row>
    <row r="83" spans="1:23">
      <c r="A83" s="664"/>
      <c r="B83" s="673"/>
      <c r="C83" s="670"/>
      <c r="D83" s="680"/>
      <c r="E83" s="680"/>
      <c r="F83" s="680"/>
      <c r="G83" s="680"/>
      <c r="H83" s="680"/>
      <c r="I83" s="680"/>
      <c r="J83" s="678"/>
      <c r="K83" s="678"/>
      <c r="L83" s="678"/>
      <c r="M83" s="678"/>
      <c r="N83" s="681"/>
      <c r="O83" s="681"/>
      <c r="P83" s="681"/>
      <c r="Q83" s="681"/>
      <c r="R83" s="681"/>
      <c r="S83" s="681"/>
      <c r="T83" s="669"/>
      <c r="U83" s="669"/>
      <c r="V83" s="664"/>
      <c r="W83" s="664"/>
    </row>
    <row r="84" spans="1:23">
      <c r="A84" s="673"/>
      <c r="B84" s="678"/>
      <c r="C84" s="664"/>
      <c r="D84" s="674"/>
      <c r="E84" s="674"/>
      <c r="F84" s="674"/>
      <c r="G84" s="674"/>
      <c r="H84" s="674"/>
      <c r="I84" s="678"/>
      <c r="J84" s="678"/>
      <c r="K84" s="678"/>
      <c r="L84" s="678"/>
      <c r="M84" s="678"/>
      <c r="N84" s="682"/>
      <c r="O84" s="682"/>
      <c r="P84" s="682"/>
      <c r="Q84" s="682"/>
      <c r="R84" s="677"/>
      <c r="S84" s="677"/>
      <c r="T84" s="669"/>
      <c r="U84" s="669"/>
      <c r="V84" s="664"/>
      <c r="W84" s="664"/>
    </row>
    <row r="85" spans="1:23">
      <c r="A85" s="673"/>
      <c r="B85" s="678"/>
      <c r="C85" s="664"/>
      <c r="D85" s="674"/>
      <c r="E85" s="674"/>
      <c r="F85" s="674"/>
      <c r="G85" s="674"/>
      <c r="H85" s="674"/>
      <c r="I85" s="678"/>
      <c r="J85" s="678"/>
      <c r="K85" s="678"/>
      <c r="L85" s="678"/>
      <c r="M85" s="678"/>
      <c r="N85" s="682"/>
      <c r="O85" s="682"/>
      <c r="P85" s="682"/>
      <c r="Q85" s="682"/>
      <c r="R85" s="677"/>
      <c r="S85" s="677"/>
      <c r="T85" s="678"/>
      <c r="U85" s="678"/>
      <c r="V85" s="664"/>
      <c r="W85" s="664"/>
    </row>
    <row r="86" spans="1:23">
      <c r="A86" s="673"/>
      <c r="B86" s="678"/>
      <c r="C86" s="664"/>
      <c r="D86" s="674"/>
      <c r="E86" s="674"/>
      <c r="F86" s="674"/>
      <c r="G86" s="674"/>
      <c r="H86" s="674"/>
      <c r="I86" s="678"/>
      <c r="J86" s="678"/>
      <c r="K86" s="678"/>
      <c r="L86" s="678"/>
      <c r="M86" s="678"/>
      <c r="N86" s="682"/>
      <c r="O86" s="682"/>
      <c r="P86" s="682"/>
      <c r="Q86" s="682"/>
      <c r="R86" s="677"/>
      <c r="S86" s="677"/>
      <c r="T86" s="678"/>
      <c r="U86" s="678"/>
      <c r="V86" s="664"/>
      <c r="W86" s="664"/>
    </row>
    <row r="87" spans="1:23">
      <c r="A87" s="673"/>
      <c r="B87" s="678"/>
      <c r="C87" s="664"/>
      <c r="D87" s="674"/>
      <c r="E87" s="674"/>
      <c r="F87" s="674"/>
      <c r="G87" s="674"/>
      <c r="H87" s="674"/>
      <c r="I87" s="678"/>
      <c r="J87" s="678"/>
      <c r="K87" s="678"/>
      <c r="L87" s="678"/>
      <c r="M87" s="678"/>
      <c r="N87" s="682"/>
      <c r="O87" s="682"/>
      <c r="P87" s="682"/>
      <c r="Q87" s="682"/>
      <c r="R87" s="677"/>
      <c r="S87" s="677"/>
      <c r="T87" s="678"/>
      <c r="U87" s="678"/>
      <c r="V87" s="664"/>
      <c r="W87" s="664"/>
    </row>
    <row r="88" spans="1:23">
      <c r="A88" s="673"/>
      <c r="B88" s="678"/>
      <c r="C88" s="664"/>
      <c r="D88" s="674"/>
      <c r="E88" s="674"/>
      <c r="F88" s="674"/>
      <c r="G88" s="674"/>
      <c r="H88" s="674"/>
      <c r="I88" s="678"/>
      <c r="J88" s="678"/>
      <c r="K88" s="678"/>
      <c r="L88" s="678"/>
      <c r="M88" s="678"/>
      <c r="N88" s="682"/>
      <c r="O88" s="682"/>
      <c r="P88" s="682"/>
      <c r="Q88" s="682"/>
      <c r="R88" s="677"/>
      <c r="S88" s="677"/>
      <c r="T88" s="678"/>
      <c r="U88" s="678"/>
      <c r="V88" s="664"/>
      <c r="W88" s="664"/>
    </row>
    <row r="89" spans="1:23">
      <c r="A89" s="673"/>
      <c r="B89" s="678"/>
      <c r="C89" s="664"/>
      <c r="D89" s="674"/>
      <c r="E89" s="674"/>
      <c r="F89" s="674"/>
      <c r="G89" s="674"/>
      <c r="H89" s="674"/>
      <c r="I89" s="678"/>
      <c r="J89" s="678"/>
      <c r="K89" s="678"/>
      <c r="L89" s="678"/>
      <c r="M89" s="678"/>
      <c r="N89" s="682"/>
      <c r="O89" s="682"/>
      <c r="P89" s="682"/>
      <c r="Q89" s="682"/>
      <c r="R89" s="677"/>
      <c r="S89" s="677"/>
      <c r="T89" s="678"/>
      <c r="U89" s="678"/>
      <c r="V89" s="664"/>
      <c r="W89" s="664"/>
    </row>
    <row r="90" spans="1:23">
      <c r="A90" s="673"/>
      <c r="B90" s="678"/>
      <c r="C90" s="664"/>
      <c r="D90" s="674"/>
      <c r="E90" s="674"/>
      <c r="F90" s="674"/>
      <c r="G90" s="674"/>
      <c r="H90" s="674"/>
      <c r="I90" s="678"/>
      <c r="J90" s="678"/>
      <c r="K90" s="678"/>
      <c r="L90" s="678"/>
      <c r="M90" s="678"/>
      <c r="N90" s="682"/>
      <c r="O90" s="682"/>
      <c r="P90" s="682"/>
      <c r="Q90" s="682"/>
      <c r="R90" s="677"/>
      <c r="S90" s="677"/>
      <c r="T90" s="678"/>
      <c r="U90" s="678"/>
      <c r="V90" s="664"/>
      <c r="W90" s="664"/>
    </row>
    <row r="91" spans="1:23">
      <c r="A91" s="673"/>
      <c r="B91" s="678"/>
      <c r="C91" s="664"/>
      <c r="D91" s="674"/>
      <c r="E91" s="674"/>
      <c r="F91" s="674"/>
      <c r="G91" s="674"/>
      <c r="H91" s="674"/>
      <c r="I91" s="678"/>
      <c r="J91" s="678"/>
      <c r="K91" s="678"/>
      <c r="L91" s="678"/>
      <c r="M91" s="678"/>
      <c r="N91" s="682"/>
      <c r="O91" s="682"/>
      <c r="P91" s="682"/>
      <c r="Q91" s="682"/>
      <c r="R91" s="677"/>
      <c r="S91" s="677"/>
      <c r="T91" s="678"/>
      <c r="U91" s="678"/>
      <c r="V91" s="664"/>
      <c r="W91" s="664"/>
    </row>
    <row r="92" spans="1:23">
      <c r="A92" s="673"/>
      <c r="B92" s="678"/>
      <c r="C92" s="664"/>
      <c r="D92" s="674"/>
      <c r="E92" s="674"/>
      <c r="F92" s="674"/>
      <c r="G92" s="674"/>
      <c r="H92" s="674"/>
      <c r="I92" s="678"/>
      <c r="J92" s="678"/>
      <c r="K92" s="678"/>
      <c r="L92" s="678"/>
      <c r="M92" s="678"/>
      <c r="N92" s="682"/>
      <c r="O92" s="682"/>
      <c r="P92" s="682"/>
      <c r="Q92" s="682"/>
      <c r="R92" s="677"/>
      <c r="S92" s="677"/>
      <c r="T92" s="678"/>
      <c r="U92" s="678"/>
      <c r="V92" s="664"/>
      <c r="W92" s="664"/>
    </row>
    <row r="93" spans="1:23">
      <c r="A93" s="673"/>
      <c r="B93" s="678"/>
      <c r="C93" s="664"/>
      <c r="D93" s="674"/>
      <c r="E93" s="674"/>
      <c r="F93" s="674"/>
      <c r="G93" s="674"/>
      <c r="H93" s="674"/>
      <c r="I93" s="678"/>
      <c r="J93" s="678"/>
      <c r="K93" s="678"/>
      <c r="L93" s="678"/>
      <c r="M93" s="678"/>
      <c r="N93" s="682"/>
      <c r="O93" s="682"/>
      <c r="P93" s="682"/>
      <c r="Q93" s="682"/>
      <c r="R93" s="677"/>
      <c r="S93" s="677"/>
      <c r="T93" s="678"/>
      <c r="U93" s="678"/>
      <c r="V93" s="664"/>
      <c r="W93" s="664"/>
    </row>
    <row r="94" spans="1:23">
      <c r="A94" s="673"/>
      <c r="B94" s="678"/>
      <c r="C94" s="664"/>
      <c r="D94" s="674"/>
      <c r="E94" s="674"/>
      <c r="F94" s="674"/>
      <c r="G94" s="674"/>
      <c r="H94" s="674"/>
      <c r="I94" s="678"/>
      <c r="J94" s="678"/>
      <c r="K94" s="678"/>
      <c r="L94" s="678"/>
      <c r="M94" s="678"/>
      <c r="N94" s="682"/>
      <c r="O94" s="682"/>
      <c r="P94" s="682"/>
      <c r="Q94" s="682"/>
      <c r="R94" s="677"/>
      <c r="S94" s="677"/>
      <c r="T94" s="678"/>
      <c r="U94" s="678"/>
      <c r="V94" s="664"/>
      <c r="W94" s="664"/>
    </row>
    <row r="95" spans="1:23">
      <c r="A95" s="673"/>
      <c r="B95" s="678"/>
      <c r="C95" s="664"/>
      <c r="D95" s="674"/>
      <c r="E95" s="674"/>
      <c r="F95" s="674"/>
      <c r="G95" s="674"/>
      <c r="H95" s="674"/>
      <c r="I95" s="678"/>
      <c r="J95" s="678"/>
      <c r="K95" s="678"/>
      <c r="L95" s="678"/>
      <c r="M95" s="678"/>
      <c r="N95" s="682"/>
      <c r="O95" s="682"/>
      <c r="P95" s="682"/>
      <c r="Q95" s="682"/>
      <c r="R95" s="677"/>
      <c r="S95" s="677"/>
      <c r="T95" s="678"/>
      <c r="U95" s="678"/>
      <c r="V95" s="664"/>
      <c r="W95" s="664"/>
    </row>
    <row r="96" spans="1:23">
      <c r="A96" s="673"/>
      <c r="B96" s="678"/>
      <c r="C96" s="664"/>
      <c r="D96" s="674"/>
      <c r="E96" s="674"/>
      <c r="F96" s="674"/>
      <c r="G96" s="674"/>
      <c r="H96" s="674"/>
      <c r="I96" s="678"/>
      <c r="J96" s="678"/>
      <c r="K96" s="678"/>
      <c r="L96" s="678"/>
      <c r="M96" s="678"/>
      <c r="N96" s="682"/>
      <c r="O96" s="682"/>
      <c r="P96" s="682"/>
      <c r="Q96" s="682"/>
      <c r="R96" s="677"/>
      <c r="S96" s="677"/>
      <c r="T96" s="678"/>
      <c r="U96" s="678"/>
      <c r="V96" s="664"/>
      <c r="W96" s="664"/>
    </row>
    <row r="97" spans="1:23">
      <c r="A97" s="673"/>
      <c r="B97" s="678"/>
      <c r="C97" s="664"/>
      <c r="D97" s="674"/>
      <c r="E97" s="674"/>
      <c r="F97" s="674"/>
      <c r="G97" s="674"/>
      <c r="H97" s="674"/>
      <c r="I97" s="678"/>
      <c r="J97" s="678"/>
      <c r="K97" s="678"/>
      <c r="L97" s="678"/>
      <c r="M97" s="678"/>
      <c r="N97" s="682"/>
      <c r="O97" s="682"/>
      <c r="P97" s="682"/>
      <c r="Q97" s="682"/>
      <c r="R97" s="677"/>
      <c r="S97" s="677"/>
      <c r="T97" s="664"/>
      <c r="U97" s="664"/>
      <c r="V97" s="664"/>
      <c r="W97" s="664"/>
    </row>
    <row r="98" spans="1:23">
      <c r="A98" s="664"/>
      <c r="B98" s="664"/>
      <c r="C98" s="683"/>
      <c r="D98" s="664"/>
      <c r="E98" s="664"/>
      <c r="F98" s="664"/>
      <c r="G98" s="664"/>
      <c r="H98" s="664"/>
      <c r="I98" s="664"/>
      <c r="J98" s="664"/>
      <c r="K98" s="664"/>
      <c r="L98" s="664"/>
      <c r="M98" s="664"/>
      <c r="N98" s="684"/>
      <c r="O98" s="684"/>
      <c r="P98" s="684"/>
      <c r="Q98" s="684"/>
      <c r="R98" s="664"/>
      <c r="S98" s="664"/>
      <c r="T98" s="664"/>
      <c r="U98" s="664"/>
      <c r="V98" s="664"/>
      <c r="W98" s="664"/>
    </row>
    <row r="99" spans="1:23">
      <c r="A99" s="664"/>
      <c r="B99" s="685"/>
      <c r="C99" s="664"/>
      <c r="D99" s="664"/>
      <c r="E99" s="664"/>
      <c r="F99" s="664"/>
      <c r="G99" s="664"/>
      <c r="H99" s="664"/>
      <c r="I99" s="664"/>
      <c r="J99" s="664"/>
      <c r="K99" s="664"/>
      <c r="L99" s="664"/>
      <c r="M99" s="664"/>
      <c r="N99" s="664"/>
      <c r="O99" s="664"/>
      <c r="P99" s="664"/>
      <c r="Q99" s="664"/>
      <c r="R99" s="664"/>
      <c r="S99" s="664"/>
      <c r="T99" s="664"/>
      <c r="U99" s="664"/>
      <c r="V99" s="664"/>
      <c r="W99" s="664"/>
    </row>
    <row r="100" spans="1:23">
      <c r="A100" s="664"/>
      <c r="B100" s="664"/>
      <c r="C100" s="664"/>
      <c r="D100" s="664"/>
      <c r="E100" s="664"/>
      <c r="F100" s="664"/>
      <c r="G100" s="664"/>
      <c r="H100" s="664"/>
      <c r="I100" s="664"/>
      <c r="J100" s="664"/>
      <c r="K100" s="664"/>
      <c r="L100" s="664"/>
      <c r="M100" s="664"/>
      <c r="N100" s="664"/>
      <c r="O100" s="664"/>
      <c r="P100" s="664"/>
      <c r="Q100" s="664"/>
      <c r="R100" s="664"/>
      <c r="S100" s="664"/>
      <c r="T100" s="664"/>
      <c r="U100" s="664"/>
      <c r="V100" s="664"/>
      <c r="W100" s="664"/>
    </row>
    <row r="101" spans="1:23">
      <c r="A101" s="664"/>
      <c r="B101" s="664"/>
      <c r="C101" s="664"/>
      <c r="D101" s="664"/>
      <c r="E101" s="664"/>
      <c r="F101" s="664"/>
      <c r="G101" s="664"/>
      <c r="H101" s="664"/>
      <c r="I101" s="664"/>
      <c r="J101" s="664"/>
      <c r="K101" s="664"/>
      <c r="L101" s="664"/>
      <c r="M101" s="664"/>
      <c r="N101" s="664"/>
      <c r="O101" s="664"/>
      <c r="P101" s="664"/>
      <c r="Q101" s="664"/>
      <c r="R101" s="664"/>
      <c r="S101" s="664"/>
      <c r="T101" s="664"/>
      <c r="U101" s="664"/>
      <c r="V101" s="664"/>
      <c r="W101" s="664"/>
    </row>
    <row r="102" spans="1:23">
      <c r="A102" s="664"/>
      <c r="B102" s="664"/>
      <c r="C102" s="664"/>
      <c r="D102" s="664"/>
      <c r="E102" s="664"/>
      <c r="F102" s="664"/>
      <c r="G102" s="664"/>
      <c r="H102" s="664"/>
      <c r="I102" s="664"/>
      <c r="J102" s="664"/>
      <c r="K102" s="664"/>
      <c r="L102" s="664"/>
      <c r="M102" s="664"/>
      <c r="N102" s="664"/>
      <c r="O102" s="664"/>
      <c r="P102" s="664"/>
      <c r="Q102" s="664"/>
      <c r="R102" s="664"/>
      <c r="S102" s="664"/>
      <c r="T102" s="664"/>
      <c r="U102" s="664"/>
      <c r="V102" s="664"/>
      <c r="W102" s="664"/>
    </row>
    <row r="103" spans="1:23">
      <c r="A103" s="664"/>
      <c r="B103" s="664"/>
      <c r="C103" s="664"/>
      <c r="D103" s="664"/>
      <c r="E103" s="664"/>
      <c r="F103" s="664"/>
      <c r="G103" s="664"/>
      <c r="H103" s="664"/>
      <c r="I103" s="664"/>
      <c r="J103" s="664"/>
      <c r="K103" s="664"/>
      <c r="L103" s="664"/>
      <c r="M103" s="664"/>
      <c r="N103" s="664"/>
      <c r="O103" s="664"/>
      <c r="P103" s="664"/>
      <c r="Q103" s="664"/>
      <c r="R103" s="664"/>
      <c r="S103" s="664"/>
      <c r="T103" s="664"/>
      <c r="U103" s="664"/>
      <c r="V103" s="664"/>
      <c r="W103" s="664"/>
    </row>
    <row r="104" spans="1:23">
      <c r="A104" s="664"/>
      <c r="B104" s="664"/>
      <c r="C104" s="664"/>
      <c r="D104" s="664"/>
      <c r="E104" s="664"/>
      <c r="F104" s="664"/>
      <c r="G104" s="664"/>
      <c r="H104" s="664"/>
      <c r="I104" s="664"/>
      <c r="J104" s="664"/>
      <c r="K104" s="664"/>
      <c r="L104" s="664"/>
      <c r="M104" s="664"/>
      <c r="N104" s="664"/>
      <c r="O104" s="664"/>
      <c r="P104" s="664"/>
      <c r="Q104" s="664"/>
      <c r="R104" s="664"/>
      <c r="S104" s="664"/>
      <c r="T104" s="664"/>
      <c r="U104" s="664"/>
      <c r="V104" s="664"/>
      <c r="W104" s="664"/>
    </row>
    <row r="105" spans="1:23">
      <c r="A105" s="664"/>
      <c r="B105" s="664"/>
      <c r="C105" s="664"/>
      <c r="D105" s="664"/>
      <c r="E105" s="664"/>
      <c r="F105" s="664"/>
      <c r="G105" s="664"/>
      <c r="H105" s="664"/>
      <c r="I105" s="664"/>
      <c r="J105" s="664"/>
      <c r="K105" s="664"/>
      <c r="L105" s="664"/>
      <c r="M105" s="664"/>
      <c r="N105" s="664"/>
      <c r="O105" s="664"/>
      <c r="P105" s="664"/>
      <c r="Q105" s="664"/>
      <c r="R105" s="664"/>
      <c r="S105" s="664"/>
      <c r="T105" s="664"/>
      <c r="U105" s="664"/>
      <c r="V105" s="664"/>
      <c r="W105" s="664"/>
    </row>
    <row r="106" spans="1:23">
      <c r="A106" s="664"/>
      <c r="B106" s="664"/>
      <c r="C106" s="664"/>
      <c r="D106" s="664"/>
      <c r="E106" s="664"/>
      <c r="F106" s="664"/>
      <c r="G106" s="664"/>
      <c r="H106" s="664"/>
      <c r="I106" s="664"/>
      <c r="J106" s="664"/>
      <c r="K106" s="664"/>
      <c r="L106" s="664"/>
      <c r="M106" s="664"/>
      <c r="N106" s="664"/>
      <c r="O106" s="664"/>
      <c r="P106" s="664"/>
      <c r="Q106" s="664"/>
      <c r="R106" s="664"/>
      <c r="S106" s="664"/>
      <c r="T106" s="664"/>
      <c r="U106" s="664"/>
      <c r="V106" s="664"/>
      <c r="W106" s="664"/>
    </row>
    <row r="107" spans="1:23">
      <c r="A107" s="664"/>
      <c r="B107" s="664"/>
      <c r="C107" s="664"/>
      <c r="D107" s="664"/>
      <c r="E107" s="664"/>
      <c r="F107" s="664"/>
      <c r="G107" s="664"/>
      <c r="H107" s="664"/>
      <c r="I107" s="664"/>
      <c r="J107" s="664"/>
      <c r="K107" s="664"/>
      <c r="L107" s="664"/>
      <c r="M107" s="664"/>
      <c r="N107" s="664"/>
      <c r="O107" s="664"/>
      <c r="P107" s="664"/>
      <c r="Q107" s="664"/>
      <c r="R107" s="664"/>
      <c r="S107" s="664"/>
      <c r="T107" s="664"/>
      <c r="U107" s="664"/>
      <c r="V107" s="664"/>
      <c r="W107" s="664"/>
    </row>
  </sheetData>
  <sheetProtection password="B8D9" sheet="1" objects="1" scenarios="1"/>
  <mergeCells count="3">
    <mergeCell ref="B1:I1"/>
    <mergeCell ref="J1:N3"/>
    <mergeCell ref="B3:I5"/>
  </mergeCells>
  <hyperlinks>
    <hyperlink ref="O2:P3" location="'List of Tables &amp; Charts'!A1" display="return to List of Tables &amp; Charts"/>
    <hyperlink ref="J1:N3" location="'List of Tables &amp; Charts'!A1" display="return to List of Tables &amp; Charts"/>
  </hyperlinks>
  <pageMargins left="0" right="0" top="0.27559055118110237" bottom="0.51181102362204722" header="0.15748031496062992" footer="0.19685039370078741"/>
  <pageSetup paperSize="9" scale="99" orientation="landscape" r:id="rId1"/>
  <headerFooter alignWithMargins="0">
    <oddFooter>&amp;L&amp;8Scottish Stroke Care Audit 2016 National Report
Stroke Services in Scottish Hospitals, Data relating to 2015&amp;R&amp;8© NHS National Services Scotland/Crown Copyright</oddFooter>
  </headerFooter>
  <rowBreaks count="1" manualBreakCount="1">
    <brk id="44" max="16383" man="1"/>
  </rowBreaks>
  <drawing r:id="rId2"/>
</worksheet>
</file>

<file path=xl/worksheets/sheet61.xml><?xml version="1.0" encoding="utf-8"?>
<worksheet xmlns="http://schemas.openxmlformats.org/spreadsheetml/2006/main" xmlns:r="http://schemas.openxmlformats.org/officeDocument/2006/relationships">
  <sheetPr codeName="Sheet74">
    <pageSetUpPr fitToPage="1"/>
  </sheetPr>
  <dimension ref="A1:V60"/>
  <sheetViews>
    <sheetView workbookViewId="0">
      <selection sqref="A1:B1"/>
    </sheetView>
  </sheetViews>
  <sheetFormatPr defaultRowHeight="12.75"/>
  <cols>
    <col min="1" max="1" width="16.7109375" style="214" customWidth="1"/>
    <col min="2" max="2" width="45.7109375" style="214" customWidth="1"/>
    <col min="3" max="3" width="6.7109375" style="371" customWidth="1"/>
    <col min="4" max="4" width="10.7109375" style="371" customWidth="1"/>
    <col min="5" max="5" width="6.7109375" style="371" customWidth="1"/>
    <col min="6" max="6" width="10.7109375" style="371" customWidth="1"/>
    <col min="7" max="7" width="6.7109375" style="371" customWidth="1"/>
    <col min="8" max="8" width="10.7109375" style="371" customWidth="1"/>
    <col min="9" max="12" width="1.7109375" style="371" customWidth="1"/>
    <col min="13" max="13" width="9.28515625" style="214" customWidth="1"/>
    <col min="14" max="14" width="11.28515625" style="214" customWidth="1"/>
    <col min="15" max="15" width="9.28515625" style="214" customWidth="1"/>
    <col min="16" max="16" width="11.28515625" style="214" customWidth="1"/>
    <col min="17" max="17" width="9.28515625" style="214" customWidth="1"/>
    <col min="18" max="18" width="11.28515625" style="214" customWidth="1"/>
    <col min="19" max="16384" width="9.140625" style="214"/>
  </cols>
  <sheetData>
    <row r="1" spans="1:22" ht="50.1" customHeight="1">
      <c r="A1" s="978">
        <v>2015</v>
      </c>
      <c r="B1" s="979"/>
      <c r="C1" s="946" t="s">
        <v>44</v>
      </c>
      <c r="D1" s="946"/>
      <c r="E1" s="946"/>
      <c r="F1" s="946"/>
      <c r="G1" s="946"/>
      <c r="H1" s="946"/>
      <c r="I1" s="221"/>
      <c r="J1" s="222"/>
      <c r="K1" s="980" t="s">
        <v>143</v>
      </c>
      <c r="L1" s="981"/>
      <c r="M1" s="946" t="s">
        <v>288</v>
      </c>
      <c r="N1" s="946"/>
      <c r="O1" s="947" t="s">
        <v>289</v>
      </c>
      <c r="P1" s="948"/>
      <c r="Q1" s="946" t="s">
        <v>290</v>
      </c>
      <c r="R1" s="946"/>
      <c r="S1" s="975"/>
      <c r="T1" s="950"/>
    </row>
    <row r="2" spans="1:22" ht="45" customHeight="1">
      <c r="A2" s="223" t="s">
        <v>26</v>
      </c>
      <c r="B2" s="224" t="s">
        <v>27</v>
      </c>
      <c r="C2" s="225" t="s">
        <v>291</v>
      </c>
      <c r="D2" s="225" t="s">
        <v>55</v>
      </c>
      <c r="E2" s="225" t="s">
        <v>292</v>
      </c>
      <c r="F2" s="225" t="s">
        <v>55</v>
      </c>
      <c r="G2" s="225" t="s">
        <v>293</v>
      </c>
      <c r="H2" s="225" t="s">
        <v>55</v>
      </c>
      <c r="I2" s="226" t="s">
        <v>58</v>
      </c>
      <c r="J2" s="227" t="s">
        <v>59</v>
      </c>
      <c r="K2" s="982"/>
      <c r="L2" s="983"/>
      <c r="M2" s="228" t="s">
        <v>28</v>
      </c>
      <c r="N2" s="228" t="s">
        <v>29</v>
      </c>
      <c r="O2" s="228" t="s">
        <v>28</v>
      </c>
      <c r="P2" s="228" t="s">
        <v>29</v>
      </c>
      <c r="Q2" s="228" t="s">
        <v>28</v>
      </c>
      <c r="R2" s="228" t="s">
        <v>29</v>
      </c>
      <c r="S2" s="229"/>
      <c r="T2" s="229"/>
      <c r="U2" s="230"/>
      <c r="V2" s="230"/>
    </row>
    <row r="3" spans="1:22">
      <c r="A3" s="231" t="s">
        <v>137</v>
      </c>
      <c r="B3" s="231" t="s">
        <v>137</v>
      </c>
      <c r="C3" s="232">
        <f>M3/N3*100</f>
        <v>13.378119001919387</v>
      </c>
      <c r="D3" s="232" t="str">
        <f>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13 - 14</v>
      </c>
      <c r="E3" s="232">
        <f>O3/P3*100</f>
        <v>72.341650671785033</v>
      </c>
      <c r="F3" s="232" t="str">
        <f>IF(AND(AND(P3&gt;0,O3&gt;0),ROUND(SUM(100*((2*(O3)+1.96^2)-(1.96*(SQRT(1.96^2+4*(O3)*(1-((O3)/P3))))))/(2*(P3+1.96^2))),0)&lt;0),CONCATENATE(SUM(1*0)," - ",ROUND(SUM(100*((2*(O3)+1.96^2)+(1.96*(SQRT(1.96^2+4*(O3)*(1-((O3)/P3))))))/(2*(P3+1.96^2))),0)),IF(AND(AND(P3&gt;0,O3&gt;0),ROUND(SUM(100*((2*(O3)+1.96^2)-(1.96*(SQRT(1.96^2+4*(O3)*(1-((O3)/P3))))))/(2*(P3+1.96^2))),0)&gt;=0),CONCATENATE(ROUND(SUM(100*((2*(O3)+1.96^2)-(1.96*(SQRT(1.96^2+4*(O3)*(1-((O3)/P3))))))/(2*(P3+1.96^2))),0)," - ",ROUND(SUM(100*((2*(O3)+1.96^2)+(1.96*(SQRT(1.96^2+4*(O3)*(1-((O3)/P3))))))/(2*(P3+1.96^2))),0)),""))</f>
        <v>71 - 73</v>
      </c>
      <c r="G3" s="232">
        <f>Q3/R3*100</f>
        <v>14.280230326295584</v>
      </c>
      <c r="H3" s="232" t="str">
        <f>IF(AND(AND(R3&gt;0,Q3&gt;0),ROUND(SUM(100*((2*(Q3)+1.96^2)-(1.96*(SQRT(1.96^2+4*(Q3)*(1-((Q3)/R3))))))/(2*(R3+1.96^2))),0)&lt;0),CONCATENATE(SUM(1*0)," - ",ROUND(SUM(100*((2*(Q3)+1.96^2)+(1.96*(SQRT(1.96^2+4*(Q3)*(1-((Q3)/R3))))))/(2*(R3+1.96^2))),0)),IF(AND(AND(R3&gt;0,Q3&gt;0),ROUND(SUM(100*((2*(Q3)+1.96^2)-(1.96*(SQRT(1.96^2+4*(Q3)*(1-((Q3)/R3))))))/(2*(R3+1.96^2))),0)&gt;=0),CONCATENATE(ROUND(SUM(100*((2*(Q3)+1.96^2)-(1.96*(SQRT(1.96^2+4*(Q3)*(1-((Q3)/R3))))))/(2*(R3+1.96^2))),0)," - ",ROUND(SUM(100*((2*(Q3)+1.96^2)+(1.96*(SQRT(1.96^2+4*(Q3)*(1-((Q3)/R3))))))/(2*(R3+1.96^2))),0)),""))</f>
        <v>14 - 15</v>
      </c>
      <c r="I3" s="238"/>
      <c r="J3" s="239"/>
      <c r="K3" s="962"/>
      <c r="L3" s="963"/>
      <c r="M3" s="438">
        <f t="shared" ref="M3:R3" si="0">SUM(M4:M32)</f>
        <v>1394</v>
      </c>
      <c r="N3" s="438">
        <f t="shared" si="0"/>
        <v>10420</v>
      </c>
      <c r="O3" s="438">
        <f t="shared" si="0"/>
        <v>7538</v>
      </c>
      <c r="P3" s="438">
        <f t="shared" si="0"/>
        <v>10420</v>
      </c>
      <c r="Q3" s="438">
        <f t="shared" si="0"/>
        <v>1488</v>
      </c>
      <c r="R3" s="438">
        <f t="shared" si="0"/>
        <v>10420</v>
      </c>
      <c r="S3" s="237"/>
      <c r="T3" s="237"/>
    </row>
    <row r="4" spans="1:22">
      <c r="A4" s="231" t="s">
        <v>61</v>
      </c>
      <c r="B4" s="231" t="s">
        <v>60</v>
      </c>
      <c r="C4" s="232">
        <f t="shared" ref="C4:C32" si="1">M4/N4*100</f>
        <v>23.391812865497073</v>
      </c>
      <c r="D4" s="232" t="str">
        <f t="shared" ref="D4:D32" si="2">IF(AND(AND(N4&gt;0,M4&gt;0),ROUND(SUM(100*((2*M4+1.96^2)-(1.96*(SQRT(1.96^2+4*M4*(1-(M4/N4))))))/(2*(N4+1.96^2))),0)&lt;0),CONCATENATE(SUM(1*0)," - ",ROUND(SUM(100*((2*M4+1.96^2)+(1.96*(SQRT(1.96^2+4*M4*(1-(M4/N4))))))/(2*(N4+1.96^2))),0)),IF(AND(AND(N4&gt;0,M4&gt;0),ROUND(SUM(100*((2*M4+1.96^2)-(1.96*(SQRT(1.96^2+4*M4*(1-(M4/N4))))))/(2*(N4+1.96^2))),0)&gt;=0),CONCATENATE(ROUND(SUM(100*((2*M4+1.96^2)-(1.96*(SQRT(1.96^2+4*M4*(1-(M4/N4))))))/(2*(N4+1.96^2))),0)," - ",ROUND(SUM(100*((2*M4+1.96^2)+(1.96*(SQRT(1.96^2+4*M4*(1-(M4/N4))))))/(2*(N4+1.96^2))),0)),""))</f>
        <v>19 - 28</v>
      </c>
      <c r="E4" s="232">
        <f>O4/P4*100</f>
        <v>62.865497076023388</v>
      </c>
      <c r="F4" s="232" t="str">
        <f>IF(AND(AND(P4&gt;0,O4&gt;0),ROUND(SUM(100*((2*(O4)+1.96^2)-(1.96*(SQRT(1.96^2+4*(O4)*(1-((O4)/P4))))))/(2*(P4+1.96^2))),0)&lt;0),CONCATENATE(SUM(1*0)," - ",ROUND(SUM(100*((2*(O4)+1.96^2)+(1.96*(SQRT(1.96^2+4*(O4)*(1-((O4)/P4))))))/(2*(P4+1.96^2))),0)),IF(AND(AND(P4&gt;0,O4&gt;0),ROUND(SUM(100*((2*(O4)+1.96^2)-(1.96*(SQRT(1.96^2+4*(O4)*(1-((O4)/P4))))))/(2*(P4+1.96^2))),0)&gt;=0),CONCATENATE(ROUND(SUM(100*((2*(O4)+1.96^2)-(1.96*(SQRT(1.96^2+4*(O4)*(1-((O4)/P4))))))/(2*(P4+1.96^2))),0)," - ",ROUND(SUM(100*((2*(O4)+1.96^2)+(1.96*(SQRT(1.96^2+4*(O4)*(1-((O4)/P4))))))/(2*(P4+1.96^2))),0)),""))</f>
        <v>58 - 68</v>
      </c>
      <c r="G4" s="232">
        <f>Q4/R4*100</f>
        <v>13.742690058479532</v>
      </c>
      <c r="H4" s="232" t="str">
        <f>IF(AND(AND(R4&gt;0,Q4&gt;0),ROUND(SUM(100*((2*(Q4)+1.96^2)-(1.96*(SQRT(1.96^2+4*(Q4)*(1-((Q4)/R4))))))/(2*(R4+1.96^2))),0)&lt;0),CONCATENATE(SUM(1*0)," - ",ROUND(SUM(100*((2*(Q4)+1.96^2)+(1.96*(SQRT(1.96^2+4*(Q4)*(1-((Q4)/R4))))))/(2*(R4+1.96^2))),0)),IF(AND(AND(R4&gt;0,Q4&gt;0),ROUND(SUM(100*((2*(Q4)+1.96^2)-(1.96*(SQRT(1.96^2+4*(Q4)*(1-((Q4)/R4))))))/(2*(R4+1.96^2))),0)&gt;=0),CONCATENATE(ROUND(SUM(100*((2*(Q4)+1.96^2)-(1.96*(SQRT(1.96^2+4*(Q4)*(1-((Q4)/R4))))))/(2*(R4+1.96^2))),0)," - ",ROUND(SUM(100*((2*(Q4)+1.96^2)+(1.96*(SQRT(1.96^2+4*(Q4)*(1-((Q4)/R4))))))/(2*(R4+1.96^2))),0)),""))</f>
        <v>10 - 18</v>
      </c>
      <c r="I4" s="233"/>
      <c r="J4" s="234"/>
      <c r="K4" s="976"/>
      <c r="L4" s="977"/>
      <c r="M4" s="438">
        <v>80</v>
      </c>
      <c r="N4" s="438">
        <v>342</v>
      </c>
      <c r="O4" s="438">
        <v>215</v>
      </c>
      <c r="P4" s="438">
        <v>342</v>
      </c>
      <c r="Q4" s="438">
        <v>47</v>
      </c>
      <c r="R4" s="438">
        <v>342</v>
      </c>
      <c r="S4" s="229"/>
      <c r="T4" s="229"/>
      <c r="U4" s="230"/>
      <c r="V4" s="230"/>
    </row>
    <row r="5" spans="1:22">
      <c r="A5" s="231" t="s">
        <v>63</v>
      </c>
      <c r="B5" s="231" t="s">
        <v>64</v>
      </c>
      <c r="C5" s="232">
        <f t="shared" si="1"/>
        <v>30.590339892665476</v>
      </c>
      <c r="D5" s="232" t="str">
        <f t="shared" si="2"/>
        <v>27 - 35</v>
      </c>
      <c r="E5" s="232">
        <f t="shared" ref="E5:E32" si="3">O5/P5*100</f>
        <v>54.919499105545619</v>
      </c>
      <c r="F5" s="232" t="str">
        <f t="shared" ref="F5:F32" si="4">IF(AND(AND(P5&gt;0,O5&gt;0),ROUND(SUM(100*((2*(O5)+1.96^2)-(1.96*(SQRT(1.96^2+4*(O5)*(1-((O5)/P5))))))/(2*(P5+1.96^2))),0)&lt;0),CONCATENATE(SUM(1*0)," - ",ROUND(SUM(100*((2*(O5)+1.96^2)+(1.96*(SQRT(1.96^2+4*(O5)*(1-((O5)/P5))))))/(2*(P5+1.96^2))),0)),IF(AND(AND(P5&gt;0,O5&gt;0),ROUND(SUM(100*((2*(O5)+1.96^2)-(1.96*(SQRT(1.96^2+4*(O5)*(1-((O5)/P5))))))/(2*(P5+1.96^2))),0)&gt;=0),CONCATENATE(ROUND(SUM(100*((2*(O5)+1.96^2)-(1.96*(SQRT(1.96^2+4*(O5)*(1-((O5)/P5))))))/(2*(P5+1.96^2))),0)," - ",ROUND(SUM(100*((2*(O5)+1.96^2)+(1.96*(SQRT(1.96^2+4*(O5)*(1-((O5)/P5))))))/(2*(P5+1.96^2))),0)),""))</f>
        <v>51 - 59</v>
      </c>
      <c r="G5" s="232">
        <f t="shared" ref="G5:G32" si="5">Q5/R5*100</f>
        <v>14.490161001788909</v>
      </c>
      <c r="H5" s="232" t="str">
        <f t="shared" ref="H5:H32" si="6">IF(AND(AND(R5&gt;0,Q5&gt;0),ROUND(SUM(100*((2*(Q5)+1.96^2)-(1.96*(SQRT(1.96^2+4*(Q5)*(1-((Q5)/R5))))))/(2*(R5+1.96^2))),0)&lt;0),CONCATENATE(SUM(1*0)," - ",ROUND(SUM(100*((2*(Q5)+1.96^2)+(1.96*(SQRT(1.96^2+4*(Q5)*(1-((Q5)/R5))))))/(2*(R5+1.96^2))),0)),IF(AND(AND(R5&gt;0,Q5&gt;0),ROUND(SUM(100*((2*(Q5)+1.96^2)-(1.96*(SQRT(1.96^2+4*(Q5)*(1-((Q5)/R5))))))/(2*(R5+1.96^2))),0)&gt;=0),CONCATENATE(ROUND(SUM(100*((2*(Q5)+1.96^2)-(1.96*(SQRT(1.96^2+4*(Q5)*(1-((Q5)/R5))))))/(2*(R5+1.96^2))),0)," - ",ROUND(SUM(100*((2*(Q5)+1.96^2)+(1.96*(SQRT(1.96^2+4*(Q5)*(1-((Q5)/R5))))))/(2*(R5+1.96^2))),0)),""))</f>
        <v>12 - 18</v>
      </c>
      <c r="I5" s="235"/>
      <c r="J5" s="236"/>
      <c r="K5" s="960"/>
      <c r="L5" s="961"/>
      <c r="M5" s="438">
        <v>171</v>
      </c>
      <c r="N5" s="438">
        <v>559</v>
      </c>
      <c r="O5" s="438">
        <v>307</v>
      </c>
      <c r="P5" s="438">
        <v>559</v>
      </c>
      <c r="Q5" s="438">
        <v>81</v>
      </c>
      <c r="R5" s="438">
        <v>559</v>
      </c>
      <c r="S5" s="237"/>
      <c r="T5" s="237"/>
    </row>
    <row r="6" spans="1:22">
      <c r="A6" s="231" t="s">
        <v>30</v>
      </c>
      <c r="B6" s="231" t="s">
        <v>66</v>
      </c>
      <c r="C6" s="232">
        <f t="shared" si="1"/>
        <v>9.1286307053941904</v>
      </c>
      <c r="D6" s="232" t="str">
        <f t="shared" si="2"/>
        <v>6 - 13</v>
      </c>
      <c r="E6" s="232">
        <f t="shared" si="3"/>
        <v>77.593360995850631</v>
      </c>
      <c r="F6" s="232" t="str">
        <f t="shared" si="4"/>
        <v>72 - 82</v>
      </c>
      <c r="G6" s="232">
        <f t="shared" si="5"/>
        <v>13.278008298755188</v>
      </c>
      <c r="H6" s="232" t="str">
        <f t="shared" si="6"/>
        <v>10 - 18</v>
      </c>
      <c r="I6" s="235"/>
      <c r="J6" s="236"/>
      <c r="K6" s="960"/>
      <c r="L6" s="961"/>
      <c r="M6" s="438">
        <v>22</v>
      </c>
      <c r="N6" s="438">
        <v>241</v>
      </c>
      <c r="O6" s="438">
        <v>187</v>
      </c>
      <c r="P6" s="438">
        <v>241</v>
      </c>
      <c r="Q6" s="438">
        <v>32</v>
      </c>
      <c r="R6" s="438">
        <v>241</v>
      </c>
      <c r="S6" s="237"/>
      <c r="T6" s="237"/>
    </row>
    <row r="7" spans="1:22">
      <c r="A7" s="231" t="s">
        <v>68</v>
      </c>
      <c r="B7" s="231" t="s">
        <v>69</v>
      </c>
      <c r="C7" s="232">
        <f t="shared" si="1"/>
        <v>9.3283582089552244</v>
      </c>
      <c r="D7" s="232" t="str">
        <f t="shared" si="2"/>
        <v>6 - 13</v>
      </c>
      <c r="E7" s="232">
        <f t="shared" si="3"/>
        <v>72.014925373134332</v>
      </c>
      <c r="F7" s="232" t="str">
        <f t="shared" si="4"/>
        <v>66 - 77</v>
      </c>
      <c r="G7" s="232">
        <f t="shared" si="5"/>
        <v>18.656716417910449</v>
      </c>
      <c r="H7" s="232" t="str">
        <f t="shared" si="6"/>
        <v>14 - 24</v>
      </c>
      <c r="I7" s="235"/>
      <c r="J7" s="236"/>
      <c r="K7" s="960"/>
      <c r="L7" s="961"/>
      <c r="M7" s="438">
        <v>25</v>
      </c>
      <c r="N7" s="438">
        <v>268</v>
      </c>
      <c r="O7" s="438">
        <v>193</v>
      </c>
      <c r="P7" s="438">
        <v>268</v>
      </c>
      <c r="Q7" s="438">
        <v>50</v>
      </c>
      <c r="R7" s="438">
        <v>268</v>
      </c>
      <c r="S7" s="237"/>
      <c r="T7" s="237"/>
    </row>
    <row r="8" spans="1:22">
      <c r="A8" s="231" t="s">
        <v>71</v>
      </c>
      <c r="B8" s="231" t="s">
        <v>72</v>
      </c>
      <c r="C8" s="232">
        <f t="shared" si="1"/>
        <v>9.0909090909090917</v>
      </c>
      <c r="D8" s="232" t="str">
        <f t="shared" si="2"/>
        <v>4 - 21</v>
      </c>
      <c r="E8" s="232">
        <f t="shared" si="3"/>
        <v>77.272727272727266</v>
      </c>
      <c r="F8" s="232" t="str">
        <f t="shared" si="4"/>
        <v>63 - 87</v>
      </c>
      <c r="G8" s="232">
        <f t="shared" si="5"/>
        <v>13.636363636363635</v>
      </c>
      <c r="H8" s="232" t="str">
        <f t="shared" si="6"/>
        <v>6 - 27</v>
      </c>
      <c r="I8" s="235"/>
      <c r="J8" s="236"/>
      <c r="K8" s="960"/>
      <c r="L8" s="961"/>
      <c r="M8" s="438">
        <v>4</v>
      </c>
      <c r="N8" s="438">
        <v>44</v>
      </c>
      <c r="O8" s="438">
        <v>34</v>
      </c>
      <c r="P8" s="438">
        <v>44</v>
      </c>
      <c r="Q8" s="438">
        <v>6</v>
      </c>
      <c r="R8" s="438">
        <v>44</v>
      </c>
      <c r="S8" s="237"/>
      <c r="T8" s="237"/>
    </row>
    <row r="9" spans="1:22">
      <c r="A9" s="231" t="s">
        <v>177</v>
      </c>
      <c r="B9" s="231" t="s">
        <v>74</v>
      </c>
      <c r="C9" s="232">
        <f t="shared" si="1"/>
        <v>9.8150782361308675</v>
      </c>
      <c r="D9" s="232" t="str">
        <f t="shared" si="2"/>
        <v>8 - 12</v>
      </c>
      <c r="E9" s="232">
        <f t="shared" si="3"/>
        <v>83.214793741109531</v>
      </c>
      <c r="F9" s="232" t="str">
        <f t="shared" si="4"/>
        <v>80 - 86</v>
      </c>
      <c r="G9" s="232">
        <f t="shared" si="5"/>
        <v>6.9701280227596012</v>
      </c>
      <c r="H9" s="232" t="str">
        <f t="shared" si="6"/>
        <v>5 - 9</v>
      </c>
      <c r="I9" s="235"/>
      <c r="J9" s="236"/>
      <c r="K9" s="960"/>
      <c r="L9" s="961"/>
      <c r="M9" s="438">
        <v>69</v>
      </c>
      <c r="N9" s="438">
        <v>703</v>
      </c>
      <c r="O9" s="438">
        <v>585</v>
      </c>
      <c r="P9" s="438">
        <v>703</v>
      </c>
      <c r="Q9" s="438">
        <v>49</v>
      </c>
      <c r="R9" s="438">
        <v>703</v>
      </c>
      <c r="S9" s="237"/>
      <c r="T9" s="237"/>
    </row>
    <row r="10" spans="1:22">
      <c r="A10" s="231" t="s">
        <v>186</v>
      </c>
      <c r="B10" s="231" t="s">
        <v>76</v>
      </c>
      <c r="C10" s="232">
        <f t="shared" si="1"/>
        <v>13.65079365079365</v>
      </c>
      <c r="D10" s="232" t="str">
        <f t="shared" si="2"/>
        <v>11 - 17</v>
      </c>
      <c r="E10" s="232">
        <f t="shared" si="3"/>
        <v>69.365079365079367</v>
      </c>
      <c r="F10" s="232" t="str">
        <f t="shared" si="4"/>
        <v>66 - 73</v>
      </c>
      <c r="G10" s="232">
        <f t="shared" si="5"/>
        <v>16.984126984126984</v>
      </c>
      <c r="H10" s="232" t="str">
        <f t="shared" si="6"/>
        <v>14 - 20</v>
      </c>
      <c r="I10" s="235"/>
      <c r="J10" s="236"/>
      <c r="K10" s="960"/>
      <c r="L10" s="961"/>
      <c r="M10" s="438">
        <v>86</v>
      </c>
      <c r="N10" s="438">
        <v>630</v>
      </c>
      <c r="O10" s="438">
        <v>437</v>
      </c>
      <c r="P10" s="438">
        <v>630</v>
      </c>
      <c r="Q10" s="438">
        <v>107</v>
      </c>
      <c r="R10" s="438">
        <v>630</v>
      </c>
      <c r="S10" s="237"/>
      <c r="T10" s="237"/>
    </row>
    <row r="11" spans="1:22">
      <c r="A11" s="231" t="s">
        <v>178</v>
      </c>
      <c r="B11" s="231" t="s">
        <v>78</v>
      </c>
      <c r="C11" s="232">
        <f t="shared" si="1"/>
        <v>11.719745222929937</v>
      </c>
      <c r="D11" s="232" t="str">
        <f t="shared" si="2"/>
        <v>10 - 14</v>
      </c>
      <c r="E11" s="232">
        <f t="shared" si="3"/>
        <v>69.681528662420376</v>
      </c>
      <c r="F11" s="232" t="str">
        <f t="shared" si="4"/>
        <v>66 - 73</v>
      </c>
      <c r="G11" s="232">
        <f t="shared" si="5"/>
        <v>18.598726114649679</v>
      </c>
      <c r="H11" s="232" t="str">
        <f t="shared" si="6"/>
        <v>16 - 21</v>
      </c>
      <c r="I11" s="235"/>
      <c r="J11" s="236"/>
      <c r="K11" s="960"/>
      <c r="L11" s="961"/>
      <c r="M11" s="438">
        <v>92</v>
      </c>
      <c r="N11" s="438">
        <v>785</v>
      </c>
      <c r="O11" s="438">
        <v>547</v>
      </c>
      <c r="P11" s="438">
        <v>785</v>
      </c>
      <c r="Q11" s="438">
        <v>146</v>
      </c>
      <c r="R11" s="438">
        <v>785</v>
      </c>
      <c r="S11" s="237"/>
      <c r="T11" s="237"/>
    </row>
    <row r="12" spans="1:22">
      <c r="A12" s="231" t="s">
        <v>80</v>
      </c>
      <c r="B12" s="231" t="s">
        <v>81</v>
      </c>
      <c r="C12" s="232">
        <f t="shared" si="1"/>
        <v>0</v>
      </c>
      <c r="D12" s="232" t="str">
        <f t="shared" si="2"/>
        <v/>
      </c>
      <c r="E12" s="232">
        <f t="shared" si="3"/>
        <v>85.384615384615387</v>
      </c>
      <c r="F12" s="232" t="str">
        <f t="shared" si="4"/>
        <v>78 - 90</v>
      </c>
      <c r="G12" s="232">
        <f t="shared" si="5"/>
        <v>14.615384615384617</v>
      </c>
      <c r="H12" s="232" t="str">
        <f t="shared" si="6"/>
        <v>10 - 22</v>
      </c>
      <c r="I12" s="235"/>
      <c r="J12" s="236"/>
      <c r="K12" s="960"/>
      <c r="L12" s="961"/>
      <c r="M12" s="438">
        <v>0</v>
      </c>
      <c r="N12" s="438">
        <v>130</v>
      </c>
      <c r="O12" s="438">
        <v>111</v>
      </c>
      <c r="P12" s="438">
        <v>130</v>
      </c>
      <c r="Q12" s="438">
        <v>19</v>
      </c>
      <c r="R12" s="438">
        <v>130</v>
      </c>
      <c r="S12" s="237"/>
      <c r="T12" s="237"/>
    </row>
    <row r="13" spans="1:22">
      <c r="A13" s="231" t="s">
        <v>187</v>
      </c>
      <c r="B13" s="231" t="s">
        <v>83</v>
      </c>
      <c r="C13" s="232">
        <f t="shared" si="1"/>
        <v>18.209876543209877</v>
      </c>
      <c r="D13" s="232" t="str">
        <f t="shared" si="2"/>
        <v>15 - 21</v>
      </c>
      <c r="E13" s="232">
        <f t="shared" si="3"/>
        <v>71.759259259259252</v>
      </c>
      <c r="F13" s="232" t="str">
        <f t="shared" si="4"/>
        <v>68 - 75</v>
      </c>
      <c r="G13" s="232">
        <f t="shared" si="5"/>
        <v>10.030864197530864</v>
      </c>
      <c r="H13" s="232" t="str">
        <f t="shared" si="6"/>
        <v>8 - 13</v>
      </c>
      <c r="I13" s="235"/>
      <c r="J13" s="236"/>
      <c r="K13" s="960"/>
      <c r="L13" s="961"/>
      <c r="M13" s="438">
        <v>118</v>
      </c>
      <c r="N13" s="438">
        <v>648</v>
      </c>
      <c r="O13" s="438">
        <v>465</v>
      </c>
      <c r="P13" s="438">
        <v>648</v>
      </c>
      <c r="Q13" s="438">
        <v>65</v>
      </c>
      <c r="R13" s="438">
        <v>648</v>
      </c>
      <c r="S13" s="237"/>
      <c r="T13" s="237"/>
    </row>
    <row r="14" spans="1:22">
      <c r="A14" s="231" t="s">
        <v>85</v>
      </c>
      <c r="B14" s="231" t="s">
        <v>86</v>
      </c>
      <c r="C14" s="232">
        <f t="shared" si="1"/>
        <v>15.936254980079681</v>
      </c>
      <c r="D14" s="232" t="str">
        <f t="shared" si="2"/>
        <v>12 - 21</v>
      </c>
      <c r="E14" s="232">
        <f t="shared" si="3"/>
        <v>71.713147410358573</v>
      </c>
      <c r="F14" s="232" t="str">
        <f t="shared" si="4"/>
        <v>66 - 77</v>
      </c>
      <c r="G14" s="232">
        <f t="shared" si="5"/>
        <v>12.350597609561753</v>
      </c>
      <c r="H14" s="232" t="str">
        <f t="shared" si="6"/>
        <v>9 - 17</v>
      </c>
      <c r="I14" s="235"/>
      <c r="J14" s="236"/>
      <c r="K14" s="960"/>
      <c r="L14" s="961"/>
      <c r="M14" s="438">
        <v>40</v>
      </c>
      <c r="N14" s="438">
        <v>251</v>
      </c>
      <c r="O14" s="438">
        <v>180</v>
      </c>
      <c r="P14" s="438">
        <v>251</v>
      </c>
      <c r="Q14" s="438">
        <v>31</v>
      </c>
      <c r="R14" s="438">
        <v>251</v>
      </c>
      <c r="S14" s="237"/>
      <c r="T14" s="237"/>
    </row>
    <row r="15" spans="1:22">
      <c r="A15" s="231" t="s">
        <v>532</v>
      </c>
      <c r="B15" s="231" t="s">
        <v>533</v>
      </c>
      <c r="C15" s="232">
        <f t="shared" si="1"/>
        <v>18.005738880918219</v>
      </c>
      <c r="D15" s="232" t="str">
        <f t="shared" si="2"/>
        <v>16 - 20</v>
      </c>
      <c r="E15" s="232">
        <f t="shared" si="3"/>
        <v>73.744619799139173</v>
      </c>
      <c r="F15" s="232" t="str">
        <f t="shared" si="4"/>
        <v>71 - 76</v>
      </c>
      <c r="G15" s="232">
        <f t="shared" si="5"/>
        <v>8.2496413199426097</v>
      </c>
      <c r="H15" s="232" t="str">
        <f t="shared" si="6"/>
        <v>7 - 10</v>
      </c>
      <c r="I15" s="235"/>
      <c r="J15" s="236"/>
      <c r="K15" s="960"/>
      <c r="L15" s="961"/>
      <c r="M15" s="438">
        <v>251</v>
      </c>
      <c r="N15" s="438">
        <v>1394</v>
      </c>
      <c r="O15" s="438">
        <v>1028</v>
      </c>
      <c r="P15" s="438">
        <v>1394</v>
      </c>
      <c r="Q15" s="438">
        <v>115</v>
      </c>
      <c r="R15" s="438">
        <v>1394</v>
      </c>
      <c r="S15" s="237"/>
      <c r="T15" s="237"/>
    </row>
    <row r="16" spans="1:22">
      <c r="A16" s="231" t="s">
        <v>188</v>
      </c>
      <c r="B16" s="231" t="s">
        <v>88</v>
      </c>
      <c r="C16" s="232">
        <f t="shared" si="1"/>
        <v>16.467780429594274</v>
      </c>
      <c r="D16" s="232" t="str">
        <f t="shared" si="2"/>
        <v>13 - 20</v>
      </c>
      <c r="E16" s="232">
        <f t="shared" si="3"/>
        <v>71.360381861575178</v>
      </c>
      <c r="F16" s="232" t="str">
        <f t="shared" si="4"/>
        <v>67 - 75</v>
      </c>
      <c r="G16" s="232">
        <f t="shared" si="5"/>
        <v>12.17183770883055</v>
      </c>
      <c r="H16" s="232" t="str">
        <f t="shared" si="6"/>
        <v>9 - 16</v>
      </c>
      <c r="I16" s="235"/>
      <c r="J16" s="236"/>
      <c r="K16" s="960"/>
      <c r="L16" s="961"/>
      <c r="M16" s="438">
        <v>69</v>
      </c>
      <c r="N16" s="438">
        <v>419</v>
      </c>
      <c r="O16" s="438">
        <v>299</v>
      </c>
      <c r="P16" s="438">
        <v>419</v>
      </c>
      <c r="Q16" s="438">
        <v>51</v>
      </c>
      <c r="R16" s="438">
        <v>419</v>
      </c>
      <c r="S16" s="237"/>
      <c r="T16" s="237"/>
    </row>
    <row r="17" spans="1:20">
      <c r="A17" s="231" t="s">
        <v>92</v>
      </c>
      <c r="B17" s="231" t="s">
        <v>93</v>
      </c>
      <c r="C17" s="232">
        <f t="shared" si="1"/>
        <v>15.151515151515152</v>
      </c>
      <c r="D17" s="232" t="str">
        <f t="shared" si="2"/>
        <v>7 - 31</v>
      </c>
      <c r="E17" s="232">
        <f t="shared" si="3"/>
        <v>81.818181818181827</v>
      </c>
      <c r="F17" s="232" t="str">
        <f t="shared" si="4"/>
        <v>66 - 91</v>
      </c>
      <c r="G17" s="232">
        <f t="shared" si="5"/>
        <v>3.0303030303030303</v>
      </c>
      <c r="H17" s="232" t="str">
        <f t="shared" si="6"/>
        <v>1 - 15</v>
      </c>
      <c r="I17" s="235"/>
      <c r="J17" s="236"/>
      <c r="K17" s="960"/>
      <c r="L17" s="961"/>
      <c r="M17" s="438">
        <v>5</v>
      </c>
      <c r="N17" s="438">
        <v>33</v>
      </c>
      <c r="O17" s="438">
        <v>27</v>
      </c>
      <c r="P17" s="438">
        <v>33</v>
      </c>
      <c r="Q17" s="438">
        <v>1</v>
      </c>
      <c r="R17" s="438">
        <v>33</v>
      </c>
      <c r="S17" s="237"/>
      <c r="T17" s="237"/>
    </row>
    <row r="18" spans="1:20">
      <c r="A18" s="231" t="s">
        <v>95</v>
      </c>
      <c r="B18" s="231" t="s">
        <v>96</v>
      </c>
      <c r="C18" s="232">
        <f t="shared" si="1"/>
        <v>17.241379310344829</v>
      </c>
      <c r="D18" s="232" t="str">
        <f t="shared" si="2"/>
        <v>11 - 27</v>
      </c>
      <c r="E18" s="232">
        <f t="shared" si="3"/>
        <v>75.862068965517238</v>
      </c>
      <c r="F18" s="232" t="str">
        <f t="shared" si="4"/>
        <v>66 - 84</v>
      </c>
      <c r="G18" s="232">
        <f t="shared" si="5"/>
        <v>6.8965517241379306</v>
      </c>
      <c r="H18" s="232" t="str">
        <f t="shared" si="6"/>
        <v>3 - 14</v>
      </c>
      <c r="I18" s="235"/>
      <c r="J18" s="236"/>
      <c r="K18" s="960"/>
      <c r="L18" s="961"/>
      <c r="M18" s="438">
        <v>15</v>
      </c>
      <c r="N18" s="438">
        <v>87</v>
      </c>
      <c r="O18" s="438">
        <v>66</v>
      </c>
      <c r="P18" s="438">
        <v>87</v>
      </c>
      <c r="Q18" s="438">
        <v>6</v>
      </c>
      <c r="R18" s="438">
        <v>87</v>
      </c>
      <c r="S18" s="237"/>
      <c r="T18" s="237"/>
    </row>
    <row r="19" spans="1:20">
      <c r="A19" s="231" t="s">
        <v>98</v>
      </c>
      <c r="B19" s="231" t="s">
        <v>99</v>
      </c>
      <c r="C19" s="232">
        <f t="shared" si="1"/>
        <v>10</v>
      </c>
      <c r="D19" s="232" t="str">
        <f t="shared" si="2"/>
        <v>4 - 21</v>
      </c>
      <c r="E19" s="232">
        <f t="shared" si="3"/>
        <v>82</v>
      </c>
      <c r="F19" s="232" t="str">
        <f t="shared" si="4"/>
        <v>69 - 90</v>
      </c>
      <c r="G19" s="232">
        <f t="shared" si="5"/>
        <v>8</v>
      </c>
      <c r="H19" s="232" t="str">
        <f t="shared" si="6"/>
        <v>3 - 19</v>
      </c>
      <c r="I19" s="235"/>
      <c r="J19" s="236"/>
      <c r="K19" s="960"/>
      <c r="L19" s="961"/>
      <c r="M19" s="438">
        <v>5</v>
      </c>
      <c r="N19" s="438">
        <v>50</v>
      </c>
      <c r="O19" s="438">
        <v>41</v>
      </c>
      <c r="P19" s="438">
        <v>50</v>
      </c>
      <c r="Q19" s="438">
        <v>4</v>
      </c>
      <c r="R19" s="438">
        <v>50</v>
      </c>
      <c r="S19" s="237"/>
      <c r="T19" s="237"/>
    </row>
    <row r="20" spans="1:20">
      <c r="A20" s="231" t="s">
        <v>101</v>
      </c>
      <c r="B20" s="231" t="s">
        <v>102</v>
      </c>
      <c r="C20" s="232">
        <f t="shared" si="1"/>
        <v>12.158808933002481</v>
      </c>
      <c r="D20" s="232" t="str">
        <f t="shared" si="2"/>
        <v>9 - 16</v>
      </c>
      <c r="E20" s="232">
        <f t="shared" si="3"/>
        <v>83.870967741935488</v>
      </c>
      <c r="F20" s="232" t="str">
        <f t="shared" si="4"/>
        <v>80 - 87</v>
      </c>
      <c r="G20" s="232">
        <f t="shared" si="5"/>
        <v>3.9702233250620349</v>
      </c>
      <c r="H20" s="232" t="str">
        <f t="shared" si="6"/>
        <v>2 - 6</v>
      </c>
      <c r="I20" s="235"/>
      <c r="J20" s="236"/>
      <c r="K20" s="960"/>
      <c r="L20" s="961"/>
      <c r="M20" s="438">
        <v>49</v>
      </c>
      <c r="N20" s="438">
        <v>403</v>
      </c>
      <c r="O20" s="438">
        <v>338</v>
      </c>
      <c r="P20" s="438">
        <v>403</v>
      </c>
      <c r="Q20" s="438">
        <v>16</v>
      </c>
      <c r="R20" s="438">
        <v>403</v>
      </c>
      <c r="S20" s="237"/>
      <c r="T20" s="237"/>
    </row>
    <row r="21" spans="1:20">
      <c r="A21" s="231" t="s">
        <v>104</v>
      </c>
      <c r="B21" s="231" t="s">
        <v>105</v>
      </c>
      <c r="C21" s="232">
        <f t="shared" si="1"/>
        <v>3.215434083601286</v>
      </c>
      <c r="D21" s="232" t="str">
        <f t="shared" si="2"/>
        <v>2 - 6</v>
      </c>
      <c r="E21" s="232">
        <f t="shared" si="3"/>
        <v>68.488745980707392</v>
      </c>
      <c r="F21" s="232" t="str">
        <f t="shared" si="4"/>
        <v>63 - 73</v>
      </c>
      <c r="G21" s="232">
        <f t="shared" si="5"/>
        <v>28.29581993569132</v>
      </c>
      <c r="H21" s="232" t="str">
        <f t="shared" si="6"/>
        <v>24 - 34</v>
      </c>
      <c r="I21" s="235"/>
      <c r="J21" s="236"/>
      <c r="K21" s="960"/>
      <c r="L21" s="961"/>
      <c r="M21" s="438">
        <v>10</v>
      </c>
      <c r="N21" s="438">
        <v>311</v>
      </c>
      <c r="O21" s="438">
        <v>213</v>
      </c>
      <c r="P21" s="438">
        <v>311</v>
      </c>
      <c r="Q21" s="438">
        <v>88</v>
      </c>
      <c r="R21" s="438">
        <v>311</v>
      </c>
      <c r="S21" s="237"/>
      <c r="T21" s="237"/>
    </row>
    <row r="22" spans="1:20">
      <c r="A22" s="231" t="s">
        <v>107</v>
      </c>
      <c r="B22" s="231" t="s">
        <v>108</v>
      </c>
      <c r="C22" s="232">
        <f>M22/N22*100</f>
        <v>2.4096385542168677</v>
      </c>
      <c r="D22" s="232" t="str">
        <f>IF(AND(AND(N22&gt;0,M22&gt;0),ROUND(SUM(100*((2*M22+1.96^2)-(1.96*(SQRT(1.96^2+4*M22*(1-(M22/N22))))))/(2*(N22+1.96^2))),0)&lt;0),CONCATENATE(SUM(1*0)," - ",ROUND(SUM(100*((2*M22+1.96^2)+(1.96*(SQRT(1.96^2+4*M22*(1-(M22/N22))))))/(2*(N22+1.96^2))),0)),IF(AND(AND(N22&gt;0,M22&gt;0),ROUND(SUM(100*((2*M22+1.96^2)-(1.96*(SQRT(1.96^2+4*M22*(1-(M22/N22))))))/(2*(N22+1.96^2))),0)&gt;=0),CONCATENATE(ROUND(SUM(100*((2*M22+1.96^2)-(1.96*(SQRT(1.96^2+4*M22*(1-(M22/N22))))))/(2*(N22+1.96^2))),0)," - ",ROUND(SUM(100*((2*M22+1.96^2)+(1.96*(SQRT(1.96^2+4*M22*(1-(M22/N22))))))/(2*(N22+1.96^2))),0)),""))</f>
        <v>1 - 5</v>
      </c>
      <c r="E22" s="232">
        <f>O22/P22*100</f>
        <v>75</v>
      </c>
      <c r="F22" s="232" t="str">
        <f>IF(AND(AND(P22&gt;0,O22&gt;0),ROUND(SUM(100*((2*(O22)+1.96^2)-(1.96*(SQRT(1.96^2+4*(O22)*(1-((O22)/P22))))))/(2*(P22+1.96^2))),0)&lt;0),CONCATENATE(SUM(1*0)," - ",ROUND(SUM(100*((2*(O22)+1.96^2)+(1.96*(SQRT(1.96^2+4*(O22)*(1-((O22)/P22))))))/(2*(P22+1.96^2))),0)),IF(AND(AND(P22&gt;0,O22&gt;0),ROUND(SUM(100*((2*(O22)+1.96^2)-(1.96*(SQRT(1.96^2+4*(O22)*(1-((O22)/P22))))))/(2*(P22+1.96^2))),0)&gt;=0),CONCATENATE(ROUND(SUM(100*((2*(O22)+1.96^2)-(1.96*(SQRT(1.96^2+4*(O22)*(1-((O22)/P22))))))/(2*(P22+1.96^2))),0)," - ",ROUND(SUM(100*((2*(O22)+1.96^2)+(1.96*(SQRT(1.96^2+4*(O22)*(1-((O22)/P22))))))/(2*(P22+1.96^2))),0)),""))</f>
        <v>70 - 79</v>
      </c>
      <c r="G22" s="232">
        <f>Q22/R22*100</f>
        <v>22.590361445783135</v>
      </c>
      <c r="H22" s="232" t="str">
        <f>IF(AND(AND(R22&gt;0,Q22&gt;0),ROUND(SUM(100*((2*(Q22)+1.96^2)-(1.96*(SQRT(1.96^2+4*(Q22)*(1-((Q22)/R22))))))/(2*(R22+1.96^2))),0)&lt;0),CONCATENATE(SUM(1*0)," - ",ROUND(SUM(100*((2*(Q22)+1.96^2)+(1.96*(SQRT(1.96^2+4*(Q22)*(1-((Q22)/R22))))))/(2*(R22+1.96^2))),0)),IF(AND(AND(R22&gt;0,Q22&gt;0),ROUND(SUM(100*((2*(Q22)+1.96^2)-(1.96*(SQRT(1.96^2+4*(Q22)*(1-((Q22)/R22))))))/(2*(R22+1.96^2))),0)&gt;=0),CONCATENATE(ROUND(SUM(100*((2*(Q22)+1.96^2)-(1.96*(SQRT(1.96^2+4*(Q22)*(1-((Q22)/R22))))))/(2*(R22+1.96^2))),0)," - ",ROUND(SUM(100*((2*(Q22)+1.96^2)+(1.96*(SQRT(1.96^2+4*(Q22)*(1-((Q22)/R22))))))/(2*(R22+1.96^2))),0)),""))</f>
        <v>18 - 27</v>
      </c>
      <c r="I22" s="235"/>
      <c r="J22" s="236"/>
      <c r="K22" s="960"/>
      <c r="L22" s="961"/>
      <c r="M22" s="438">
        <v>8</v>
      </c>
      <c r="N22" s="438">
        <v>332</v>
      </c>
      <c r="O22" s="438">
        <v>249</v>
      </c>
      <c r="P22" s="438">
        <v>332</v>
      </c>
      <c r="Q22" s="438">
        <v>75</v>
      </c>
      <c r="R22" s="438">
        <v>332</v>
      </c>
      <c r="S22" s="237"/>
      <c r="T22" s="237"/>
    </row>
    <row r="23" spans="1:20">
      <c r="A23" s="231" t="s">
        <v>110</v>
      </c>
      <c r="B23" s="231" t="s">
        <v>109</v>
      </c>
      <c r="C23" s="232">
        <f>M23/N23*100</f>
        <v>5.444126074498568</v>
      </c>
      <c r="D23" s="232" t="str">
        <f>IF(AND(AND(N23&gt;0,M23&gt;0),ROUND(SUM(100*((2*M23+1.96^2)-(1.96*(SQRT(1.96^2+4*M23*(1-(M23/N23))))))/(2*(N23+1.96^2))),0)&lt;0),CONCATENATE(SUM(1*0)," - ",ROUND(SUM(100*((2*M23+1.96^2)+(1.96*(SQRT(1.96^2+4*M23*(1-(M23/N23))))))/(2*(N23+1.96^2))),0)),IF(AND(AND(N23&gt;0,M23&gt;0),ROUND(SUM(100*((2*M23+1.96^2)-(1.96*(SQRT(1.96^2+4*M23*(1-(M23/N23))))))/(2*(N23+1.96^2))),0)&gt;=0),CONCATENATE(ROUND(SUM(100*((2*M23+1.96^2)-(1.96*(SQRT(1.96^2+4*M23*(1-(M23/N23))))))/(2*(N23+1.96^2))),0)," - ",ROUND(SUM(100*((2*M23+1.96^2)+(1.96*(SQRT(1.96^2+4*M23*(1-(M23/N23))))))/(2*(N23+1.96^2))),0)),""))</f>
        <v>4 - 8</v>
      </c>
      <c r="E23" s="232">
        <f>O23/P23*100</f>
        <v>78.796561604584525</v>
      </c>
      <c r="F23" s="232" t="str">
        <f>IF(AND(AND(P23&gt;0,O23&gt;0),ROUND(SUM(100*((2*(O23)+1.96^2)-(1.96*(SQRT(1.96^2+4*(O23)*(1-((O23)/P23))))))/(2*(P23+1.96^2))),0)&lt;0),CONCATENATE(SUM(1*0)," - ",ROUND(SUM(100*((2*(O23)+1.96^2)+(1.96*(SQRT(1.96^2+4*(O23)*(1-((O23)/P23))))))/(2*(P23+1.96^2))),0)),IF(AND(AND(P23&gt;0,O23&gt;0),ROUND(SUM(100*((2*(O23)+1.96^2)-(1.96*(SQRT(1.96^2+4*(O23)*(1-((O23)/P23))))))/(2*(P23+1.96^2))),0)&gt;=0),CONCATENATE(ROUND(SUM(100*((2*(O23)+1.96^2)-(1.96*(SQRT(1.96^2+4*(O23)*(1-((O23)/P23))))))/(2*(P23+1.96^2))),0)," - ",ROUND(SUM(100*((2*(O23)+1.96^2)+(1.96*(SQRT(1.96^2+4*(O23)*(1-((O23)/P23))))))/(2*(P23+1.96^2))),0)),""))</f>
        <v>74 - 83</v>
      </c>
      <c r="G23" s="232">
        <f>Q23/R23*100</f>
        <v>15.759312320916905</v>
      </c>
      <c r="H23" s="232" t="str">
        <f>IF(AND(AND(R23&gt;0,Q23&gt;0),ROUND(SUM(100*((2*(Q23)+1.96^2)-(1.96*(SQRT(1.96^2+4*(Q23)*(1-((Q23)/R23))))))/(2*(R23+1.96^2))),0)&lt;0),CONCATENATE(SUM(1*0)," - ",ROUND(SUM(100*((2*(Q23)+1.96^2)+(1.96*(SQRT(1.96^2+4*(Q23)*(1-((Q23)/R23))))))/(2*(R23+1.96^2))),0)),IF(AND(AND(R23&gt;0,Q23&gt;0),ROUND(SUM(100*((2*(Q23)+1.96^2)-(1.96*(SQRT(1.96^2+4*(Q23)*(1-((Q23)/R23))))))/(2*(R23+1.96^2))),0)&gt;=0),CONCATENATE(ROUND(SUM(100*((2*(Q23)+1.96^2)-(1.96*(SQRT(1.96^2+4*(Q23)*(1-((Q23)/R23))))))/(2*(R23+1.96^2))),0)," - ",ROUND(SUM(100*((2*(Q23)+1.96^2)+(1.96*(SQRT(1.96^2+4*(Q23)*(1-((Q23)/R23))))))/(2*(R23+1.96^2))),0)),""))</f>
        <v>12 - 20</v>
      </c>
      <c r="I23" s="235"/>
      <c r="J23" s="236"/>
      <c r="K23" s="960"/>
      <c r="L23" s="961"/>
      <c r="M23" s="438">
        <v>19</v>
      </c>
      <c r="N23" s="438">
        <v>349</v>
      </c>
      <c r="O23" s="438">
        <v>275</v>
      </c>
      <c r="P23" s="438">
        <v>349</v>
      </c>
      <c r="Q23" s="438">
        <v>55</v>
      </c>
      <c r="R23" s="438">
        <v>349</v>
      </c>
      <c r="S23" s="237"/>
      <c r="T23" s="237"/>
    </row>
    <row r="24" spans="1:20">
      <c r="A24" s="231" t="s">
        <v>112</v>
      </c>
      <c r="B24" s="231" t="s">
        <v>113</v>
      </c>
      <c r="C24" s="232">
        <f>M24/N24*100</f>
        <v>12.813370473537605</v>
      </c>
      <c r="D24" s="232" t="str">
        <f>IF(AND(AND(N24&gt;0,M24&gt;0),ROUND(SUM(100*((2*M24+1.96^2)-(1.96*(SQRT(1.96^2+4*M24*(1-(M24/N24))))))/(2*(N24+1.96^2))),0)&lt;0),CONCATENATE(SUM(1*0)," - ",ROUND(SUM(100*((2*M24+1.96^2)+(1.96*(SQRT(1.96^2+4*M24*(1-(M24/N24))))))/(2*(N24+1.96^2))),0)),IF(AND(AND(N24&gt;0,M24&gt;0),ROUND(SUM(100*((2*M24+1.96^2)-(1.96*(SQRT(1.96^2+4*M24*(1-(M24/N24))))))/(2*(N24+1.96^2))),0)&gt;=0),CONCATENATE(ROUND(SUM(100*((2*M24+1.96^2)-(1.96*(SQRT(1.96^2+4*M24*(1-(M24/N24))))))/(2*(N24+1.96^2))),0)," - ",ROUND(SUM(100*((2*M24+1.96^2)+(1.96*(SQRT(1.96^2+4*M24*(1-(M24/N24))))))/(2*(N24+1.96^2))),0)),""))</f>
        <v>11 - 15</v>
      </c>
      <c r="E24" s="232">
        <f>O24/P24*100</f>
        <v>65.645311049210775</v>
      </c>
      <c r="F24" s="232" t="str">
        <f>IF(AND(AND(P24&gt;0,O24&gt;0),ROUND(SUM(100*((2*(O24)+1.96^2)-(1.96*(SQRT(1.96^2+4*(O24)*(1-((O24)/P24))))))/(2*(P24+1.96^2))),0)&lt;0),CONCATENATE(SUM(1*0)," - ",ROUND(SUM(100*((2*(O24)+1.96^2)+(1.96*(SQRT(1.96^2+4*(O24)*(1-((O24)/P24))))))/(2*(P24+1.96^2))),0)),IF(AND(AND(P24&gt;0,O24&gt;0),ROUND(SUM(100*((2*(O24)+1.96^2)-(1.96*(SQRT(1.96^2+4*(O24)*(1-((O24)/P24))))))/(2*(P24+1.96^2))),0)&gt;=0),CONCATENATE(ROUND(SUM(100*((2*(O24)+1.96^2)-(1.96*(SQRT(1.96^2+4*(O24)*(1-((O24)/P24))))))/(2*(P24+1.96^2))),0)," - ",ROUND(SUM(100*((2*(O24)+1.96^2)+(1.96*(SQRT(1.96^2+4*(O24)*(1-((O24)/P24))))))/(2*(P24+1.96^2))),0)),""))</f>
        <v>63 - 68</v>
      </c>
      <c r="G24" s="232">
        <f>Q24/R24*100</f>
        <v>21.541318477251625</v>
      </c>
      <c r="H24" s="232" t="str">
        <f>IF(AND(AND(R24&gt;0,Q24&gt;0),ROUND(SUM(100*((2*(Q24)+1.96^2)-(1.96*(SQRT(1.96^2+4*(Q24)*(1-((Q24)/R24))))))/(2*(R24+1.96^2))),0)&lt;0),CONCATENATE(SUM(1*0)," - ",ROUND(SUM(100*((2*(Q24)+1.96^2)+(1.96*(SQRT(1.96^2+4*(Q24)*(1-((Q24)/R24))))))/(2*(R24+1.96^2))),0)),IF(AND(AND(R24&gt;0,Q24&gt;0),ROUND(SUM(100*((2*(Q24)+1.96^2)-(1.96*(SQRT(1.96^2+4*(Q24)*(1-((Q24)/R24))))))/(2*(R24+1.96^2))),0)&gt;=0),CONCATENATE(ROUND(SUM(100*((2*(Q24)+1.96^2)-(1.96*(SQRT(1.96^2+4*(Q24)*(1-((Q24)/R24))))))/(2*(R24+1.96^2))),0)," - ",ROUND(SUM(100*((2*(Q24)+1.96^2)+(1.96*(SQRT(1.96^2+4*(Q24)*(1-((Q24)/R24))))))/(2*(R24+1.96^2))),0)),""))</f>
        <v>19 - 24</v>
      </c>
      <c r="I24" s="235"/>
      <c r="J24" s="236"/>
      <c r="K24" s="960"/>
      <c r="L24" s="961"/>
      <c r="M24" s="438">
        <v>138</v>
      </c>
      <c r="N24" s="438">
        <v>1077</v>
      </c>
      <c r="O24" s="438">
        <v>707</v>
      </c>
      <c r="P24" s="438">
        <v>1077</v>
      </c>
      <c r="Q24" s="438">
        <v>232</v>
      </c>
      <c r="R24" s="438">
        <v>1077</v>
      </c>
      <c r="S24" s="237"/>
      <c r="T24" s="237"/>
    </row>
    <row r="25" spans="1:20">
      <c r="A25" s="231" t="s">
        <v>115</v>
      </c>
      <c r="B25" s="231" t="s">
        <v>116</v>
      </c>
      <c r="C25" s="232">
        <f>M25/N25*100</f>
        <v>1.1904761904761905</v>
      </c>
      <c r="D25" s="232" t="str">
        <f>IF(AND(AND(N25&gt;0,M25&gt;0),ROUND(SUM(100*((2*M25+1.96^2)-(1.96*(SQRT(1.96^2+4*M25*(1-(M25/N25))))))/(2*(N25+1.96^2))),0)&lt;0),CONCATENATE(SUM(1*0)," - ",ROUND(SUM(100*((2*M25+1.96^2)+(1.96*(SQRT(1.96^2+4*M25*(1-(M25/N25))))))/(2*(N25+1.96^2))),0)),IF(AND(AND(N25&gt;0,M25&gt;0),ROUND(SUM(100*((2*M25+1.96^2)-(1.96*(SQRT(1.96^2+4*M25*(1-(M25/N25))))))/(2*(N25+1.96^2))),0)&gt;=0),CONCATENATE(ROUND(SUM(100*((2*M25+1.96^2)-(1.96*(SQRT(1.96^2+4*M25*(1-(M25/N25))))))/(2*(N25+1.96^2))),0)," - ",ROUND(SUM(100*((2*M25+1.96^2)+(1.96*(SQRT(1.96^2+4*M25*(1-(M25/N25))))))/(2*(N25+1.96^2))),0)),""))</f>
        <v>0 - 3</v>
      </c>
      <c r="E25" s="232">
        <f>O25/P25*100</f>
        <v>81.746031746031747</v>
      </c>
      <c r="F25" s="232" t="str">
        <f>IF(AND(AND(P25&gt;0,O25&gt;0),ROUND(SUM(100*((2*(O25)+1.96^2)-(1.96*(SQRT(1.96^2+4*(O25)*(1-((O25)/P25))))))/(2*(P25+1.96^2))),0)&lt;0),CONCATENATE(SUM(1*0)," - ",ROUND(SUM(100*((2*(O25)+1.96^2)+(1.96*(SQRT(1.96^2+4*(O25)*(1-((O25)/P25))))))/(2*(P25+1.96^2))),0)),IF(AND(AND(P25&gt;0,O25&gt;0),ROUND(SUM(100*((2*(O25)+1.96^2)-(1.96*(SQRT(1.96^2+4*(O25)*(1-((O25)/P25))))))/(2*(P25+1.96^2))),0)&gt;=0),CONCATENATE(ROUND(SUM(100*((2*(O25)+1.96^2)-(1.96*(SQRT(1.96^2+4*(O25)*(1-((O25)/P25))))))/(2*(P25+1.96^2))),0)," - ",ROUND(SUM(100*((2*(O25)+1.96^2)+(1.96*(SQRT(1.96^2+4*(O25)*(1-((O25)/P25))))))/(2*(P25+1.96^2))),0)),""))</f>
        <v>77 - 86</v>
      </c>
      <c r="G25" s="232">
        <f>Q25/R25*100</f>
        <v>17.063492063492063</v>
      </c>
      <c r="H25" s="232" t="str">
        <f>IF(AND(AND(R25&gt;0,Q25&gt;0),ROUND(SUM(100*((2*(Q25)+1.96^2)-(1.96*(SQRT(1.96^2+4*(Q25)*(1-((Q25)/R25))))))/(2*(R25+1.96^2))),0)&lt;0),CONCATENATE(SUM(1*0)," - ",ROUND(SUM(100*((2*(Q25)+1.96^2)+(1.96*(SQRT(1.96^2+4*(Q25)*(1-((Q25)/R25))))))/(2*(R25+1.96^2))),0)),IF(AND(AND(R25&gt;0,Q25&gt;0),ROUND(SUM(100*((2*(Q25)+1.96^2)-(1.96*(SQRT(1.96^2+4*(Q25)*(1-((Q25)/R25))))))/(2*(R25+1.96^2))),0)&gt;=0),CONCATENATE(ROUND(SUM(100*((2*(Q25)+1.96^2)-(1.96*(SQRT(1.96^2+4*(Q25)*(1-((Q25)/R25))))))/(2*(R25+1.96^2))),0)," - ",ROUND(SUM(100*((2*(Q25)+1.96^2)+(1.96*(SQRT(1.96^2+4*(Q25)*(1-((Q25)/R25))))))/(2*(R25+1.96^2))),0)),""))</f>
        <v>13 - 22</v>
      </c>
      <c r="I25" s="235"/>
      <c r="J25" s="236"/>
      <c r="K25" s="960"/>
      <c r="L25" s="961"/>
      <c r="M25" s="438">
        <v>3</v>
      </c>
      <c r="N25" s="438">
        <v>252</v>
      </c>
      <c r="O25" s="438">
        <v>206</v>
      </c>
      <c r="P25" s="438">
        <v>252</v>
      </c>
      <c r="Q25" s="438">
        <v>43</v>
      </c>
      <c r="R25" s="438">
        <v>252</v>
      </c>
      <c r="S25" s="237"/>
      <c r="T25" s="237"/>
    </row>
    <row r="26" spans="1:20">
      <c r="A26" s="231" t="s">
        <v>118</v>
      </c>
      <c r="B26" s="231" t="s">
        <v>119</v>
      </c>
      <c r="C26" s="232">
        <f>M26/N26*100</f>
        <v>13.745704467353953</v>
      </c>
      <c r="D26" s="232" t="str">
        <f>IF(AND(AND(N26&gt;0,M26&gt;0),ROUND(SUM(100*((2*M26+1.96^2)-(1.96*(SQRT(1.96^2+4*M26*(1-(M26/N26))))))/(2*(N26+1.96^2))),0)&lt;0),CONCATENATE(SUM(1*0)," - ",ROUND(SUM(100*((2*M26+1.96^2)+(1.96*(SQRT(1.96^2+4*M26*(1-(M26/N26))))))/(2*(N26+1.96^2))),0)),IF(AND(AND(N26&gt;0,M26&gt;0),ROUND(SUM(100*((2*M26+1.96^2)-(1.96*(SQRT(1.96^2+4*M26*(1-(M26/N26))))))/(2*(N26+1.96^2))),0)&gt;=0),CONCATENATE(ROUND(SUM(100*((2*M26+1.96^2)-(1.96*(SQRT(1.96^2+4*M26*(1-(M26/N26))))))/(2*(N26+1.96^2))),0)," - ",ROUND(SUM(100*((2*M26+1.96^2)+(1.96*(SQRT(1.96^2+4*M26*(1-(M26/N26))))))/(2*(N26+1.96^2))),0)),""))</f>
        <v>10 - 18</v>
      </c>
      <c r="E26" s="232">
        <f>O26/P26*100</f>
        <v>71.477663230240552</v>
      </c>
      <c r="F26" s="232" t="str">
        <f>IF(AND(AND(P26&gt;0,O26&gt;0),ROUND(SUM(100*((2*(O26)+1.96^2)-(1.96*(SQRT(1.96^2+4*(O26)*(1-((O26)/P26))))))/(2*(P26+1.96^2))),0)&lt;0),CONCATENATE(SUM(1*0)," - ",ROUND(SUM(100*((2*(O26)+1.96^2)+(1.96*(SQRT(1.96^2+4*(O26)*(1-((O26)/P26))))))/(2*(P26+1.96^2))),0)),IF(AND(AND(P26&gt;0,O26&gt;0),ROUND(SUM(100*((2*(O26)+1.96^2)-(1.96*(SQRT(1.96^2+4*(O26)*(1-((O26)/P26))))))/(2*(P26+1.96^2))),0)&gt;=0),CONCATENATE(ROUND(SUM(100*((2*(O26)+1.96^2)-(1.96*(SQRT(1.96^2+4*(O26)*(1-((O26)/P26))))))/(2*(P26+1.96^2))),0)," - ",ROUND(SUM(100*((2*(O26)+1.96^2)+(1.96*(SQRT(1.96^2+4*(O26)*(1-((O26)/P26))))))/(2*(P26+1.96^2))),0)),""))</f>
        <v>66 - 76</v>
      </c>
      <c r="G26" s="232">
        <f>Q26/R26*100</f>
        <v>14.776632302405499</v>
      </c>
      <c r="H26" s="232" t="str">
        <f>IF(AND(AND(R26&gt;0,Q26&gt;0),ROUND(SUM(100*((2*(Q26)+1.96^2)-(1.96*(SQRT(1.96^2+4*(Q26)*(1-((Q26)/R26))))))/(2*(R26+1.96^2))),0)&lt;0),CONCATENATE(SUM(1*0)," - ",ROUND(SUM(100*((2*(Q26)+1.96^2)+(1.96*(SQRT(1.96^2+4*(Q26)*(1-((Q26)/R26))))))/(2*(R26+1.96^2))),0)),IF(AND(AND(R26&gt;0,Q26&gt;0),ROUND(SUM(100*((2*(Q26)+1.96^2)-(1.96*(SQRT(1.96^2+4*(Q26)*(1-((Q26)/R26))))))/(2*(R26+1.96^2))),0)&gt;=0),CONCATENATE(ROUND(SUM(100*((2*(Q26)+1.96^2)-(1.96*(SQRT(1.96^2+4*(Q26)*(1-((Q26)/R26))))))/(2*(R26+1.96^2))),0)," - ",ROUND(SUM(100*((2*(Q26)+1.96^2)+(1.96*(SQRT(1.96^2+4*(Q26)*(1-((Q26)/R26))))))/(2*(R26+1.96^2))),0)),""))</f>
        <v>11 - 19</v>
      </c>
      <c r="I26" s="235"/>
      <c r="J26" s="236"/>
      <c r="K26" s="960"/>
      <c r="L26" s="961"/>
      <c r="M26" s="438">
        <v>40</v>
      </c>
      <c r="N26" s="438">
        <v>291</v>
      </c>
      <c r="O26" s="438">
        <v>208</v>
      </c>
      <c r="P26" s="438">
        <v>291</v>
      </c>
      <c r="Q26" s="438">
        <v>43</v>
      </c>
      <c r="R26" s="438">
        <v>291</v>
      </c>
      <c r="S26" s="237"/>
      <c r="T26" s="237"/>
    </row>
    <row r="27" spans="1:20">
      <c r="A27" s="231" t="s">
        <v>121</v>
      </c>
      <c r="B27" s="231" t="s">
        <v>122</v>
      </c>
      <c r="C27" s="232">
        <f t="shared" si="1"/>
        <v>38.461538461538467</v>
      </c>
      <c r="D27" s="232" t="str">
        <f t="shared" si="2"/>
        <v>28 - 51</v>
      </c>
      <c r="E27" s="232">
        <f t="shared" si="3"/>
        <v>60</v>
      </c>
      <c r="F27" s="232" t="str">
        <f t="shared" si="4"/>
        <v>48 - 71</v>
      </c>
      <c r="G27" s="232">
        <f t="shared" si="5"/>
        <v>1.5384615384615385</v>
      </c>
      <c r="H27" s="232" t="str">
        <f t="shared" si="6"/>
        <v>0 - 8</v>
      </c>
      <c r="I27" s="235"/>
      <c r="J27" s="236"/>
      <c r="K27" s="960"/>
      <c r="L27" s="961"/>
      <c r="M27" s="438">
        <v>25</v>
      </c>
      <c r="N27" s="438">
        <v>65</v>
      </c>
      <c r="O27" s="438">
        <v>39</v>
      </c>
      <c r="P27" s="438">
        <v>65</v>
      </c>
      <c r="Q27" s="438">
        <v>1</v>
      </c>
      <c r="R27" s="438">
        <v>65</v>
      </c>
      <c r="S27" s="237"/>
      <c r="T27" s="237"/>
    </row>
    <row r="28" spans="1:20">
      <c r="A28" s="231" t="s">
        <v>124</v>
      </c>
      <c r="B28" s="231" t="s">
        <v>125</v>
      </c>
      <c r="C28" s="232">
        <f>M28/N28*100</f>
        <v>7.8947368421052628</v>
      </c>
      <c r="D28" s="232" t="str">
        <f>IF(AND(AND(N28&gt;0,M28&gt;0),ROUND(SUM(100*((2*M28+1.96^2)-(1.96*(SQRT(1.96^2+4*M28*(1-(M28/N28))))))/(2*(N28+1.96^2))),0)&lt;0),CONCATENATE(SUM(1*0)," - ",ROUND(SUM(100*((2*M28+1.96^2)+(1.96*(SQRT(1.96^2+4*M28*(1-(M28/N28))))))/(2*(N28+1.96^2))),0)),IF(AND(AND(N28&gt;0,M28&gt;0),ROUND(SUM(100*((2*M28+1.96^2)-(1.96*(SQRT(1.96^2+4*M28*(1-(M28/N28))))))/(2*(N28+1.96^2))),0)&gt;=0),CONCATENATE(ROUND(SUM(100*((2*M28+1.96^2)-(1.96*(SQRT(1.96^2+4*M28*(1-(M28/N28))))))/(2*(N28+1.96^2))),0)," - ",ROUND(SUM(100*((2*M28+1.96^2)+(1.96*(SQRT(1.96^2+4*M28*(1-(M28/N28))))))/(2*(N28+1.96^2))),0)),""))</f>
        <v>3 - 21</v>
      </c>
      <c r="E28" s="232">
        <f>O28/P28*100</f>
        <v>84.210526315789465</v>
      </c>
      <c r="F28" s="232" t="str">
        <f>IF(AND(AND(P28&gt;0,O28&gt;0),ROUND(SUM(100*((2*(O28)+1.96^2)-(1.96*(SQRT(1.96^2+4*(O28)*(1-((O28)/P28))))))/(2*(P28+1.96^2))),0)&lt;0),CONCATENATE(SUM(1*0)," - ",ROUND(SUM(100*((2*(O28)+1.96^2)+(1.96*(SQRT(1.96^2+4*(O28)*(1-((O28)/P28))))))/(2*(P28+1.96^2))),0)),IF(AND(AND(P28&gt;0,O28&gt;0),ROUND(SUM(100*((2*(O28)+1.96^2)-(1.96*(SQRT(1.96^2+4*(O28)*(1-((O28)/P28))))))/(2*(P28+1.96^2))),0)&gt;=0),CONCATENATE(ROUND(SUM(100*((2*(O28)+1.96^2)-(1.96*(SQRT(1.96^2+4*(O28)*(1-((O28)/P28))))))/(2*(P28+1.96^2))),0)," - ",ROUND(SUM(100*((2*(O28)+1.96^2)+(1.96*(SQRT(1.96^2+4*(O28)*(1-((O28)/P28))))))/(2*(P28+1.96^2))),0)),""))</f>
        <v>70 - 93</v>
      </c>
      <c r="G28" s="232">
        <f>Q28/R28*100</f>
        <v>7.8947368421052628</v>
      </c>
      <c r="H28" s="232" t="str">
        <f>IF(AND(AND(R28&gt;0,Q28&gt;0),ROUND(SUM(100*((2*(Q28)+1.96^2)-(1.96*(SQRT(1.96^2+4*(Q28)*(1-((Q28)/R28))))))/(2*(R28+1.96^2))),0)&lt;0),CONCATENATE(SUM(1*0)," - ",ROUND(SUM(100*((2*(Q28)+1.96^2)+(1.96*(SQRT(1.96^2+4*(Q28)*(1-((Q28)/R28))))))/(2*(R28+1.96^2))),0)),IF(AND(AND(R28&gt;0,Q28&gt;0),ROUND(SUM(100*((2*(Q28)+1.96^2)-(1.96*(SQRT(1.96^2+4*(Q28)*(1-((Q28)/R28))))))/(2*(R28+1.96^2))),0)&gt;=0),CONCATENATE(ROUND(SUM(100*((2*(Q28)+1.96^2)-(1.96*(SQRT(1.96^2+4*(Q28)*(1-((Q28)/R28))))))/(2*(R28+1.96^2))),0)," - ",ROUND(SUM(100*((2*(Q28)+1.96^2)+(1.96*(SQRT(1.96^2+4*(Q28)*(1-((Q28)/R28))))))/(2*(R28+1.96^2))),0)),""))</f>
        <v>3 - 21</v>
      </c>
      <c r="I28" s="235"/>
      <c r="J28" s="236"/>
      <c r="K28" s="960"/>
      <c r="L28" s="961"/>
      <c r="M28" s="438">
        <v>3</v>
      </c>
      <c r="N28" s="438">
        <v>38</v>
      </c>
      <c r="O28" s="438">
        <v>32</v>
      </c>
      <c r="P28" s="438">
        <v>38</v>
      </c>
      <c r="Q28" s="438">
        <v>3</v>
      </c>
      <c r="R28" s="438">
        <v>38</v>
      </c>
      <c r="S28" s="237"/>
      <c r="T28" s="237"/>
    </row>
    <row r="29" spans="1:20">
      <c r="A29" s="231" t="s">
        <v>127</v>
      </c>
      <c r="B29" s="231" t="s">
        <v>128</v>
      </c>
      <c r="C29" s="232">
        <f>M29/N29*100</f>
        <v>8.146639511201629</v>
      </c>
      <c r="D29" s="232" t="str">
        <f>IF(AND(AND(N29&gt;0,M29&gt;0),ROUND(SUM(100*((2*M29+1.96^2)-(1.96*(SQRT(1.96^2+4*M29*(1-(M29/N29))))))/(2*(N29+1.96^2))),0)&lt;0),CONCATENATE(SUM(1*0)," - ",ROUND(SUM(100*((2*M29+1.96^2)+(1.96*(SQRT(1.96^2+4*M29*(1-(M29/N29))))))/(2*(N29+1.96^2))),0)),IF(AND(AND(N29&gt;0,M29&gt;0),ROUND(SUM(100*((2*M29+1.96^2)-(1.96*(SQRT(1.96^2+4*M29*(1-(M29/N29))))))/(2*(N29+1.96^2))),0)&gt;=0),CONCATENATE(ROUND(SUM(100*((2*M29+1.96^2)-(1.96*(SQRT(1.96^2+4*M29*(1-(M29/N29))))))/(2*(N29+1.96^2))),0)," - ",ROUND(SUM(100*((2*M29+1.96^2)+(1.96*(SQRT(1.96^2+4*M29*(1-(M29/N29))))))/(2*(N29+1.96^2))),0)),""))</f>
        <v>6 - 11</v>
      </c>
      <c r="E29" s="232">
        <f>O29/P29*100</f>
        <v>76.578411405295313</v>
      </c>
      <c r="F29" s="232" t="str">
        <f>IF(AND(AND(P29&gt;0,O29&gt;0),ROUND(SUM(100*((2*(O29)+1.96^2)-(1.96*(SQRT(1.96^2+4*(O29)*(1-((O29)/P29))))))/(2*(P29+1.96^2))),0)&lt;0),CONCATENATE(SUM(1*0)," - ",ROUND(SUM(100*((2*(O29)+1.96^2)+(1.96*(SQRT(1.96^2+4*(O29)*(1-((O29)/P29))))))/(2*(P29+1.96^2))),0)),IF(AND(AND(P29&gt;0,O29&gt;0),ROUND(SUM(100*((2*(O29)+1.96^2)-(1.96*(SQRT(1.96^2+4*(O29)*(1-((O29)/P29))))))/(2*(P29+1.96^2))),0)&gt;=0),CONCATENATE(ROUND(SUM(100*((2*(O29)+1.96^2)-(1.96*(SQRT(1.96^2+4*(O29)*(1-((O29)/P29))))))/(2*(P29+1.96^2))),0)," - ",ROUND(SUM(100*((2*(O29)+1.96^2)+(1.96*(SQRT(1.96^2+4*(O29)*(1-((O29)/P29))))))/(2*(P29+1.96^2))),0)),""))</f>
        <v>73 - 80</v>
      </c>
      <c r="G29" s="232">
        <f>Q29/R29*100</f>
        <v>15.274949083503056</v>
      </c>
      <c r="H29" s="232" t="str">
        <f>IF(AND(AND(R29&gt;0,Q29&gt;0),ROUND(SUM(100*((2*(Q29)+1.96^2)-(1.96*(SQRT(1.96^2+4*(Q29)*(1-((Q29)/R29))))))/(2*(R29+1.96^2))),0)&lt;0),CONCATENATE(SUM(1*0)," - ",ROUND(SUM(100*((2*(Q29)+1.96^2)+(1.96*(SQRT(1.96^2+4*(Q29)*(1-((Q29)/R29))))))/(2*(R29+1.96^2))),0)),IF(AND(AND(R29&gt;0,Q29&gt;0),ROUND(SUM(100*((2*(Q29)+1.96^2)-(1.96*(SQRT(1.96^2+4*(Q29)*(1-((Q29)/R29))))))/(2*(R29+1.96^2))),0)&gt;=0),CONCATENATE(ROUND(SUM(100*((2*(Q29)+1.96^2)-(1.96*(SQRT(1.96^2+4*(Q29)*(1-((Q29)/R29))))))/(2*(R29+1.96^2))),0)," - ",ROUND(SUM(100*((2*(Q29)+1.96^2)+(1.96*(SQRT(1.96^2+4*(Q29)*(1-((Q29)/R29))))))/(2*(R29+1.96^2))),0)),""))</f>
        <v>12 - 19</v>
      </c>
      <c r="I29" s="235"/>
      <c r="J29" s="236"/>
      <c r="K29" s="960"/>
      <c r="L29" s="961"/>
      <c r="M29" s="438">
        <v>40</v>
      </c>
      <c r="N29" s="438">
        <v>491</v>
      </c>
      <c r="O29" s="438">
        <v>376</v>
      </c>
      <c r="P29" s="438">
        <v>491</v>
      </c>
      <c r="Q29" s="438">
        <v>75</v>
      </c>
      <c r="R29" s="438">
        <v>491</v>
      </c>
      <c r="S29" s="237"/>
      <c r="T29" s="237"/>
    </row>
    <row r="30" spans="1:20">
      <c r="A30" s="231" t="s">
        <v>130</v>
      </c>
      <c r="B30" s="231" t="s">
        <v>131</v>
      </c>
      <c r="C30" s="232">
        <f t="shared" si="1"/>
        <v>3.6458333333333335</v>
      </c>
      <c r="D30" s="232" t="str">
        <f t="shared" si="2"/>
        <v>2 - 7</v>
      </c>
      <c r="E30" s="232">
        <f t="shared" si="3"/>
        <v>72.395833333333343</v>
      </c>
      <c r="F30" s="232" t="str">
        <f t="shared" si="4"/>
        <v>66 - 78</v>
      </c>
      <c r="G30" s="232">
        <f t="shared" si="5"/>
        <v>23.958333333333336</v>
      </c>
      <c r="H30" s="232" t="str">
        <f t="shared" si="6"/>
        <v>18 - 30</v>
      </c>
      <c r="I30" s="235"/>
      <c r="J30" s="236"/>
      <c r="K30" s="960"/>
      <c r="L30" s="961"/>
      <c r="M30" s="438">
        <v>7</v>
      </c>
      <c r="N30" s="438">
        <v>192</v>
      </c>
      <c r="O30" s="438">
        <v>139</v>
      </c>
      <c r="P30" s="438">
        <v>192</v>
      </c>
      <c r="Q30" s="438">
        <v>46</v>
      </c>
      <c r="R30" s="438">
        <v>192</v>
      </c>
      <c r="S30" s="237"/>
      <c r="T30" s="237"/>
    </row>
    <row r="31" spans="1:20">
      <c r="A31" s="231" t="s">
        <v>133</v>
      </c>
      <c r="B31" s="231" t="s">
        <v>134</v>
      </c>
      <c r="C31" s="232">
        <f t="shared" si="1"/>
        <v>0</v>
      </c>
      <c r="D31" s="232" t="str">
        <f t="shared" si="2"/>
        <v/>
      </c>
      <c r="E31" s="232">
        <f t="shared" si="3"/>
        <v>100</v>
      </c>
      <c r="F31" s="232" t="str">
        <f t="shared" si="4"/>
        <v>21 - 100</v>
      </c>
      <c r="G31" s="232">
        <f t="shared" si="5"/>
        <v>0</v>
      </c>
      <c r="H31" s="232" t="str">
        <f t="shared" si="6"/>
        <v/>
      </c>
      <c r="I31" s="235"/>
      <c r="J31" s="236"/>
      <c r="K31" s="960"/>
      <c r="L31" s="961"/>
      <c r="M31" s="438">
        <v>0</v>
      </c>
      <c r="N31" s="438">
        <v>1</v>
      </c>
      <c r="O31" s="438">
        <v>1</v>
      </c>
      <c r="P31" s="438">
        <v>1</v>
      </c>
      <c r="Q31" s="438">
        <v>0</v>
      </c>
      <c r="R31" s="438">
        <v>1</v>
      </c>
      <c r="S31" s="237"/>
      <c r="T31" s="237"/>
    </row>
    <row r="32" spans="1:20">
      <c r="A32" s="231" t="s">
        <v>39</v>
      </c>
      <c r="B32" s="231" t="s">
        <v>136</v>
      </c>
      <c r="C32" s="232">
        <f t="shared" si="1"/>
        <v>0</v>
      </c>
      <c r="D32" s="232" t="str">
        <f t="shared" si="2"/>
        <v/>
      </c>
      <c r="E32" s="232">
        <f t="shared" si="3"/>
        <v>97.058823529411768</v>
      </c>
      <c r="F32" s="232" t="str">
        <f t="shared" si="4"/>
        <v>85 - 99</v>
      </c>
      <c r="G32" s="232">
        <f t="shared" si="5"/>
        <v>2.9411764705882351</v>
      </c>
      <c r="H32" s="232" t="str">
        <f t="shared" si="6"/>
        <v>1 - 15</v>
      </c>
      <c r="I32" s="235"/>
      <c r="J32" s="236"/>
      <c r="K32" s="960"/>
      <c r="L32" s="961"/>
      <c r="M32" s="438">
        <v>0</v>
      </c>
      <c r="N32" s="438">
        <v>34</v>
      </c>
      <c r="O32" s="438">
        <v>33</v>
      </c>
      <c r="P32" s="438">
        <v>34</v>
      </c>
      <c r="Q32" s="438">
        <v>1</v>
      </c>
      <c r="R32" s="438">
        <v>34</v>
      </c>
      <c r="S32" s="237"/>
      <c r="T32" s="237"/>
    </row>
    <row r="33" spans="1:20">
      <c r="A33" s="216"/>
    </row>
    <row r="34" spans="1:20">
      <c r="A34" s="240"/>
      <c r="C34" s="219"/>
      <c r="D34" s="219"/>
      <c r="E34" s="219"/>
      <c r="F34" s="219"/>
      <c r="G34" s="219"/>
      <c r="H34" s="219"/>
      <c r="I34" s="219"/>
    </row>
    <row r="35" spans="1:20" ht="50.1" customHeight="1">
      <c r="A35" s="964" t="s">
        <v>138</v>
      </c>
      <c r="B35" s="965"/>
      <c r="C35" s="966" t="str">
        <f>C2&amp;" (%)"</f>
        <v>Initial Only (%)</v>
      </c>
      <c r="D35" s="967"/>
      <c r="E35" s="966" t="str">
        <f>E2&amp;" (%)"</f>
        <v>Initial AND Final (%)</v>
      </c>
      <c r="F35" s="967"/>
      <c r="G35" s="966" t="str">
        <f>G2&amp;" (%)"</f>
        <v>Final Only (%)</v>
      </c>
      <c r="H35" s="968"/>
      <c r="I35" s="969"/>
      <c r="J35" s="970"/>
      <c r="K35" s="970"/>
      <c r="L35" s="971"/>
      <c r="M35" s="946" t="s">
        <v>288</v>
      </c>
      <c r="N35" s="946"/>
      <c r="O35" s="947" t="s">
        <v>289</v>
      </c>
      <c r="P35" s="948"/>
      <c r="Q35" s="946" t="s">
        <v>290</v>
      </c>
      <c r="R35" s="946"/>
      <c r="S35" s="949"/>
      <c r="T35" s="950"/>
    </row>
    <row r="36" spans="1:20" ht="35.1" customHeight="1">
      <c r="A36" s="241"/>
      <c r="B36" s="242" t="s">
        <v>140</v>
      </c>
      <c r="C36" s="243" t="s">
        <v>141</v>
      </c>
      <c r="D36" s="244" t="s">
        <v>55</v>
      </c>
      <c r="E36" s="243" t="s">
        <v>141</v>
      </c>
      <c r="F36" s="244" t="s">
        <v>55</v>
      </c>
      <c r="G36" s="243" t="s">
        <v>141</v>
      </c>
      <c r="H36" s="245" t="s">
        <v>55</v>
      </c>
      <c r="I36" s="972"/>
      <c r="J36" s="973"/>
      <c r="K36" s="973"/>
      <c r="L36" s="974"/>
      <c r="M36" s="246" t="s">
        <v>28</v>
      </c>
      <c r="N36" s="247" t="s">
        <v>29</v>
      </c>
      <c r="O36" s="247" t="s">
        <v>28</v>
      </c>
      <c r="P36" s="247" t="s">
        <v>29</v>
      </c>
      <c r="Q36" s="247" t="s">
        <v>28</v>
      </c>
      <c r="R36" s="248" t="s">
        <v>29</v>
      </c>
      <c r="S36" s="249"/>
      <c r="T36" s="229"/>
    </row>
    <row r="37" spans="1:20">
      <c r="A37" s="951"/>
      <c r="B37" s="250" t="s">
        <v>35</v>
      </c>
      <c r="C37" s="232">
        <f>M37/N37*100</f>
        <v>27.857935627081019</v>
      </c>
      <c r="D37" s="232" t="str">
        <f>IF(AND(AND(N37&gt;0,M37&gt;0),ROUND(SUM(100*((2*M37+1.96^2)-(1.96*(SQRT(1.96^2+4*M37*(1-(M37/N37))))))/(2*(N37+1.96^2))),0)&lt;0),CONCATENATE(SUM(1*0)," - ",ROUND(SUM(100*((2*M37+1.96^2)+(1.96*(SQRT(1.96^2+4*M37*(1-(M37/N37))))))/(2*(N37+1.96^2))),0)),IF(AND(AND(N37&gt;0,M37&gt;0),ROUND(SUM(100*((2*M37+1.96^2)-(1.96*(SQRT(1.96^2+4*M37*(1-(M37/N37))))))/(2*(N37+1.96^2))),0)&gt;=0),CONCATENATE(ROUND(SUM(100*((2*M37+1.96^2)-(1.96*(SQRT(1.96^2+4*M37*(1-(M37/N37))))))/(2*(N37+1.96^2))),0)," - ",ROUND(SUM(100*((2*M37+1.96^2)+(1.96*(SQRT(1.96^2+4*M37*(1-(M37/N37))))))/(2*(N37+1.96^2))),0)),""))</f>
        <v>25 - 31</v>
      </c>
      <c r="E37" s="232">
        <f>O37/P37*100</f>
        <v>57.935627081021089</v>
      </c>
      <c r="F37" s="232" t="str">
        <f>IF(AND(AND(P37&gt;0,O37&gt;0),ROUND(SUM(100*((2*(O37)+1.96^2)-(1.96*(SQRT(1.96^2+4*(O37)*(1-((O37)/P37))))))/(2*(P37+1.96^2))),0)&lt;0),CONCATENATE(SUM(1*0)," - ",ROUND(SUM(100*((2*(O37)+1.96^2)+(1.96*(SQRT(1.96^2+4*(O37)*(1-((O37)/P37))))))/(2*(P37+1.96^2))),0)),IF(AND(AND(P37&gt;0,O37&gt;0),ROUND(SUM(100*((2*(O37)+1.96^2)-(1.96*(SQRT(1.96^2+4*(O37)*(1-((O37)/P37))))))/(2*(P37+1.96^2))),0)&gt;=0),CONCATENATE(ROUND(SUM(100*((2*(O37)+1.96^2)-(1.96*(SQRT(1.96^2+4*(O37)*(1-((O37)/P37))))))/(2*(P37+1.96^2))),0)," - ",ROUND(SUM(100*((2*(O37)+1.96^2)+(1.96*(SQRT(1.96^2+4*(O37)*(1-((O37)/P37))))))/(2*(P37+1.96^2))),0)),""))</f>
        <v>55 - 61</v>
      </c>
      <c r="G37" s="232">
        <f>Q37/R37*100</f>
        <v>14.206437291897892</v>
      </c>
      <c r="H37" s="251" t="str">
        <f>IF(AND(AND(R37&gt;0,Q37&gt;0),ROUND(SUM(100*((2*(Q37)+1.96^2)-(1.96*(SQRT(1.96^2+4*(Q37)*(1-((Q37)/R37))))))/(2*(R37+1.96^2))),0)&lt;0),CONCATENATE(SUM(1*0)," - ",ROUND(SUM(100*((2*(Q37)+1.96^2)+(1.96*(SQRT(1.96^2+4*(Q37)*(1-((Q37)/R37))))))/(2*(R37+1.96^2))),0)),IF(AND(AND(R37&gt;0,Q37&gt;0),ROUND(SUM(100*((2*(Q37)+1.96^2)-(1.96*(SQRT(1.96^2+4*(Q37)*(1-((Q37)/R37))))))/(2*(R37+1.96^2))),0)&gt;=0),CONCATENATE(ROUND(SUM(100*((2*(Q37)+1.96^2)-(1.96*(SQRT(1.96^2+4*(Q37)*(1-((Q37)/R37))))))/(2*(R37+1.96^2))),0)," - ",ROUND(SUM(100*((2*(Q37)+1.96^2)+(1.96*(SQRT(1.96^2+4*(Q37)*(1-((Q37)/R37))))))/(2*(R37+1.96^2))),0)),""))</f>
        <v>12 - 17</v>
      </c>
      <c r="I37" s="954"/>
      <c r="J37" s="955"/>
      <c r="K37" s="955"/>
      <c r="L37" s="956"/>
      <c r="M37" s="439">
        <v>251</v>
      </c>
      <c r="N37" s="439">
        <v>901</v>
      </c>
      <c r="O37" s="440">
        <v>522</v>
      </c>
      <c r="P37" s="440">
        <v>901</v>
      </c>
      <c r="Q37" s="441">
        <v>128</v>
      </c>
      <c r="R37" s="441">
        <v>901</v>
      </c>
      <c r="S37" s="249"/>
      <c r="T37" s="229"/>
    </row>
    <row r="38" spans="1:20">
      <c r="A38" s="952"/>
      <c r="B38" s="250" t="s">
        <v>30</v>
      </c>
      <c r="C38" s="232">
        <f t="shared" ref="C38:C50" si="7">M38/N38*100</f>
        <v>9.1286307053941904</v>
      </c>
      <c r="D38" s="232" t="str">
        <f t="shared" ref="D38:D50" si="8">IF(AND(AND(N38&gt;0,M38&gt;0),ROUND(SUM(100*((2*M38+1.96^2)-(1.96*(SQRT(1.96^2+4*M38*(1-(M38/N38))))))/(2*(N38+1.96^2))),0)&lt;0),CONCATENATE(SUM(1*0)," - ",ROUND(SUM(100*((2*M38+1.96^2)+(1.96*(SQRT(1.96^2+4*M38*(1-(M38/N38))))))/(2*(N38+1.96^2))),0)),IF(AND(AND(N38&gt;0,M38&gt;0),ROUND(SUM(100*((2*M38+1.96^2)-(1.96*(SQRT(1.96^2+4*M38*(1-(M38/N38))))))/(2*(N38+1.96^2))),0)&gt;=0),CONCATENATE(ROUND(SUM(100*((2*M38+1.96^2)-(1.96*(SQRT(1.96^2+4*M38*(1-(M38/N38))))))/(2*(N38+1.96^2))),0)," - ",ROUND(SUM(100*((2*M38+1.96^2)+(1.96*(SQRT(1.96^2+4*M38*(1-(M38/N38))))))/(2*(N38+1.96^2))),0)),""))</f>
        <v>6 - 13</v>
      </c>
      <c r="E38" s="232">
        <f t="shared" ref="E38:E50" si="9">O38/P38*100</f>
        <v>77.593360995850631</v>
      </c>
      <c r="F38" s="232" t="str">
        <f t="shared" ref="F38:F50" si="10">IF(AND(AND(P38&gt;0,O38&gt;0),ROUND(SUM(100*((2*(O38)+1.96^2)-(1.96*(SQRT(1.96^2+4*(O38)*(1-((O38)/P38))))))/(2*(P38+1.96^2))),0)&lt;0),CONCATENATE(SUM(1*0)," - ",ROUND(SUM(100*((2*(O38)+1.96^2)+(1.96*(SQRT(1.96^2+4*(O38)*(1-((O38)/P38))))))/(2*(P38+1.96^2))),0)),IF(AND(AND(P38&gt;0,O38&gt;0),ROUND(SUM(100*((2*(O38)+1.96^2)-(1.96*(SQRT(1.96^2+4*(O38)*(1-((O38)/P38))))))/(2*(P38+1.96^2))),0)&gt;=0),CONCATENATE(ROUND(SUM(100*((2*(O38)+1.96^2)-(1.96*(SQRT(1.96^2+4*(O38)*(1-((O38)/P38))))))/(2*(P38+1.96^2))),0)," - ",ROUND(SUM(100*((2*(O38)+1.96^2)+(1.96*(SQRT(1.96^2+4*(O38)*(1-((O38)/P38))))))/(2*(P38+1.96^2))),0)),""))</f>
        <v>72 - 82</v>
      </c>
      <c r="G38" s="232">
        <f t="shared" ref="G38:G50" si="11">Q38/R38*100</f>
        <v>13.278008298755188</v>
      </c>
      <c r="H38" s="251" t="str">
        <f t="shared" ref="H38:H50" si="12">IF(AND(AND(R38&gt;0,Q38&gt;0),ROUND(SUM(100*((2*(Q38)+1.96^2)-(1.96*(SQRT(1.96^2+4*(Q38)*(1-((Q38)/R38))))))/(2*(R38+1.96^2))),0)&lt;0),CONCATENATE(SUM(1*0)," - ",ROUND(SUM(100*((2*(Q38)+1.96^2)+(1.96*(SQRT(1.96^2+4*(Q38)*(1-((Q38)/R38))))))/(2*(R38+1.96^2))),0)),IF(AND(AND(R38&gt;0,Q38&gt;0),ROUND(SUM(100*((2*(Q38)+1.96^2)-(1.96*(SQRT(1.96^2+4*(Q38)*(1-((Q38)/R38))))))/(2*(R38+1.96^2))),0)&gt;=0),CONCATENATE(ROUND(SUM(100*((2*(Q38)+1.96^2)-(1.96*(SQRT(1.96^2+4*(Q38)*(1-((Q38)/R38))))))/(2*(R38+1.96^2))),0)," - ",ROUND(SUM(100*((2*(Q38)+1.96^2)+(1.96*(SQRT(1.96^2+4*(Q38)*(1-((Q38)/R38))))))/(2*(R38+1.96^2))),0)),""))</f>
        <v>10 - 18</v>
      </c>
      <c r="I38" s="954"/>
      <c r="J38" s="955"/>
      <c r="K38" s="955"/>
      <c r="L38" s="956"/>
      <c r="M38" s="439">
        <v>22</v>
      </c>
      <c r="N38" s="439">
        <v>241</v>
      </c>
      <c r="O38" s="439">
        <v>187</v>
      </c>
      <c r="P38" s="439">
        <v>241</v>
      </c>
      <c r="Q38" s="441">
        <v>32</v>
      </c>
      <c r="R38" s="441">
        <v>241</v>
      </c>
      <c r="S38" s="252"/>
      <c r="T38" s="237"/>
    </row>
    <row r="39" spans="1:20">
      <c r="A39" s="952"/>
      <c r="B39" s="250" t="s">
        <v>33</v>
      </c>
      <c r="C39" s="232">
        <f t="shared" si="7"/>
        <v>9.2948717948717956</v>
      </c>
      <c r="D39" s="232" t="str">
        <f t="shared" si="8"/>
        <v>7 - 13</v>
      </c>
      <c r="E39" s="232">
        <f t="shared" si="9"/>
        <v>72.756410256410248</v>
      </c>
      <c r="F39" s="232" t="str">
        <f t="shared" si="10"/>
        <v>68 - 77</v>
      </c>
      <c r="G39" s="232">
        <f t="shared" si="11"/>
        <v>17.948717948717949</v>
      </c>
      <c r="H39" s="251" t="str">
        <f t="shared" si="12"/>
        <v>14 - 23</v>
      </c>
      <c r="I39" s="954"/>
      <c r="J39" s="955"/>
      <c r="K39" s="955"/>
      <c r="L39" s="956"/>
      <c r="M39" s="439">
        <v>29</v>
      </c>
      <c r="N39" s="439">
        <v>312</v>
      </c>
      <c r="O39" s="439">
        <v>227</v>
      </c>
      <c r="P39" s="439">
        <v>312</v>
      </c>
      <c r="Q39" s="441">
        <v>56</v>
      </c>
      <c r="R39" s="441">
        <v>312</v>
      </c>
      <c r="S39" s="252"/>
      <c r="T39" s="237"/>
    </row>
    <row r="40" spans="1:20">
      <c r="A40" s="952"/>
      <c r="B40" s="250" t="s">
        <v>32</v>
      </c>
      <c r="C40" s="232">
        <f t="shared" si="7"/>
        <v>9.8150782361308675</v>
      </c>
      <c r="D40" s="232" t="str">
        <f t="shared" si="8"/>
        <v>8 - 12</v>
      </c>
      <c r="E40" s="232">
        <f t="shared" si="9"/>
        <v>83.214793741109531</v>
      </c>
      <c r="F40" s="232" t="str">
        <f t="shared" si="10"/>
        <v>80 - 86</v>
      </c>
      <c r="G40" s="232">
        <f t="shared" si="11"/>
        <v>6.9701280227596012</v>
      </c>
      <c r="H40" s="251" t="str">
        <f t="shared" si="12"/>
        <v>5 - 9</v>
      </c>
      <c r="I40" s="954"/>
      <c r="J40" s="955"/>
      <c r="K40" s="955"/>
      <c r="L40" s="956"/>
      <c r="M40" s="439">
        <v>69</v>
      </c>
      <c r="N40" s="439">
        <v>703</v>
      </c>
      <c r="O40" s="439">
        <v>585</v>
      </c>
      <c r="P40" s="439">
        <v>703</v>
      </c>
      <c r="Q40" s="441">
        <v>49</v>
      </c>
      <c r="R40" s="441">
        <v>703</v>
      </c>
      <c r="S40" s="252"/>
      <c r="T40" s="237"/>
    </row>
    <row r="41" spans="1:20">
      <c r="A41" s="952"/>
      <c r="B41" s="250" t="s">
        <v>37</v>
      </c>
      <c r="C41" s="232">
        <f t="shared" si="7"/>
        <v>13.65079365079365</v>
      </c>
      <c r="D41" s="232" t="str">
        <f t="shared" si="8"/>
        <v>11 - 17</v>
      </c>
      <c r="E41" s="232">
        <f t="shared" si="9"/>
        <v>69.365079365079367</v>
      </c>
      <c r="F41" s="232" t="str">
        <f t="shared" si="10"/>
        <v>66 - 73</v>
      </c>
      <c r="G41" s="232">
        <f t="shared" si="11"/>
        <v>16.984126984126984</v>
      </c>
      <c r="H41" s="251" t="str">
        <f t="shared" si="12"/>
        <v>14 - 20</v>
      </c>
      <c r="I41" s="954"/>
      <c r="J41" s="955"/>
      <c r="K41" s="955"/>
      <c r="L41" s="956"/>
      <c r="M41" s="439">
        <v>86</v>
      </c>
      <c r="N41" s="439">
        <v>630</v>
      </c>
      <c r="O41" s="439">
        <v>437</v>
      </c>
      <c r="P41" s="439">
        <v>630</v>
      </c>
      <c r="Q41" s="441">
        <v>107</v>
      </c>
      <c r="R41" s="441">
        <v>630</v>
      </c>
      <c r="S41" s="252"/>
      <c r="T41" s="237"/>
    </row>
    <row r="42" spans="1:20">
      <c r="A42" s="952"/>
      <c r="B42" s="250" t="s">
        <v>36</v>
      </c>
      <c r="C42" s="232">
        <f t="shared" si="7"/>
        <v>10.05464480874317</v>
      </c>
      <c r="D42" s="232" t="str">
        <f t="shared" si="8"/>
        <v>8 - 12</v>
      </c>
      <c r="E42" s="232">
        <f t="shared" si="9"/>
        <v>71.912568306010925</v>
      </c>
      <c r="F42" s="232" t="str">
        <f t="shared" si="10"/>
        <v>69 - 75</v>
      </c>
      <c r="G42" s="232">
        <f t="shared" si="11"/>
        <v>18.032786885245901</v>
      </c>
      <c r="H42" s="251" t="str">
        <f t="shared" si="12"/>
        <v>16 - 21</v>
      </c>
      <c r="I42" s="954"/>
      <c r="J42" s="955"/>
      <c r="K42" s="955"/>
      <c r="L42" s="956"/>
      <c r="M42" s="439">
        <v>92</v>
      </c>
      <c r="N42" s="439">
        <v>915</v>
      </c>
      <c r="O42" s="439">
        <v>658</v>
      </c>
      <c r="P42" s="439">
        <v>915</v>
      </c>
      <c r="Q42" s="441">
        <v>165</v>
      </c>
      <c r="R42" s="441">
        <v>915</v>
      </c>
      <c r="S42" s="252"/>
      <c r="T42" s="237"/>
    </row>
    <row r="43" spans="1:20">
      <c r="A43" s="952"/>
      <c r="B43" s="250" t="s">
        <v>42</v>
      </c>
      <c r="C43" s="232">
        <f t="shared" si="7"/>
        <v>17.62536873156342</v>
      </c>
      <c r="D43" s="232" t="str">
        <f t="shared" si="8"/>
        <v>16 - 19</v>
      </c>
      <c r="E43" s="232">
        <f t="shared" si="9"/>
        <v>72.713864306784657</v>
      </c>
      <c r="F43" s="232" t="str">
        <f t="shared" si="10"/>
        <v>71 - 74</v>
      </c>
      <c r="G43" s="232">
        <f t="shared" si="11"/>
        <v>9.6607669616519178</v>
      </c>
      <c r="H43" s="251" t="str">
        <f t="shared" si="12"/>
        <v>9 - 11</v>
      </c>
      <c r="I43" s="954"/>
      <c r="J43" s="955"/>
      <c r="K43" s="955"/>
      <c r="L43" s="956"/>
      <c r="M43" s="439">
        <v>478</v>
      </c>
      <c r="N43" s="439">
        <v>2712</v>
      </c>
      <c r="O43" s="439">
        <v>1972</v>
      </c>
      <c r="P43" s="439">
        <v>2712</v>
      </c>
      <c r="Q43" s="441">
        <v>262</v>
      </c>
      <c r="R43" s="441">
        <v>2712</v>
      </c>
      <c r="S43" s="252"/>
      <c r="T43" s="237"/>
    </row>
    <row r="44" spans="1:20">
      <c r="A44" s="952"/>
      <c r="B44" s="250" t="s">
        <v>38</v>
      </c>
      <c r="C44" s="232">
        <f t="shared" si="7"/>
        <v>12.914485165794066</v>
      </c>
      <c r="D44" s="232" t="str">
        <f t="shared" si="8"/>
        <v>10 - 16</v>
      </c>
      <c r="E44" s="232">
        <f t="shared" si="9"/>
        <v>82.373472949389182</v>
      </c>
      <c r="F44" s="232" t="str">
        <f t="shared" si="10"/>
        <v>79 - 85</v>
      </c>
      <c r="G44" s="232">
        <f t="shared" si="11"/>
        <v>4.7120418848167542</v>
      </c>
      <c r="H44" s="251" t="str">
        <f t="shared" si="12"/>
        <v>3 - 7</v>
      </c>
      <c r="I44" s="954"/>
      <c r="J44" s="955"/>
      <c r="K44" s="955"/>
      <c r="L44" s="956"/>
      <c r="M44" s="439">
        <v>74</v>
      </c>
      <c r="N44" s="439">
        <v>573</v>
      </c>
      <c r="O44" s="439">
        <v>472</v>
      </c>
      <c r="P44" s="439">
        <v>573</v>
      </c>
      <c r="Q44" s="441">
        <v>27</v>
      </c>
      <c r="R44" s="441">
        <v>573</v>
      </c>
      <c r="S44" s="252"/>
      <c r="T44" s="237"/>
    </row>
    <row r="45" spans="1:20" ht="14.25">
      <c r="A45" s="952"/>
      <c r="B45" s="250" t="s">
        <v>294</v>
      </c>
      <c r="C45" s="232">
        <f t="shared" si="7"/>
        <v>3.7298387096774195</v>
      </c>
      <c r="D45" s="232" t="str">
        <f t="shared" si="8"/>
        <v>3 - 5</v>
      </c>
      <c r="E45" s="232">
        <f t="shared" si="9"/>
        <v>74.29435483870968</v>
      </c>
      <c r="F45" s="232" t="str">
        <f t="shared" si="10"/>
        <v>71 - 77</v>
      </c>
      <c r="G45" s="232">
        <f t="shared" si="11"/>
        <v>21.975806451612904</v>
      </c>
      <c r="H45" s="251" t="str">
        <f t="shared" si="12"/>
        <v>20 - 25</v>
      </c>
      <c r="I45" s="954"/>
      <c r="J45" s="955"/>
      <c r="K45" s="955"/>
      <c r="L45" s="956"/>
      <c r="M45" s="439">
        <v>37</v>
      </c>
      <c r="N45" s="439">
        <v>992</v>
      </c>
      <c r="O45" s="439">
        <v>737</v>
      </c>
      <c r="P45" s="439">
        <v>992</v>
      </c>
      <c r="Q45" s="441">
        <v>218</v>
      </c>
      <c r="R45" s="441">
        <v>992</v>
      </c>
      <c r="S45" s="252"/>
      <c r="T45" s="237"/>
    </row>
    <row r="46" spans="1:20">
      <c r="A46" s="952"/>
      <c r="B46" s="250" t="s">
        <v>40</v>
      </c>
      <c r="C46" s="232">
        <f t="shared" si="7"/>
        <v>11.17283950617284</v>
      </c>
      <c r="D46" s="232" t="str">
        <f t="shared" si="8"/>
        <v>10 - 13</v>
      </c>
      <c r="E46" s="232">
        <f t="shared" si="9"/>
        <v>69.197530864197532</v>
      </c>
      <c r="F46" s="232" t="str">
        <f t="shared" si="10"/>
        <v>67 - 71</v>
      </c>
      <c r="G46" s="232">
        <f t="shared" si="11"/>
        <v>19.62962962962963</v>
      </c>
      <c r="H46" s="251" t="str">
        <f t="shared" si="12"/>
        <v>18 - 22</v>
      </c>
      <c r="I46" s="954"/>
      <c r="J46" s="955"/>
      <c r="K46" s="955"/>
      <c r="L46" s="956"/>
      <c r="M46" s="439">
        <v>181</v>
      </c>
      <c r="N46" s="439">
        <v>1620</v>
      </c>
      <c r="O46" s="439">
        <v>1121</v>
      </c>
      <c r="P46" s="439">
        <v>1620</v>
      </c>
      <c r="Q46" s="441">
        <v>318</v>
      </c>
      <c r="R46" s="441">
        <v>1620</v>
      </c>
      <c r="S46" s="252"/>
      <c r="T46" s="237"/>
    </row>
    <row r="47" spans="1:20">
      <c r="A47" s="952"/>
      <c r="B47" s="250" t="s">
        <v>43</v>
      </c>
      <c r="C47" s="232">
        <f t="shared" si="7"/>
        <v>38.461538461538467</v>
      </c>
      <c r="D47" s="232" t="str">
        <f t="shared" si="8"/>
        <v>28 - 51</v>
      </c>
      <c r="E47" s="232">
        <f t="shared" si="9"/>
        <v>60</v>
      </c>
      <c r="F47" s="232" t="str">
        <f t="shared" si="10"/>
        <v>48 - 71</v>
      </c>
      <c r="G47" s="232">
        <f t="shared" si="11"/>
        <v>1.5384615384615385</v>
      </c>
      <c r="H47" s="251" t="str">
        <f t="shared" si="12"/>
        <v>0 - 8</v>
      </c>
      <c r="I47" s="954"/>
      <c r="J47" s="955"/>
      <c r="K47" s="955"/>
      <c r="L47" s="956"/>
      <c r="M47" s="439">
        <v>25</v>
      </c>
      <c r="N47" s="439">
        <v>65</v>
      </c>
      <c r="O47" s="439">
        <v>39</v>
      </c>
      <c r="P47" s="439">
        <v>65</v>
      </c>
      <c r="Q47" s="441">
        <v>1</v>
      </c>
      <c r="R47" s="441">
        <v>65</v>
      </c>
      <c r="S47" s="252"/>
      <c r="T47" s="237"/>
    </row>
    <row r="48" spans="1:20">
      <c r="A48" s="952"/>
      <c r="B48" s="250" t="s">
        <v>41</v>
      </c>
      <c r="C48" s="232">
        <f t="shared" si="7"/>
        <v>7.8947368421052628</v>
      </c>
      <c r="D48" s="232" t="str">
        <f t="shared" si="8"/>
        <v>3 - 21</v>
      </c>
      <c r="E48" s="232">
        <f t="shared" si="9"/>
        <v>84.210526315789465</v>
      </c>
      <c r="F48" s="232" t="str">
        <f t="shared" si="10"/>
        <v>70 - 93</v>
      </c>
      <c r="G48" s="232">
        <f t="shared" si="11"/>
        <v>7.8947368421052628</v>
      </c>
      <c r="H48" s="251" t="str">
        <f t="shared" si="12"/>
        <v>3 - 21</v>
      </c>
      <c r="I48" s="954"/>
      <c r="J48" s="955"/>
      <c r="K48" s="955"/>
      <c r="L48" s="956"/>
      <c r="M48" s="439">
        <v>3</v>
      </c>
      <c r="N48" s="439">
        <v>38</v>
      </c>
      <c r="O48" s="439">
        <v>32</v>
      </c>
      <c r="P48" s="439">
        <v>38</v>
      </c>
      <c r="Q48" s="441">
        <v>3</v>
      </c>
      <c r="R48" s="441">
        <v>38</v>
      </c>
      <c r="S48" s="252"/>
      <c r="T48" s="237"/>
    </row>
    <row r="49" spans="1:20">
      <c r="A49" s="952"/>
      <c r="B49" s="250" t="s">
        <v>34</v>
      </c>
      <c r="C49" s="232">
        <f t="shared" si="7"/>
        <v>6.8814055636896052</v>
      </c>
      <c r="D49" s="232" t="str">
        <f t="shared" si="8"/>
        <v>5 - 9</v>
      </c>
      <c r="E49" s="232">
        <f t="shared" si="9"/>
        <v>75.402635431918014</v>
      </c>
      <c r="F49" s="232" t="str">
        <f t="shared" si="10"/>
        <v>72 - 78</v>
      </c>
      <c r="G49" s="232">
        <f t="shared" si="11"/>
        <v>17.715959004392388</v>
      </c>
      <c r="H49" s="251" t="str">
        <f t="shared" si="12"/>
        <v>15 - 21</v>
      </c>
      <c r="I49" s="954"/>
      <c r="J49" s="955"/>
      <c r="K49" s="955"/>
      <c r="L49" s="956"/>
      <c r="M49" s="439">
        <v>47</v>
      </c>
      <c r="N49" s="439">
        <v>683</v>
      </c>
      <c r="O49" s="439">
        <v>515</v>
      </c>
      <c r="P49" s="439">
        <v>683</v>
      </c>
      <c r="Q49" s="441">
        <v>121</v>
      </c>
      <c r="R49" s="441">
        <v>683</v>
      </c>
      <c r="S49" s="252"/>
      <c r="T49" s="237"/>
    </row>
    <row r="50" spans="1:20">
      <c r="A50" s="953"/>
      <c r="B50" s="250" t="s">
        <v>39</v>
      </c>
      <c r="C50" s="232">
        <f t="shared" si="7"/>
        <v>0</v>
      </c>
      <c r="D50" s="232" t="str">
        <f t="shared" si="8"/>
        <v/>
      </c>
      <c r="E50" s="232">
        <f t="shared" si="9"/>
        <v>97.142857142857139</v>
      </c>
      <c r="F50" s="232" t="str">
        <f t="shared" si="10"/>
        <v>85 - 99</v>
      </c>
      <c r="G50" s="232">
        <f t="shared" si="11"/>
        <v>2.8571428571428572</v>
      </c>
      <c r="H50" s="251" t="str">
        <f t="shared" si="12"/>
        <v>1 - 15</v>
      </c>
      <c r="I50" s="957"/>
      <c r="J50" s="958"/>
      <c r="K50" s="958"/>
      <c r="L50" s="959"/>
      <c r="M50" s="439">
        <v>0</v>
      </c>
      <c r="N50" s="439">
        <v>35</v>
      </c>
      <c r="O50" s="439">
        <v>34</v>
      </c>
      <c r="P50" s="439">
        <v>35</v>
      </c>
      <c r="Q50" s="441">
        <v>1</v>
      </c>
      <c r="R50" s="441">
        <v>35</v>
      </c>
      <c r="S50" s="253"/>
      <c r="T50" s="254"/>
    </row>
    <row r="51" spans="1:20">
      <c r="A51" s="240"/>
      <c r="B51" s="218"/>
      <c r="C51" s="219"/>
      <c r="D51" s="219"/>
      <c r="E51" s="219"/>
      <c r="F51" s="219"/>
      <c r="G51" s="219"/>
      <c r="H51" s="219"/>
      <c r="I51" s="219"/>
      <c r="J51" s="219"/>
      <c r="M51" s="220"/>
      <c r="N51" s="220"/>
      <c r="O51" s="220"/>
      <c r="P51" s="220"/>
    </row>
    <row r="52" spans="1:20">
      <c r="A52" s="255" t="s">
        <v>142</v>
      </c>
      <c r="C52" s="219"/>
      <c r="D52" s="219"/>
      <c r="E52" s="219"/>
      <c r="F52" s="219"/>
      <c r="G52" s="219"/>
      <c r="H52" s="219"/>
      <c r="I52" s="219"/>
      <c r="J52" s="219"/>
    </row>
    <row r="53" spans="1:20">
      <c r="A53" s="240"/>
      <c r="C53" s="219"/>
      <c r="D53" s="219"/>
      <c r="E53" s="219"/>
      <c r="F53" s="219"/>
      <c r="G53" s="219"/>
      <c r="H53" s="219"/>
      <c r="I53" s="219"/>
    </row>
    <row r="54" spans="1:20">
      <c r="A54" s="240"/>
      <c r="C54" s="219"/>
      <c r="D54" s="219"/>
      <c r="E54" s="219"/>
      <c r="F54" s="219"/>
      <c r="G54" s="219"/>
      <c r="H54" s="219"/>
      <c r="I54" s="219"/>
    </row>
    <row r="55" spans="1:20">
      <c r="A55" s="240"/>
      <c r="C55" s="219"/>
      <c r="D55" s="219"/>
      <c r="E55" s="219"/>
      <c r="F55" s="219"/>
      <c r="G55" s="219"/>
      <c r="H55" s="219"/>
      <c r="I55" s="219"/>
    </row>
    <row r="56" spans="1:20">
      <c r="A56" s="240"/>
      <c r="C56" s="219"/>
      <c r="D56" s="219"/>
      <c r="E56" s="219"/>
      <c r="F56" s="219"/>
      <c r="G56" s="219"/>
      <c r="H56" s="219"/>
      <c r="I56" s="219"/>
    </row>
    <row r="57" spans="1:20">
      <c r="A57" s="240"/>
      <c r="C57" s="219"/>
      <c r="D57" s="219"/>
      <c r="E57" s="219"/>
      <c r="F57" s="219"/>
      <c r="G57" s="219"/>
      <c r="H57" s="219"/>
      <c r="I57" s="219"/>
    </row>
    <row r="58" spans="1:20">
      <c r="A58" s="240"/>
      <c r="C58" s="219"/>
      <c r="D58" s="219"/>
      <c r="E58" s="219"/>
      <c r="F58" s="219"/>
      <c r="G58" s="219"/>
      <c r="H58" s="219"/>
      <c r="I58" s="219"/>
    </row>
    <row r="59" spans="1:20">
      <c r="A59" s="240"/>
      <c r="C59" s="219"/>
      <c r="D59" s="219"/>
      <c r="E59" s="219"/>
      <c r="F59" s="219"/>
      <c r="G59" s="219"/>
      <c r="H59" s="219"/>
      <c r="I59" s="219"/>
    </row>
    <row r="60" spans="1:20">
      <c r="A60" s="240"/>
      <c r="C60" s="219"/>
      <c r="D60" s="219"/>
      <c r="E60" s="219"/>
      <c r="F60" s="219"/>
      <c r="G60" s="219"/>
      <c r="H60" s="219"/>
      <c r="I60" s="219"/>
    </row>
  </sheetData>
  <sheetProtection password="B8D9" sheet="1" objects="1" scenarios="1"/>
  <mergeCells count="48">
    <mergeCell ref="A1:B1"/>
    <mergeCell ref="C1:H1"/>
    <mergeCell ref="K1:L2"/>
    <mergeCell ref="M1:N1"/>
    <mergeCell ref="K12:L12"/>
    <mergeCell ref="K6:L6"/>
    <mergeCell ref="K7:L7"/>
    <mergeCell ref="K8:L8"/>
    <mergeCell ref="K9:L9"/>
    <mergeCell ref="K10:L10"/>
    <mergeCell ref="K11:L11"/>
    <mergeCell ref="O1:P1"/>
    <mergeCell ref="Q1:R1"/>
    <mergeCell ref="S1:T1"/>
    <mergeCell ref="K4:L4"/>
    <mergeCell ref="K5:L5"/>
    <mergeCell ref="K21:L21"/>
    <mergeCell ref="K22:L22"/>
    <mergeCell ref="K23:L23"/>
    <mergeCell ref="K24:L24"/>
    <mergeCell ref="K13:L13"/>
    <mergeCell ref="K14:L14"/>
    <mergeCell ref="K15:L15"/>
    <mergeCell ref="K16:L16"/>
    <mergeCell ref="K17:L17"/>
    <mergeCell ref="K18:L18"/>
    <mergeCell ref="K31:L31"/>
    <mergeCell ref="K32:L32"/>
    <mergeCell ref="K3:L3"/>
    <mergeCell ref="A35:B35"/>
    <mergeCell ref="C35:D35"/>
    <mergeCell ref="E35:F35"/>
    <mergeCell ref="G35:H35"/>
    <mergeCell ref="I35:L36"/>
    <mergeCell ref="K25:L25"/>
    <mergeCell ref="K26:L26"/>
    <mergeCell ref="K27:L27"/>
    <mergeCell ref="K28:L28"/>
    <mergeCell ref="K29:L29"/>
    <mergeCell ref="K30:L30"/>
    <mergeCell ref="K19:L19"/>
    <mergeCell ref="K20:L20"/>
    <mergeCell ref="M35:N35"/>
    <mergeCell ref="O35:P35"/>
    <mergeCell ref="Q35:R35"/>
    <mergeCell ref="S35:T35"/>
    <mergeCell ref="A37:A50"/>
    <mergeCell ref="I37:L50"/>
  </mergeCells>
  <pageMargins left="0" right="0" top="0.27559055118110237" bottom="0.51181102362204722" header="0.15748031496062992" footer="0.19685039370078741"/>
  <pageSetup paperSize="9" scale="7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62.xml><?xml version="1.0" encoding="utf-8"?>
<worksheet xmlns="http://schemas.openxmlformats.org/spreadsheetml/2006/main" xmlns:r="http://schemas.openxmlformats.org/officeDocument/2006/relationships">
  <sheetPr codeName="Sheet75">
    <pageSetUpPr fitToPage="1"/>
  </sheetPr>
  <dimension ref="A1:W107"/>
  <sheetViews>
    <sheetView workbookViewId="0"/>
  </sheetViews>
  <sheetFormatPr defaultRowHeight="12.75"/>
  <cols>
    <col min="1" max="1" width="1.7109375" style="214" customWidth="1"/>
    <col min="2" max="2" width="16.7109375" style="214" customWidth="1"/>
    <col min="3" max="3" width="45.7109375" style="214" customWidth="1"/>
    <col min="4" max="4" width="6.7109375" style="371" customWidth="1"/>
    <col min="5" max="5" width="10.7109375" style="371" customWidth="1"/>
    <col min="6" max="6" width="6.7109375" style="371" customWidth="1"/>
    <col min="7" max="7" width="10.7109375" style="371" customWidth="1"/>
    <col min="8" max="8" width="6.7109375" style="371" customWidth="1"/>
    <col min="9" max="9" width="10.7109375" style="371" customWidth="1"/>
    <col min="10" max="13" width="1.7109375" style="371" customWidth="1"/>
    <col min="14" max="14" width="9.28515625" style="214" customWidth="1"/>
    <col min="15" max="15" width="11.28515625" style="214" customWidth="1"/>
    <col min="16" max="16" width="9.28515625" style="214" customWidth="1"/>
    <col min="17" max="17" width="11.28515625" style="214" customWidth="1"/>
    <col min="18" max="18" width="9.28515625" style="214" customWidth="1"/>
    <col min="19" max="19" width="11.28515625" style="214" customWidth="1"/>
    <col min="20" max="16384" width="9.140625" style="214"/>
  </cols>
  <sheetData>
    <row r="1" spans="2:20" ht="12.75" customHeight="1">
      <c r="B1" s="944" t="s">
        <v>698</v>
      </c>
      <c r="C1" s="944"/>
      <c r="D1" s="944"/>
      <c r="E1" s="944"/>
      <c r="F1" s="944"/>
      <c r="G1" s="944"/>
      <c r="H1" s="944"/>
      <c r="I1" s="944"/>
      <c r="J1" s="945" t="s">
        <v>48</v>
      </c>
      <c r="K1" s="945"/>
      <c r="L1" s="945"/>
      <c r="M1" s="945"/>
      <c r="N1" s="945"/>
      <c r="O1" s="30"/>
      <c r="P1" s="213"/>
      <c r="Q1" s="213"/>
      <c r="R1" s="213"/>
      <c r="S1" s="213"/>
      <c r="T1" s="213"/>
    </row>
    <row r="2" spans="2:20" ht="12.75" customHeight="1">
      <c r="J2" s="945"/>
      <c r="K2" s="945"/>
      <c r="L2" s="945"/>
      <c r="M2" s="945"/>
      <c r="N2" s="945"/>
      <c r="O2" s="30"/>
      <c r="P2" s="30"/>
      <c r="T2" s="215"/>
    </row>
    <row r="3" spans="2:20" ht="12.6" customHeight="1">
      <c r="B3" s="836" t="s">
        <v>405</v>
      </c>
      <c r="C3" s="836"/>
      <c r="D3" s="836"/>
      <c r="E3" s="836"/>
      <c r="F3" s="836"/>
      <c r="G3" s="836"/>
      <c r="H3" s="836"/>
      <c r="I3" s="836"/>
      <c r="J3" s="945"/>
      <c r="K3" s="945"/>
      <c r="L3" s="945"/>
      <c r="M3" s="945"/>
      <c r="N3" s="945"/>
      <c r="O3" s="30"/>
      <c r="P3" s="30"/>
      <c r="T3" s="215"/>
    </row>
    <row r="4" spans="2:20" ht="12.6" customHeight="1">
      <c r="B4" s="836"/>
      <c r="C4" s="836"/>
      <c r="D4" s="836"/>
      <c r="E4" s="836"/>
      <c r="F4" s="836"/>
      <c r="G4" s="836"/>
      <c r="H4" s="836"/>
      <c r="I4" s="836"/>
      <c r="J4" s="651"/>
      <c r="K4" s="651"/>
      <c r="L4" s="651"/>
      <c r="M4" s="651"/>
      <c r="N4" s="651"/>
      <c r="O4" s="30"/>
      <c r="P4" s="30"/>
      <c r="T4" s="215"/>
    </row>
    <row r="5" spans="2:20" ht="12.6" customHeight="1">
      <c r="B5" s="836"/>
      <c r="C5" s="836"/>
      <c r="D5" s="836"/>
      <c r="E5" s="836"/>
      <c r="F5" s="836"/>
      <c r="G5" s="836"/>
      <c r="H5" s="836"/>
      <c r="I5" s="836"/>
      <c r="J5" s="651"/>
      <c r="K5" s="651"/>
      <c r="L5" s="651"/>
      <c r="M5" s="651"/>
      <c r="N5" s="651"/>
      <c r="O5" s="30"/>
      <c r="P5" s="30"/>
      <c r="T5" s="215"/>
    </row>
    <row r="6" spans="2:20" ht="12.6" customHeight="1">
      <c r="B6" s="647"/>
      <c r="C6" s="647"/>
      <c r="D6" s="647"/>
      <c r="E6" s="647"/>
      <c r="F6" s="647"/>
      <c r="G6" s="647"/>
      <c r="H6" s="647"/>
      <c r="I6" s="647"/>
      <c r="J6" s="651"/>
      <c r="K6" s="651"/>
      <c r="L6" s="651"/>
      <c r="M6" s="651"/>
      <c r="N6" s="651"/>
      <c r="O6" s="30"/>
      <c r="P6" s="30"/>
      <c r="T6" s="215"/>
    </row>
    <row r="7" spans="2:20" ht="12.75" customHeight="1"/>
    <row r="36" spans="1:23">
      <c r="B36" s="216"/>
    </row>
    <row r="37" spans="1:23">
      <c r="B37" s="217" t="s">
        <v>699</v>
      </c>
      <c r="C37" s="218"/>
      <c r="D37" s="219"/>
      <c r="E37" s="219"/>
      <c r="F37" s="219"/>
      <c r="G37" s="219"/>
      <c r="H37" s="219"/>
      <c r="I37" s="219"/>
      <c r="J37" s="219"/>
      <c r="K37" s="219"/>
      <c r="N37" s="220"/>
      <c r="O37" s="220"/>
      <c r="P37" s="220"/>
      <c r="Q37" s="220"/>
    </row>
    <row r="38" spans="1:23">
      <c r="B38" s="454" t="s">
        <v>471</v>
      </c>
      <c r="C38" s="451"/>
      <c r="D38" s="452"/>
      <c r="E38" s="452"/>
      <c r="F38" s="452"/>
      <c r="G38" s="452"/>
      <c r="H38" s="452"/>
      <c r="I38" s="452"/>
      <c r="J38" s="452"/>
      <c r="K38" s="452"/>
      <c r="L38" s="453"/>
      <c r="M38" s="453"/>
      <c r="N38" s="220"/>
      <c r="O38" s="220"/>
      <c r="P38" s="220"/>
      <c r="Q38" s="220"/>
    </row>
    <row r="39" spans="1:23">
      <c r="B39" s="454" t="s">
        <v>472</v>
      </c>
      <c r="C39" s="451"/>
      <c r="D39" s="452"/>
      <c r="E39" s="452"/>
      <c r="F39" s="452"/>
      <c r="G39" s="452"/>
      <c r="H39" s="452"/>
      <c r="I39" s="452"/>
      <c r="J39" s="452"/>
      <c r="K39" s="452"/>
      <c r="L39" s="453"/>
      <c r="M39" s="453"/>
      <c r="N39" s="220"/>
      <c r="O39" s="220"/>
      <c r="P39" s="220"/>
      <c r="Q39" s="220"/>
    </row>
    <row r="40" spans="1:23">
      <c r="B40" s="456" t="s">
        <v>468</v>
      </c>
      <c r="C40" s="451"/>
      <c r="D40" s="452"/>
      <c r="E40" s="452"/>
      <c r="F40" s="452"/>
      <c r="G40" s="452"/>
      <c r="H40" s="452"/>
      <c r="I40" s="452"/>
      <c r="J40" s="452"/>
      <c r="K40" s="452"/>
      <c r="L40" s="453"/>
      <c r="M40" s="453"/>
      <c r="N40" s="220"/>
      <c r="O40" s="220"/>
      <c r="P40" s="220"/>
      <c r="Q40" s="220"/>
    </row>
    <row r="41" spans="1:23">
      <c r="B41" s="456" t="s">
        <v>469</v>
      </c>
      <c r="C41" s="451"/>
      <c r="D41" s="452"/>
      <c r="E41" s="452"/>
      <c r="F41" s="452"/>
      <c r="G41" s="452"/>
      <c r="H41" s="452"/>
      <c r="I41" s="452"/>
      <c r="J41" s="452"/>
      <c r="K41" s="452"/>
      <c r="L41" s="453"/>
      <c r="M41" s="453"/>
      <c r="N41" s="220"/>
      <c r="O41" s="220"/>
      <c r="P41" s="220"/>
      <c r="Q41" s="220"/>
    </row>
    <row r="42" spans="1:23">
      <c r="B42" s="454" t="s">
        <v>470</v>
      </c>
      <c r="C42" s="451"/>
      <c r="D42" s="452"/>
      <c r="E42" s="452"/>
      <c r="F42" s="452"/>
      <c r="G42" s="452"/>
      <c r="H42" s="452"/>
      <c r="I42" s="452"/>
      <c r="J42" s="452"/>
      <c r="K42" s="452"/>
      <c r="L42" s="453"/>
      <c r="M42" s="453"/>
      <c r="N42" s="220"/>
      <c r="O42" s="220"/>
      <c r="P42" s="220"/>
      <c r="Q42" s="220"/>
    </row>
    <row r="43" spans="1:23">
      <c r="B43" s="457" t="s">
        <v>473</v>
      </c>
      <c r="C43" s="453"/>
      <c r="D43" s="453"/>
      <c r="E43" s="453"/>
      <c r="F43" s="453"/>
      <c r="G43" s="453"/>
      <c r="H43" s="453"/>
      <c r="I43" s="453"/>
      <c r="J43" s="453"/>
      <c r="K43" s="453"/>
      <c r="L43" s="453"/>
      <c r="M43" s="453"/>
    </row>
    <row r="44" spans="1:23" ht="13.5" customHeight="1">
      <c r="B44" s="457" t="s">
        <v>474</v>
      </c>
      <c r="C44" s="455"/>
      <c r="D44" s="455"/>
      <c r="E44" s="455"/>
      <c r="F44" s="455"/>
      <c r="G44" s="455"/>
      <c r="H44" s="455"/>
      <c r="I44" s="455"/>
      <c r="J44" s="453"/>
      <c r="K44" s="453"/>
      <c r="L44" s="453"/>
      <c r="M44" s="453"/>
    </row>
    <row r="46" spans="1:23">
      <c r="A46" s="664"/>
      <c r="B46" s="665"/>
      <c r="C46" s="665"/>
      <c r="D46" s="666"/>
      <c r="E46" s="666"/>
      <c r="F46" s="666"/>
      <c r="G46" s="666"/>
      <c r="H46" s="666"/>
      <c r="I46" s="666"/>
      <c r="J46" s="667"/>
      <c r="K46" s="667"/>
      <c r="L46" s="668"/>
      <c r="M46" s="668"/>
      <c r="N46" s="666"/>
      <c r="O46" s="666"/>
      <c r="P46" s="666"/>
      <c r="Q46" s="666"/>
      <c r="R46" s="666"/>
      <c r="S46" s="666"/>
      <c r="T46" s="669"/>
      <c r="U46" s="669"/>
      <c r="V46" s="664"/>
      <c r="W46" s="664"/>
    </row>
    <row r="47" spans="1:23">
      <c r="A47" s="664"/>
      <c r="B47" s="670"/>
      <c r="C47" s="670"/>
      <c r="D47" s="666"/>
      <c r="E47" s="666"/>
      <c r="F47" s="666"/>
      <c r="G47" s="666"/>
      <c r="H47" s="666"/>
      <c r="I47" s="666"/>
      <c r="J47" s="671"/>
      <c r="K47" s="671"/>
      <c r="L47" s="668"/>
      <c r="M47" s="668"/>
      <c r="N47" s="672"/>
      <c r="O47" s="672"/>
      <c r="P47" s="672"/>
      <c r="Q47" s="672"/>
      <c r="R47" s="672"/>
      <c r="S47" s="672"/>
      <c r="T47" s="669"/>
      <c r="U47" s="669"/>
      <c r="V47" s="669"/>
      <c r="W47" s="669"/>
    </row>
    <row r="48" spans="1:23">
      <c r="A48" s="673"/>
      <c r="B48" s="664"/>
      <c r="C48" s="664"/>
      <c r="D48" s="674"/>
      <c r="E48" s="674"/>
      <c r="F48" s="674"/>
      <c r="G48" s="674"/>
      <c r="H48" s="674"/>
      <c r="I48" s="674"/>
      <c r="J48" s="675"/>
      <c r="K48" s="675"/>
      <c r="L48" s="676"/>
      <c r="M48" s="676"/>
      <c r="N48" s="677"/>
      <c r="O48" s="677"/>
      <c r="P48" s="677"/>
      <c r="Q48" s="677"/>
      <c r="R48" s="677"/>
      <c r="S48" s="677"/>
      <c r="T48" s="669"/>
      <c r="U48" s="669"/>
      <c r="V48" s="669"/>
      <c r="W48" s="669"/>
    </row>
    <row r="49" spans="1:23">
      <c r="A49" s="673"/>
      <c r="B49" s="664"/>
      <c r="C49" s="664"/>
      <c r="D49" s="674"/>
      <c r="E49" s="674"/>
      <c r="F49" s="674"/>
      <c r="G49" s="674"/>
      <c r="H49" s="674"/>
      <c r="I49" s="674"/>
      <c r="J49" s="675"/>
      <c r="K49" s="675"/>
      <c r="L49" s="676"/>
      <c r="M49" s="676"/>
      <c r="N49" s="677"/>
      <c r="O49" s="677"/>
      <c r="P49" s="677"/>
      <c r="Q49" s="677"/>
      <c r="R49" s="677"/>
      <c r="S49" s="677"/>
      <c r="T49" s="678"/>
      <c r="U49" s="678"/>
      <c r="V49" s="664"/>
      <c r="W49" s="664"/>
    </row>
    <row r="50" spans="1:23">
      <c r="A50" s="673"/>
      <c r="B50" s="664"/>
      <c r="C50" s="664"/>
      <c r="D50" s="674"/>
      <c r="E50" s="674"/>
      <c r="F50" s="674"/>
      <c r="G50" s="674"/>
      <c r="H50" s="674"/>
      <c r="I50" s="674"/>
      <c r="J50" s="675"/>
      <c r="K50" s="675"/>
      <c r="L50" s="676"/>
      <c r="M50" s="676"/>
      <c r="N50" s="677"/>
      <c r="O50" s="677"/>
      <c r="P50" s="677"/>
      <c r="Q50" s="677"/>
      <c r="R50" s="677"/>
      <c r="S50" s="677"/>
      <c r="T50" s="678"/>
      <c r="U50" s="678"/>
      <c r="V50" s="664"/>
      <c r="W50" s="664"/>
    </row>
    <row r="51" spans="1:23">
      <c r="A51" s="673"/>
      <c r="B51" s="664"/>
      <c r="C51" s="664"/>
      <c r="D51" s="674"/>
      <c r="E51" s="674"/>
      <c r="F51" s="674"/>
      <c r="G51" s="674"/>
      <c r="H51" s="674"/>
      <c r="I51" s="674"/>
      <c r="J51" s="675"/>
      <c r="K51" s="675"/>
      <c r="L51" s="676"/>
      <c r="M51" s="676"/>
      <c r="N51" s="677"/>
      <c r="O51" s="677"/>
      <c r="P51" s="677"/>
      <c r="Q51" s="677"/>
      <c r="R51" s="677"/>
      <c r="S51" s="677"/>
      <c r="T51" s="678"/>
      <c r="U51" s="678"/>
      <c r="V51" s="664"/>
      <c r="W51" s="664"/>
    </row>
    <row r="52" spans="1:23">
      <c r="A52" s="673"/>
      <c r="B52" s="664"/>
      <c r="C52" s="664"/>
      <c r="D52" s="674"/>
      <c r="E52" s="674"/>
      <c r="F52" s="674"/>
      <c r="G52" s="674"/>
      <c r="H52" s="674"/>
      <c r="I52" s="674"/>
      <c r="J52" s="675"/>
      <c r="K52" s="675"/>
      <c r="L52" s="676"/>
      <c r="M52" s="676"/>
      <c r="N52" s="677"/>
      <c r="O52" s="677"/>
      <c r="P52" s="677"/>
      <c r="Q52" s="677"/>
      <c r="R52" s="677"/>
      <c r="S52" s="677"/>
      <c r="T52" s="678"/>
      <c r="U52" s="678"/>
      <c r="V52" s="664"/>
      <c r="W52" s="664"/>
    </row>
    <row r="53" spans="1:23">
      <c r="A53" s="673"/>
      <c r="B53" s="664"/>
      <c r="C53" s="664"/>
      <c r="D53" s="674"/>
      <c r="E53" s="674"/>
      <c r="F53" s="674"/>
      <c r="G53" s="674"/>
      <c r="H53" s="674"/>
      <c r="I53" s="674"/>
      <c r="J53" s="675"/>
      <c r="K53" s="675"/>
      <c r="L53" s="676"/>
      <c r="M53" s="676"/>
      <c r="N53" s="677"/>
      <c r="O53" s="677"/>
      <c r="P53" s="677"/>
      <c r="Q53" s="677"/>
      <c r="R53" s="677"/>
      <c r="S53" s="677"/>
      <c r="T53" s="678"/>
      <c r="U53" s="678"/>
      <c r="V53" s="664"/>
      <c r="W53" s="664"/>
    </row>
    <row r="54" spans="1:23">
      <c r="A54" s="673"/>
      <c r="B54" s="664"/>
      <c r="C54" s="664"/>
      <c r="D54" s="674"/>
      <c r="E54" s="674"/>
      <c r="F54" s="674"/>
      <c r="G54" s="674"/>
      <c r="H54" s="674"/>
      <c r="I54" s="674"/>
      <c r="J54" s="675"/>
      <c r="K54" s="675"/>
      <c r="L54" s="676"/>
      <c r="M54" s="676"/>
      <c r="N54" s="677"/>
      <c r="O54" s="677"/>
      <c r="P54" s="677"/>
      <c r="Q54" s="677"/>
      <c r="R54" s="677"/>
      <c r="S54" s="677"/>
      <c r="T54" s="678"/>
      <c r="U54" s="678"/>
      <c r="V54" s="664"/>
      <c r="W54" s="664"/>
    </row>
    <row r="55" spans="1:23">
      <c r="A55" s="673"/>
      <c r="B55" s="664"/>
      <c r="C55" s="664"/>
      <c r="D55" s="674"/>
      <c r="E55" s="674"/>
      <c r="F55" s="674"/>
      <c r="G55" s="674"/>
      <c r="H55" s="674"/>
      <c r="I55" s="674"/>
      <c r="J55" s="675"/>
      <c r="K55" s="675"/>
      <c r="L55" s="676"/>
      <c r="M55" s="676"/>
      <c r="N55" s="677"/>
      <c r="O55" s="677"/>
      <c r="P55" s="677"/>
      <c r="Q55" s="677"/>
      <c r="R55" s="677"/>
      <c r="S55" s="677"/>
      <c r="T55" s="678"/>
      <c r="U55" s="678"/>
      <c r="V55" s="664"/>
      <c r="W55" s="664"/>
    </row>
    <row r="56" spans="1:23">
      <c r="A56" s="673"/>
      <c r="B56" s="664"/>
      <c r="C56" s="664"/>
      <c r="D56" s="674"/>
      <c r="E56" s="674"/>
      <c r="F56" s="674"/>
      <c r="G56" s="674"/>
      <c r="H56" s="674"/>
      <c r="I56" s="674"/>
      <c r="J56" s="675"/>
      <c r="K56" s="675"/>
      <c r="L56" s="676"/>
      <c r="M56" s="676"/>
      <c r="N56" s="677"/>
      <c r="O56" s="677"/>
      <c r="P56" s="677"/>
      <c r="Q56" s="677"/>
      <c r="R56" s="677"/>
      <c r="S56" s="677"/>
      <c r="T56" s="678"/>
      <c r="U56" s="678"/>
      <c r="V56" s="664"/>
      <c r="W56" s="664"/>
    </row>
    <row r="57" spans="1:23">
      <c r="A57" s="673"/>
      <c r="B57" s="664"/>
      <c r="C57" s="664"/>
      <c r="D57" s="674"/>
      <c r="E57" s="674"/>
      <c r="F57" s="674"/>
      <c r="G57" s="674"/>
      <c r="H57" s="674"/>
      <c r="I57" s="674"/>
      <c r="J57" s="675"/>
      <c r="K57" s="675"/>
      <c r="L57" s="676"/>
      <c r="M57" s="676"/>
      <c r="N57" s="677"/>
      <c r="O57" s="677"/>
      <c r="P57" s="677"/>
      <c r="Q57" s="677"/>
      <c r="R57" s="677"/>
      <c r="S57" s="677"/>
      <c r="T57" s="678"/>
      <c r="U57" s="678"/>
      <c r="V57" s="664"/>
      <c r="W57" s="664"/>
    </row>
    <row r="58" spans="1:23">
      <c r="A58" s="673"/>
      <c r="B58" s="664"/>
      <c r="C58" s="664"/>
      <c r="D58" s="674"/>
      <c r="E58" s="674"/>
      <c r="F58" s="674"/>
      <c r="G58" s="674"/>
      <c r="H58" s="674"/>
      <c r="I58" s="674"/>
      <c r="J58" s="675"/>
      <c r="K58" s="675"/>
      <c r="L58" s="676"/>
      <c r="M58" s="676"/>
      <c r="N58" s="677"/>
      <c r="O58" s="677"/>
      <c r="P58" s="677"/>
      <c r="Q58" s="677"/>
      <c r="R58" s="677"/>
      <c r="S58" s="677"/>
      <c r="T58" s="678"/>
      <c r="U58" s="678"/>
      <c r="V58" s="664"/>
      <c r="W58" s="664"/>
    </row>
    <row r="59" spans="1:23">
      <c r="A59" s="673"/>
      <c r="B59" s="664"/>
      <c r="C59" s="664"/>
      <c r="D59" s="674"/>
      <c r="E59" s="674"/>
      <c r="F59" s="674"/>
      <c r="G59" s="674"/>
      <c r="H59" s="674"/>
      <c r="I59" s="674"/>
      <c r="J59" s="675"/>
      <c r="K59" s="675"/>
      <c r="L59" s="676"/>
      <c r="M59" s="676"/>
      <c r="N59" s="677"/>
      <c r="O59" s="677"/>
      <c r="P59" s="677"/>
      <c r="Q59" s="677"/>
      <c r="R59" s="677"/>
      <c r="S59" s="677"/>
      <c r="T59" s="678"/>
      <c r="U59" s="678"/>
      <c r="V59" s="664"/>
      <c r="W59" s="664"/>
    </row>
    <row r="60" spans="1:23">
      <c r="A60" s="673"/>
      <c r="B60" s="664"/>
      <c r="C60" s="664"/>
      <c r="D60" s="674"/>
      <c r="E60" s="674"/>
      <c r="F60" s="674"/>
      <c r="G60" s="674"/>
      <c r="H60" s="674"/>
      <c r="I60" s="674"/>
      <c r="J60" s="675"/>
      <c r="K60" s="675"/>
      <c r="L60" s="676"/>
      <c r="M60" s="676"/>
      <c r="N60" s="677"/>
      <c r="O60" s="677"/>
      <c r="P60" s="677"/>
      <c r="Q60" s="677"/>
      <c r="R60" s="677"/>
      <c r="S60" s="677"/>
      <c r="T60" s="678"/>
      <c r="U60" s="678"/>
      <c r="V60" s="664"/>
      <c r="W60" s="664"/>
    </row>
    <row r="61" spans="1:23">
      <c r="A61" s="673"/>
      <c r="B61" s="664"/>
      <c r="C61" s="664"/>
      <c r="D61" s="674"/>
      <c r="E61" s="674"/>
      <c r="F61" s="674"/>
      <c r="G61" s="674"/>
      <c r="H61" s="674"/>
      <c r="I61" s="674"/>
      <c r="J61" s="675"/>
      <c r="K61" s="675"/>
      <c r="L61" s="676"/>
      <c r="M61" s="676"/>
      <c r="N61" s="677"/>
      <c r="O61" s="677"/>
      <c r="P61" s="677"/>
      <c r="Q61" s="677"/>
      <c r="R61" s="677"/>
      <c r="S61" s="677"/>
      <c r="T61" s="678"/>
      <c r="U61" s="678"/>
      <c r="V61" s="664"/>
      <c r="W61" s="664"/>
    </row>
    <row r="62" spans="1:23">
      <c r="A62" s="673"/>
      <c r="B62" s="664"/>
      <c r="C62" s="664"/>
      <c r="D62" s="674"/>
      <c r="E62" s="674"/>
      <c r="F62" s="674"/>
      <c r="G62" s="674"/>
      <c r="H62" s="674"/>
      <c r="I62" s="674"/>
      <c r="J62" s="675"/>
      <c r="K62" s="675"/>
      <c r="L62" s="676"/>
      <c r="M62" s="676"/>
      <c r="N62" s="677"/>
      <c r="O62" s="677"/>
      <c r="P62" s="677"/>
      <c r="Q62" s="677"/>
      <c r="R62" s="677"/>
      <c r="S62" s="677"/>
      <c r="T62" s="678"/>
      <c r="U62" s="678"/>
      <c r="V62" s="664"/>
      <c r="W62" s="664"/>
    </row>
    <row r="63" spans="1:23">
      <c r="A63" s="673"/>
      <c r="B63" s="664"/>
      <c r="C63" s="664"/>
      <c r="D63" s="674"/>
      <c r="E63" s="674"/>
      <c r="F63" s="674"/>
      <c r="G63" s="674"/>
      <c r="H63" s="674"/>
      <c r="I63" s="674"/>
      <c r="J63" s="675"/>
      <c r="K63" s="675"/>
      <c r="L63" s="676"/>
      <c r="M63" s="676"/>
      <c r="N63" s="677"/>
      <c r="O63" s="677"/>
      <c r="P63" s="677"/>
      <c r="Q63" s="677"/>
      <c r="R63" s="677"/>
      <c r="S63" s="677"/>
      <c r="T63" s="678"/>
      <c r="U63" s="678"/>
      <c r="V63" s="664"/>
      <c r="W63" s="664"/>
    </row>
    <row r="64" spans="1:23">
      <c r="A64" s="673"/>
      <c r="B64" s="664"/>
      <c r="C64" s="664"/>
      <c r="D64" s="674"/>
      <c r="E64" s="674"/>
      <c r="F64" s="674"/>
      <c r="G64" s="674"/>
      <c r="H64" s="674"/>
      <c r="I64" s="674"/>
      <c r="J64" s="675"/>
      <c r="K64" s="675"/>
      <c r="L64" s="676"/>
      <c r="M64" s="676"/>
      <c r="N64" s="677"/>
      <c r="O64" s="677"/>
      <c r="P64" s="677"/>
      <c r="Q64" s="677"/>
      <c r="R64" s="677"/>
      <c r="S64" s="677"/>
      <c r="T64" s="678"/>
      <c r="U64" s="678"/>
      <c r="V64" s="664"/>
      <c r="W64" s="664"/>
    </row>
    <row r="65" spans="1:23">
      <c r="A65" s="673"/>
      <c r="B65" s="664"/>
      <c r="C65" s="664"/>
      <c r="D65" s="674"/>
      <c r="E65" s="674"/>
      <c r="F65" s="674"/>
      <c r="G65" s="674"/>
      <c r="H65" s="674"/>
      <c r="I65" s="674"/>
      <c r="J65" s="675"/>
      <c r="K65" s="675"/>
      <c r="L65" s="676"/>
      <c r="M65" s="676"/>
      <c r="N65" s="677"/>
      <c r="O65" s="677"/>
      <c r="P65" s="677"/>
      <c r="Q65" s="677"/>
      <c r="R65" s="677"/>
      <c r="S65" s="677"/>
      <c r="T65" s="678"/>
      <c r="U65" s="678"/>
      <c r="V65" s="664"/>
      <c r="W65" s="664"/>
    </row>
    <row r="66" spans="1:23">
      <c r="A66" s="673"/>
      <c r="B66" s="664"/>
      <c r="C66" s="664"/>
      <c r="D66" s="674"/>
      <c r="E66" s="674"/>
      <c r="F66" s="674"/>
      <c r="G66" s="674"/>
      <c r="H66" s="674"/>
      <c r="I66" s="674"/>
      <c r="J66" s="675"/>
      <c r="K66" s="675"/>
      <c r="L66" s="676"/>
      <c r="M66" s="676"/>
      <c r="N66" s="677"/>
      <c r="O66" s="677"/>
      <c r="P66" s="677"/>
      <c r="Q66" s="677"/>
      <c r="R66" s="677"/>
      <c r="S66" s="677"/>
      <c r="T66" s="678"/>
      <c r="U66" s="678"/>
      <c r="V66" s="664"/>
      <c r="W66" s="664"/>
    </row>
    <row r="67" spans="1:23">
      <c r="A67" s="673"/>
      <c r="B67" s="664"/>
      <c r="C67" s="664"/>
      <c r="D67" s="674"/>
      <c r="E67" s="674"/>
      <c r="F67" s="674"/>
      <c r="G67" s="674"/>
      <c r="H67" s="674"/>
      <c r="I67" s="674"/>
      <c r="J67" s="675"/>
      <c r="K67" s="675"/>
      <c r="L67" s="676"/>
      <c r="M67" s="676"/>
      <c r="N67" s="677"/>
      <c r="O67" s="677"/>
      <c r="P67" s="677"/>
      <c r="Q67" s="677"/>
      <c r="R67" s="677"/>
      <c r="S67" s="677"/>
      <c r="T67" s="678"/>
      <c r="U67" s="678"/>
      <c r="V67" s="664"/>
      <c r="W67" s="664"/>
    </row>
    <row r="68" spans="1:23">
      <c r="A68" s="673"/>
      <c r="B68" s="664"/>
      <c r="C68" s="664"/>
      <c r="D68" s="674"/>
      <c r="E68" s="674"/>
      <c r="F68" s="674"/>
      <c r="G68" s="674"/>
      <c r="H68" s="674"/>
      <c r="I68" s="674"/>
      <c r="J68" s="675"/>
      <c r="K68" s="675"/>
      <c r="L68" s="676"/>
      <c r="M68" s="676"/>
      <c r="N68" s="677"/>
      <c r="O68" s="677"/>
      <c r="P68" s="677"/>
      <c r="Q68" s="677"/>
      <c r="R68" s="677"/>
      <c r="S68" s="677"/>
      <c r="T68" s="678"/>
      <c r="U68" s="678"/>
      <c r="V68" s="664"/>
      <c r="W68" s="664"/>
    </row>
    <row r="69" spans="1:23">
      <c r="A69" s="673"/>
      <c r="B69" s="664"/>
      <c r="C69" s="664"/>
      <c r="D69" s="674"/>
      <c r="E69" s="674"/>
      <c r="F69" s="674"/>
      <c r="G69" s="674"/>
      <c r="H69" s="674"/>
      <c r="I69" s="674"/>
      <c r="J69" s="675"/>
      <c r="K69" s="675"/>
      <c r="L69" s="676"/>
      <c r="M69" s="676"/>
      <c r="N69" s="677"/>
      <c r="O69" s="677"/>
      <c r="P69" s="677"/>
      <c r="Q69" s="677"/>
      <c r="R69" s="677"/>
      <c r="S69" s="677"/>
      <c r="T69" s="678"/>
      <c r="U69" s="678"/>
      <c r="V69" s="664"/>
      <c r="W69" s="664"/>
    </row>
    <row r="70" spans="1:23">
      <c r="A70" s="673"/>
      <c r="B70" s="664"/>
      <c r="C70" s="664"/>
      <c r="D70" s="674"/>
      <c r="E70" s="674"/>
      <c r="F70" s="674"/>
      <c r="G70" s="674"/>
      <c r="H70" s="674"/>
      <c r="I70" s="674"/>
      <c r="J70" s="675"/>
      <c r="K70" s="675"/>
      <c r="L70" s="676"/>
      <c r="M70" s="676"/>
      <c r="N70" s="677"/>
      <c r="O70" s="677"/>
      <c r="P70" s="677"/>
      <c r="Q70" s="677"/>
      <c r="R70" s="677"/>
      <c r="S70" s="677"/>
      <c r="T70" s="678"/>
      <c r="U70" s="678"/>
      <c r="V70" s="664"/>
      <c r="W70" s="664"/>
    </row>
    <row r="71" spans="1:23">
      <c r="A71" s="673"/>
      <c r="B71" s="664"/>
      <c r="C71" s="664"/>
      <c r="D71" s="674"/>
      <c r="E71" s="674"/>
      <c r="F71" s="674"/>
      <c r="G71" s="674"/>
      <c r="H71" s="674"/>
      <c r="I71" s="674"/>
      <c r="J71" s="675"/>
      <c r="K71" s="675"/>
      <c r="L71" s="676"/>
      <c r="M71" s="676"/>
      <c r="N71" s="677"/>
      <c r="O71" s="677"/>
      <c r="P71" s="677"/>
      <c r="Q71" s="677"/>
      <c r="R71" s="677"/>
      <c r="S71" s="677"/>
      <c r="T71" s="678"/>
      <c r="U71" s="678"/>
      <c r="V71" s="664"/>
      <c r="W71" s="664"/>
    </row>
    <row r="72" spans="1:23">
      <c r="A72" s="673"/>
      <c r="B72" s="664"/>
      <c r="C72" s="664"/>
      <c r="D72" s="674"/>
      <c r="E72" s="674"/>
      <c r="F72" s="674"/>
      <c r="G72" s="674"/>
      <c r="H72" s="674"/>
      <c r="I72" s="674"/>
      <c r="J72" s="675"/>
      <c r="K72" s="675"/>
      <c r="L72" s="676"/>
      <c r="M72" s="676"/>
      <c r="N72" s="677"/>
      <c r="O72" s="677"/>
      <c r="P72" s="677"/>
      <c r="Q72" s="677"/>
      <c r="R72" s="677"/>
      <c r="S72" s="677"/>
      <c r="T72" s="678"/>
      <c r="U72" s="678"/>
      <c r="V72" s="664"/>
      <c r="W72" s="664"/>
    </row>
    <row r="73" spans="1:23">
      <c r="A73" s="673"/>
      <c r="B73" s="664"/>
      <c r="C73" s="664"/>
      <c r="D73" s="674"/>
      <c r="E73" s="674"/>
      <c r="F73" s="674"/>
      <c r="G73" s="674"/>
      <c r="H73" s="674"/>
      <c r="I73" s="674"/>
      <c r="J73" s="675"/>
      <c r="K73" s="675"/>
      <c r="L73" s="676"/>
      <c r="M73" s="676"/>
      <c r="N73" s="677"/>
      <c r="O73" s="677"/>
      <c r="P73" s="677"/>
      <c r="Q73" s="677"/>
      <c r="R73" s="677"/>
      <c r="S73" s="677"/>
      <c r="T73" s="678"/>
      <c r="U73" s="678"/>
      <c r="V73" s="664"/>
      <c r="W73" s="664"/>
    </row>
    <row r="74" spans="1:23">
      <c r="A74" s="673"/>
      <c r="B74" s="664"/>
      <c r="C74" s="664"/>
      <c r="D74" s="674"/>
      <c r="E74" s="674"/>
      <c r="F74" s="674"/>
      <c r="G74" s="674"/>
      <c r="H74" s="674"/>
      <c r="I74" s="674"/>
      <c r="J74" s="675"/>
      <c r="K74" s="675"/>
      <c r="L74" s="676"/>
      <c r="M74" s="676"/>
      <c r="N74" s="677"/>
      <c r="O74" s="677"/>
      <c r="P74" s="677"/>
      <c r="Q74" s="677"/>
      <c r="R74" s="677"/>
      <c r="S74" s="677"/>
      <c r="T74" s="678"/>
      <c r="U74" s="678"/>
      <c r="V74" s="664"/>
      <c r="W74" s="664"/>
    </row>
    <row r="75" spans="1:23">
      <c r="A75" s="673"/>
      <c r="B75" s="664"/>
      <c r="C75" s="664"/>
      <c r="D75" s="674"/>
      <c r="E75" s="674"/>
      <c r="F75" s="674"/>
      <c r="G75" s="674"/>
      <c r="H75" s="674"/>
      <c r="I75" s="674"/>
      <c r="J75" s="675"/>
      <c r="K75" s="675"/>
      <c r="L75" s="676"/>
      <c r="M75" s="676"/>
      <c r="N75" s="677"/>
      <c r="O75" s="677"/>
      <c r="P75" s="677"/>
      <c r="Q75" s="677"/>
      <c r="R75" s="677"/>
      <c r="S75" s="677"/>
      <c r="T75" s="678"/>
      <c r="U75" s="678"/>
      <c r="V75" s="664"/>
      <c r="W75" s="664"/>
    </row>
    <row r="76" spans="1:23">
      <c r="A76" s="673"/>
      <c r="B76" s="664"/>
      <c r="C76" s="664"/>
      <c r="D76" s="674"/>
      <c r="E76" s="674"/>
      <c r="F76" s="674"/>
      <c r="G76" s="674"/>
      <c r="H76" s="674"/>
      <c r="I76" s="674"/>
      <c r="J76" s="675"/>
      <c r="K76" s="675"/>
      <c r="L76" s="676"/>
      <c r="M76" s="676"/>
      <c r="N76" s="677"/>
      <c r="O76" s="677"/>
      <c r="P76" s="677"/>
      <c r="Q76" s="677"/>
      <c r="R76" s="677"/>
      <c r="S76" s="677"/>
      <c r="T76" s="678"/>
      <c r="U76" s="678"/>
      <c r="V76" s="664"/>
      <c r="W76" s="664"/>
    </row>
    <row r="77" spans="1:23">
      <c r="A77" s="673"/>
      <c r="B77" s="664"/>
      <c r="C77" s="664"/>
      <c r="D77" s="674"/>
      <c r="E77" s="674"/>
      <c r="F77" s="674"/>
      <c r="G77" s="674"/>
      <c r="H77" s="674"/>
      <c r="I77" s="674"/>
      <c r="J77" s="675"/>
      <c r="K77" s="675"/>
      <c r="L77" s="676"/>
      <c r="M77" s="676"/>
      <c r="N77" s="677"/>
      <c r="O77" s="677"/>
      <c r="P77" s="677"/>
      <c r="Q77" s="677"/>
      <c r="R77" s="677"/>
      <c r="S77" s="677"/>
      <c r="T77" s="678"/>
      <c r="U77" s="678"/>
      <c r="V77" s="664"/>
      <c r="W77" s="664"/>
    </row>
    <row r="78" spans="1:23">
      <c r="A78" s="673"/>
      <c r="B78" s="664"/>
      <c r="C78" s="664"/>
      <c r="D78" s="674"/>
      <c r="E78" s="674"/>
      <c r="F78" s="674"/>
      <c r="G78" s="674"/>
      <c r="H78" s="674"/>
      <c r="I78" s="674"/>
      <c r="J78" s="675"/>
      <c r="K78" s="675"/>
      <c r="L78" s="676"/>
      <c r="M78" s="676"/>
      <c r="N78" s="677"/>
      <c r="O78" s="677"/>
      <c r="P78" s="677"/>
      <c r="Q78" s="677"/>
      <c r="R78" s="677"/>
      <c r="S78" s="677"/>
      <c r="T78" s="678"/>
      <c r="U78" s="678"/>
      <c r="V78" s="664"/>
      <c r="W78" s="664"/>
    </row>
    <row r="79" spans="1:23">
      <c r="A79" s="673"/>
      <c r="B79" s="664"/>
      <c r="C79" s="664"/>
      <c r="D79" s="674"/>
      <c r="E79" s="674"/>
      <c r="F79" s="674"/>
      <c r="G79" s="674"/>
      <c r="H79" s="674"/>
      <c r="I79" s="674"/>
      <c r="J79" s="675"/>
      <c r="K79" s="675"/>
      <c r="L79" s="676"/>
      <c r="M79" s="676"/>
      <c r="N79" s="677"/>
      <c r="O79" s="677"/>
      <c r="P79" s="677"/>
      <c r="Q79" s="677"/>
      <c r="R79" s="677"/>
      <c r="S79" s="677"/>
      <c r="T79" s="678"/>
      <c r="U79" s="678"/>
      <c r="V79" s="664"/>
      <c r="W79" s="664"/>
    </row>
    <row r="80" spans="1:23">
      <c r="A80" s="664"/>
      <c r="B80" s="664"/>
      <c r="C80" s="664"/>
      <c r="D80" s="664"/>
      <c r="E80" s="664"/>
      <c r="F80" s="664"/>
      <c r="G80" s="664"/>
      <c r="H80" s="664"/>
      <c r="I80" s="664"/>
      <c r="J80" s="664"/>
      <c r="K80" s="664"/>
      <c r="L80" s="664"/>
      <c r="M80" s="664"/>
      <c r="N80" s="664"/>
      <c r="O80" s="664"/>
      <c r="P80" s="664"/>
      <c r="Q80" s="664"/>
      <c r="R80" s="664"/>
      <c r="S80" s="664"/>
      <c r="T80" s="664"/>
      <c r="U80" s="664"/>
      <c r="V80" s="664"/>
      <c r="W80" s="664"/>
    </row>
    <row r="81" spans="1:23">
      <c r="A81" s="664"/>
      <c r="B81" s="664"/>
      <c r="C81" s="664"/>
      <c r="D81" s="664"/>
      <c r="E81" s="664"/>
      <c r="F81" s="664"/>
      <c r="G81" s="664"/>
      <c r="H81" s="664"/>
      <c r="I81" s="664"/>
      <c r="J81" s="664"/>
      <c r="K81" s="664"/>
      <c r="L81" s="664"/>
      <c r="M81" s="664"/>
      <c r="N81" s="664"/>
      <c r="O81" s="664"/>
      <c r="P81" s="664"/>
      <c r="Q81" s="664"/>
      <c r="R81" s="664"/>
      <c r="S81" s="664"/>
      <c r="T81" s="664"/>
      <c r="U81" s="664"/>
      <c r="V81" s="664"/>
      <c r="W81" s="664"/>
    </row>
    <row r="82" spans="1:23">
      <c r="A82" s="664"/>
      <c r="B82" s="679"/>
      <c r="C82" s="679"/>
      <c r="D82" s="665"/>
      <c r="E82" s="665"/>
      <c r="F82" s="665"/>
      <c r="G82" s="665"/>
      <c r="H82" s="665"/>
      <c r="I82" s="665"/>
      <c r="J82" s="678"/>
      <c r="K82" s="678"/>
      <c r="L82" s="678"/>
      <c r="M82" s="678"/>
      <c r="N82" s="666"/>
      <c r="O82" s="666"/>
      <c r="P82" s="666"/>
      <c r="Q82" s="666"/>
      <c r="R82" s="666"/>
      <c r="S82" s="666"/>
      <c r="T82" s="669"/>
      <c r="U82" s="669"/>
      <c r="V82" s="664"/>
      <c r="W82" s="664"/>
    </row>
    <row r="83" spans="1:23">
      <c r="A83" s="664"/>
      <c r="B83" s="673"/>
      <c r="C83" s="670"/>
      <c r="D83" s="680"/>
      <c r="E83" s="680"/>
      <c r="F83" s="680"/>
      <c r="G83" s="680"/>
      <c r="H83" s="680"/>
      <c r="I83" s="680"/>
      <c r="J83" s="678"/>
      <c r="K83" s="678"/>
      <c r="L83" s="678"/>
      <c r="M83" s="678"/>
      <c r="N83" s="681"/>
      <c r="O83" s="681"/>
      <c r="P83" s="681"/>
      <c r="Q83" s="681"/>
      <c r="R83" s="681"/>
      <c r="S83" s="681"/>
      <c r="T83" s="669"/>
      <c r="U83" s="669"/>
      <c r="V83" s="664"/>
      <c r="W83" s="664"/>
    </row>
    <row r="84" spans="1:23">
      <c r="A84" s="673"/>
      <c r="B84" s="678"/>
      <c r="C84" s="664"/>
      <c r="D84" s="674"/>
      <c r="E84" s="674"/>
      <c r="F84" s="674"/>
      <c r="G84" s="674"/>
      <c r="H84" s="674"/>
      <c r="I84" s="678"/>
      <c r="J84" s="678"/>
      <c r="K84" s="678"/>
      <c r="L84" s="678"/>
      <c r="M84" s="678"/>
      <c r="N84" s="682"/>
      <c r="O84" s="682"/>
      <c r="P84" s="682"/>
      <c r="Q84" s="682"/>
      <c r="R84" s="677"/>
      <c r="S84" s="677"/>
      <c r="T84" s="669"/>
      <c r="U84" s="669"/>
      <c r="V84" s="664"/>
      <c r="W84" s="664"/>
    </row>
    <row r="85" spans="1:23">
      <c r="A85" s="673"/>
      <c r="B85" s="678"/>
      <c r="C85" s="664"/>
      <c r="D85" s="674"/>
      <c r="E85" s="674"/>
      <c r="F85" s="674"/>
      <c r="G85" s="674"/>
      <c r="H85" s="674"/>
      <c r="I85" s="678"/>
      <c r="J85" s="678"/>
      <c r="K85" s="678"/>
      <c r="L85" s="678"/>
      <c r="M85" s="678"/>
      <c r="N85" s="682"/>
      <c r="O85" s="682"/>
      <c r="P85" s="682"/>
      <c r="Q85" s="682"/>
      <c r="R85" s="677"/>
      <c r="S85" s="677"/>
      <c r="T85" s="678"/>
      <c r="U85" s="678"/>
      <c r="V85" s="664"/>
      <c r="W85" s="664"/>
    </row>
    <row r="86" spans="1:23">
      <c r="A86" s="673"/>
      <c r="B86" s="678"/>
      <c r="C86" s="664"/>
      <c r="D86" s="674"/>
      <c r="E86" s="674"/>
      <c r="F86" s="674"/>
      <c r="G86" s="674"/>
      <c r="H86" s="674"/>
      <c r="I86" s="678"/>
      <c r="J86" s="678"/>
      <c r="K86" s="678"/>
      <c r="L86" s="678"/>
      <c r="M86" s="678"/>
      <c r="N86" s="682"/>
      <c r="O86" s="682"/>
      <c r="P86" s="682"/>
      <c r="Q86" s="682"/>
      <c r="R86" s="677"/>
      <c r="S86" s="677"/>
      <c r="T86" s="678"/>
      <c r="U86" s="678"/>
      <c r="V86" s="664"/>
      <c r="W86" s="664"/>
    </row>
    <row r="87" spans="1:23">
      <c r="A87" s="673"/>
      <c r="B87" s="678"/>
      <c r="C87" s="664"/>
      <c r="D87" s="674"/>
      <c r="E87" s="674"/>
      <c r="F87" s="674"/>
      <c r="G87" s="674"/>
      <c r="H87" s="674"/>
      <c r="I87" s="678"/>
      <c r="J87" s="678"/>
      <c r="K87" s="678"/>
      <c r="L87" s="678"/>
      <c r="M87" s="678"/>
      <c r="N87" s="682"/>
      <c r="O87" s="682"/>
      <c r="P87" s="682"/>
      <c r="Q87" s="682"/>
      <c r="R87" s="677"/>
      <c r="S87" s="677"/>
      <c r="T87" s="678"/>
      <c r="U87" s="678"/>
      <c r="V87" s="664"/>
      <c r="W87" s="664"/>
    </row>
    <row r="88" spans="1:23">
      <c r="A88" s="673"/>
      <c r="B88" s="678"/>
      <c r="C88" s="664"/>
      <c r="D88" s="674"/>
      <c r="E88" s="674"/>
      <c r="F88" s="674"/>
      <c r="G88" s="674"/>
      <c r="H88" s="674"/>
      <c r="I88" s="678"/>
      <c r="J88" s="678"/>
      <c r="K88" s="678"/>
      <c r="L88" s="678"/>
      <c r="M88" s="678"/>
      <c r="N88" s="682"/>
      <c r="O88" s="682"/>
      <c r="P88" s="682"/>
      <c r="Q88" s="682"/>
      <c r="R88" s="677"/>
      <c r="S88" s="677"/>
      <c r="T88" s="678"/>
      <c r="U88" s="678"/>
      <c r="V88" s="664"/>
      <c r="W88" s="664"/>
    </row>
    <row r="89" spans="1:23">
      <c r="A89" s="673"/>
      <c r="B89" s="678"/>
      <c r="C89" s="664"/>
      <c r="D89" s="674"/>
      <c r="E89" s="674"/>
      <c r="F89" s="674"/>
      <c r="G89" s="674"/>
      <c r="H89" s="674"/>
      <c r="I89" s="678"/>
      <c r="J89" s="678"/>
      <c r="K89" s="678"/>
      <c r="L89" s="678"/>
      <c r="M89" s="678"/>
      <c r="N89" s="682"/>
      <c r="O89" s="682"/>
      <c r="P89" s="682"/>
      <c r="Q89" s="682"/>
      <c r="R89" s="677"/>
      <c r="S89" s="677"/>
      <c r="T89" s="678"/>
      <c r="U89" s="678"/>
      <c r="V89" s="664"/>
      <c r="W89" s="664"/>
    </row>
    <row r="90" spans="1:23">
      <c r="A90" s="673"/>
      <c r="B90" s="678"/>
      <c r="C90" s="664"/>
      <c r="D90" s="674"/>
      <c r="E90" s="674"/>
      <c r="F90" s="674"/>
      <c r="G90" s="674"/>
      <c r="H90" s="674"/>
      <c r="I90" s="678"/>
      <c r="J90" s="678"/>
      <c r="K90" s="678"/>
      <c r="L90" s="678"/>
      <c r="M90" s="678"/>
      <c r="N90" s="682"/>
      <c r="O90" s="682"/>
      <c r="P90" s="682"/>
      <c r="Q90" s="682"/>
      <c r="R90" s="677"/>
      <c r="S90" s="677"/>
      <c r="T90" s="678"/>
      <c r="U90" s="678"/>
      <c r="V90" s="664"/>
      <c r="W90" s="664"/>
    </row>
    <row r="91" spans="1:23">
      <c r="A91" s="673"/>
      <c r="B91" s="678"/>
      <c r="C91" s="664"/>
      <c r="D91" s="674"/>
      <c r="E91" s="674"/>
      <c r="F91" s="674"/>
      <c r="G91" s="674"/>
      <c r="H91" s="674"/>
      <c r="I91" s="678"/>
      <c r="J91" s="678"/>
      <c r="K91" s="678"/>
      <c r="L91" s="678"/>
      <c r="M91" s="678"/>
      <c r="N91" s="682"/>
      <c r="O91" s="682"/>
      <c r="P91" s="682"/>
      <c r="Q91" s="682"/>
      <c r="R91" s="677"/>
      <c r="S91" s="677"/>
      <c r="T91" s="678"/>
      <c r="U91" s="678"/>
      <c r="V91" s="664"/>
      <c r="W91" s="664"/>
    </row>
    <row r="92" spans="1:23">
      <c r="A92" s="673"/>
      <c r="B92" s="678"/>
      <c r="C92" s="664"/>
      <c r="D92" s="674"/>
      <c r="E92" s="674"/>
      <c r="F92" s="674"/>
      <c r="G92" s="674"/>
      <c r="H92" s="674"/>
      <c r="I92" s="678"/>
      <c r="J92" s="678"/>
      <c r="K92" s="678"/>
      <c r="L92" s="678"/>
      <c r="M92" s="678"/>
      <c r="N92" s="682"/>
      <c r="O92" s="682"/>
      <c r="P92" s="682"/>
      <c r="Q92" s="682"/>
      <c r="R92" s="677"/>
      <c r="S92" s="677"/>
      <c r="T92" s="678"/>
      <c r="U92" s="678"/>
      <c r="V92" s="664"/>
      <c r="W92" s="664"/>
    </row>
    <row r="93" spans="1:23">
      <c r="A93" s="673"/>
      <c r="B93" s="678"/>
      <c r="C93" s="664"/>
      <c r="D93" s="674"/>
      <c r="E93" s="674"/>
      <c r="F93" s="674"/>
      <c r="G93" s="674"/>
      <c r="H93" s="674"/>
      <c r="I93" s="678"/>
      <c r="J93" s="678"/>
      <c r="K93" s="678"/>
      <c r="L93" s="678"/>
      <c r="M93" s="678"/>
      <c r="N93" s="682"/>
      <c r="O93" s="682"/>
      <c r="P93" s="682"/>
      <c r="Q93" s="682"/>
      <c r="R93" s="677"/>
      <c r="S93" s="677"/>
      <c r="T93" s="678"/>
      <c r="U93" s="678"/>
      <c r="V93" s="664"/>
      <c r="W93" s="664"/>
    </row>
    <row r="94" spans="1:23">
      <c r="A94" s="673"/>
      <c r="B94" s="678"/>
      <c r="C94" s="664"/>
      <c r="D94" s="674"/>
      <c r="E94" s="674"/>
      <c r="F94" s="674"/>
      <c r="G94" s="674"/>
      <c r="H94" s="674"/>
      <c r="I94" s="678"/>
      <c r="J94" s="678"/>
      <c r="K94" s="678"/>
      <c r="L94" s="678"/>
      <c r="M94" s="678"/>
      <c r="N94" s="682"/>
      <c r="O94" s="682"/>
      <c r="P94" s="682"/>
      <c r="Q94" s="682"/>
      <c r="R94" s="677"/>
      <c r="S94" s="677"/>
      <c r="T94" s="678"/>
      <c r="U94" s="678"/>
      <c r="V94" s="664"/>
      <c r="W94" s="664"/>
    </row>
    <row r="95" spans="1:23">
      <c r="A95" s="673"/>
      <c r="B95" s="678"/>
      <c r="C95" s="664"/>
      <c r="D95" s="674"/>
      <c r="E95" s="674"/>
      <c r="F95" s="674"/>
      <c r="G95" s="674"/>
      <c r="H95" s="674"/>
      <c r="I95" s="678"/>
      <c r="J95" s="678"/>
      <c r="K95" s="678"/>
      <c r="L95" s="678"/>
      <c r="M95" s="678"/>
      <c r="N95" s="682"/>
      <c r="O95" s="682"/>
      <c r="P95" s="682"/>
      <c r="Q95" s="682"/>
      <c r="R95" s="677"/>
      <c r="S95" s="677"/>
      <c r="T95" s="678"/>
      <c r="U95" s="678"/>
      <c r="V95" s="664"/>
      <c r="W95" s="664"/>
    </row>
    <row r="96" spans="1:23">
      <c r="A96" s="673"/>
      <c r="B96" s="678"/>
      <c r="C96" s="664"/>
      <c r="D96" s="674"/>
      <c r="E96" s="674"/>
      <c r="F96" s="674"/>
      <c r="G96" s="674"/>
      <c r="H96" s="674"/>
      <c r="I96" s="678"/>
      <c r="J96" s="678"/>
      <c r="K96" s="678"/>
      <c r="L96" s="678"/>
      <c r="M96" s="678"/>
      <c r="N96" s="682"/>
      <c r="O96" s="682"/>
      <c r="P96" s="682"/>
      <c r="Q96" s="682"/>
      <c r="R96" s="677"/>
      <c r="S96" s="677"/>
      <c r="T96" s="678"/>
      <c r="U96" s="678"/>
      <c r="V96" s="664"/>
      <c r="W96" s="664"/>
    </row>
    <row r="97" spans="1:23">
      <c r="A97" s="673"/>
      <c r="B97" s="678"/>
      <c r="C97" s="664"/>
      <c r="D97" s="674"/>
      <c r="E97" s="674"/>
      <c r="F97" s="674"/>
      <c r="G97" s="674"/>
      <c r="H97" s="674"/>
      <c r="I97" s="678"/>
      <c r="J97" s="678"/>
      <c r="K97" s="678"/>
      <c r="L97" s="678"/>
      <c r="M97" s="678"/>
      <c r="N97" s="682"/>
      <c r="O97" s="682"/>
      <c r="P97" s="682"/>
      <c r="Q97" s="682"/>
      <c r="R97" s="677"/>
      <c r="S97" s="677"/>
      <c r="T97" s="664"/>
      <c r="U97" s="664"/>
      <c r="V97" s="664"/>
      <c r="W97" s="664"/>
    </row>
    <row r="98" spans="1:23">
      <c r="A98" s="664"/>
      <c r="B98" s="664"/>
      <c r="C98" s="683"/>
      <c r="D98" s="664"/>
      <c r="E98" s="664"/>
      <c r="F98" s="664"/>
      <c r="G98" s="664"/>
      <c r="H98" s="664"/>
      <c r="I98" s="664"/>
      <c r="J98" s="664"/>
      <c r="K98" s="664"/>
      <c r="L98" s="664"/>
      <c r="M98" s="664"/>
      <c r="N98" s="684"/>
      <c r="O98" s="684"/>
      <c r="P98" s="684"/>
      <c r="Q98" s="684"/>
      <c r="R98" s="664"/>
      <c r="S98" s="664"/>
      <c r="T98" s="664"/>
      <c r="U98" s="664"/>
      <c r="V98" s="664"/>
      <c r="W98" s="664"/>
    </row>
    <row r="99" spans="1:23">
      <c r="A99" s="664"/>
      <c r="B99" s="685"/>
      <c r="C99" s="664"/>
      <c r="D99" s="664"/>
      <c r="E99" s="664"/>
      <c r="F99" s="664"/>
      <c r="G99" s="664"/>
      <c r="H99" s="664"/>
      <c r="I99" s="664"/>
      <c r="J99" s="664"/>
      <c r="K99" s="664"/>
      <c r="L99" s="664"/>
      <c r="M99" s="664"/>
      <c r="N99" s="664"/>
      <c r="O99" s="664"/>
      <c r="P99" s="664"/>
      <c r="Q99" s="664"/>
      <c r="R99" s="664"/>
      <c r="S99" s="664"/>
      <c r="T99" s="664"/>
      <c r="U99" s="664"/>
      <c r="V99" s="664"/>
      <c r="W99" s="664"/>
    </row>
    <row r="100" spans="1:23">
      <c r="A100" s="664"/>
      <c r="B100" s="664"/>
      <c r="C100" s="664"/>
      <c r="D100" s="664"/>
      <c r="E100" s="664"/>
      <c r="F100" s="664"/>
      <c r="G100" s="664"/>
      <c r="H100" s="664"/>
      <c r="I100" s="664"/>
      <c r="J100" s="664"/>
      <c r="K100" s="664"/>
      <c r="L100" s="664"/>
      <c r="M100" s="664"/>
      <c r="N100" s="664"/>
      <c r="O100" s="664"/>
      <c r="P100" s="664"/>
      <c r="Q100" s="664"/>
      <c r="R100" s="664"/>
      <c r="S100" s="664"/>
      <c r="T100" s="664"/>
      <c r="U100" s="664"/>
      <c r="V100" s="664"/>
      <c r="W100" s="664"/>
    </row>
    <row r="101" spans="1:23">
      <c r="A101" s="664"/>
      <c r="B101" s="664"/>
      <c r="C101" s="664"/>
      <c r="D101" s="664"/>
      <c r="E101" s="664"/>
      <c r="F101" s="664"/>
      <c r="G101" s="664"/>
      <c r="H101" s="664"/>
      <c r="I101" s="664"/>
      <c r="J101" s="664"/>
      <c r="K101" s="664"/>
      <c r="L101" s="664"/>
      <c r="M101" s="664"/>
      <c r="N101" s="664"/>
      <c r="O101" s="664"/>
      <c r="P101" s="664"/>
      <c r="Q101" s="664"/>
      <c r="R101" s="664"/>
      <c r="S101" s="664"/>
      <c r="T101" s="664"/>
      <c r="U101" s="664"/>
      <c r="V101" s="664"/>
      <c r="W101" s="664"/>
    </row>
    <row r="102" spans="1:23">
      <c r="A102" s="664"/>
      <c r="B102" s="664"/>
      <c r="C102" s="664"/>
      <c r="D102" s="664"/>
      <c r="E102" s="664"/>
      <c r="F102" s="664"/>
      <c r="G102" s="664"/>
      <c r="H102" s="664"/>
      <c r="I102" s="664"/>
      <c r="J102" s="664"/>
      <c r="K102" s="664"/>
      <c r="L102" s="664"/>
      <c r="M102" s="664"/>
      <c r="N102" s="664"/>
      <c r="O102" s="664"/>
      <c r="P102" s="664"/>
      <c r="Q102" s="664"/>
      <c r="R102" s="664"/>
      <c r="S102" s="664"/>
      <c r="T102" s="664"/>
      <c r="U102" s="664"/>
      <c r="V102" s="664"/>
      <c r="W102" s="664"/>
    </row>
    <row r="103" spans="1:23">
      <c r="A103" s="664"/>
      <c r="B103" s="664"/>
      <c r="C103" s="664"/>
      <c r="D103" s="664"/>
      <c r="E103" s="664"/>
      <c r="F103" s="664"/>
      <c r="G103" s="664"/>
      <c r="H103" s="664"/>
      <c r="I103" s="664"/>
      <c r="J103" s="664"/>
      <c r="K103" s="664"/>
      <c r="L103" s="664"/>
      <c r="M103" s="664"/>
      <c r="N103" s="664"/>
      <c r="O103" s="664"/>
      <c r="P103" s="664"/>
      <c r="Q103" s="664"/>
      <c r="R103" s="664"/>
      <c r="S103" s="664"/>
      <c r="T103" s="664"/>
      <c r="U103" s="664"/>
      <c r="V103" s="664"/>
      <c r="W103" s="664"/>
    </row>
    <row r="104" spans="1:23">
      <c r="A104" s="664"/>
      <c r="B104" s="664"/>
      <c r="C104" s="664"/>
      <c r="D104" s="664"/>
      <c r="E104" s="664"/>
      <c r="F104" s="664"/>
      <c r="G104" s="664"/>
      <c r="H104" s="664"/>
      <c r="I104" s="664"/>
      <c r="J104" s="664"/>
      <c r="K104" s="664"/>
      <c r="L104" s="664"/>
      <c r="M104" s="664"/>
      <c r="N104" s="664"/>
      <c r="O104" s="664"/>
      <c r="P104" s="664"/>
      <c r="Q104" s="664"/>
      <c r="R104" s="664"/>
      <c r="S104" s="664"/>
      <c r="T104" s="664"/>
      <c r="U104" s="664"/>
      <c r="V104" s="664"/>
      <c r="W104" s="664"/>
    </row>
    <row r="105" spans="1:23">
      <c r="A105" s="664"/>
      <c r="B105" s="664"/>
      <c r="C105" s="664"/>
      <c r="D105" s="664"/>
      <c r="E105" s="664"/>
      <c r="F105" s="664"/>
      <c r="G105" s="664"/>
      <c r="H105" s="664"/>
      <c r="I105" s="664"/>
      <c r="J105" s="664"/>
      <c r="K105" s="664"/>
      <c r="L105" s="664"/>
      <c r="M105" s="664"/>
      <c r="N105" s="664"/>
      <c r="O105" s="664"/>
      <c r="P105" s="664"/>
      <c r="Q105" s="664"/>
      <c r="R105" s="664"/>
      <c r="S105" s="664"/>
      <c r="T105" s="664"/>
      <c r="U105" s="664"/>
      <c r="V105" s="664"/>
      <c r="W105" s="664"/>
    </row>
    <row r="106" spans="1:23">
      <c r="A106" s="664"/>
      <c r="B106" s="664"/>
      <c r="C106" s="664"/>
      <c r="D106" s="664"/>
      <c r="E106" s="664"/>
      <c r="F106" s="664"/>
      <c r="G106" s="664"/>
      <c r="H106" s="664"/>
      <c r="I106" s="664"/>
      <c r="J106" s="664"/>
      <c r="K106" s="664"/>
      <c r="L106" s="664"/>
      <c r="M106" s="664"/>
      <c r="N106" s="664"/>
      <c r="O106" s="664"/>
      <c r="P106" s="664"/>
      <c r="Q106" s="664"/>
      <c r="R106" s="664"/>
      <c r="S106" s="664"/>
      <c r="T106" s="664"/>
      <c r="U106" s="664"/>
      <c r="V106" s="664"/>
      <c r="W106" s="664"/>
    </row>
    <row r="107" spans="1:23">
      <c r="A107" s="664"/>
      <c r="B107" s="664"/>
      <c r="C107" s="664"/>
      <c r="D107" s="664"/>
      <c r="E107" s="664"/>
      <c r="F107" s="664"/>
      <c r="G107" s="664"/>
      <c r="H107" s="664"/>
      <c r="I107" s="664"/>
      <c r="J107" s="664"/>
      <c r="K107" s="664"/>
      <c r="L107" s="664"/>
      <c r="M107" s="664"/>
      <c r="N107" s="664"/>
      <c r="O107" s="664"/>
      <c r="P107" s="664"/>
      <c r="Q107" s="664"/>
      <c r="R107" s="664"/>
      <c r="S107" s="664"/>
      <c r="T107" s="664"/>
      <c r="U107" s="664"/>
      <c r="V107" s="664"/>
      <c r="W107" s="664"/>
    </row>
  </sheetData>
  <sheetProtection password="B8D9" sheet="1" objects="1" scenarios="1"/>
  <mergeCells count="3">
    <mergeCell ref="B1:I1"/>
    <mergeCell ref="J1:N3"/>
    <mergeCell ref="B3:I5"/>
  </mergeCells>
  <hyperlinks>
    <hyperlink ref="O2:P3" location="'List of Tables &amp; Charts'!A1" display="return to List of Tables &amp; Charts"/>
    <hyperlink ref="J1:N3" location="'List of Tables &amp; Charts'!A1" display="return to List of Tables &amp; Charts"/>
  </hyperlinks>
  <pageMargins left="0" right="0" top="0.27559055118110237" bottom="0.51181102362204722" header="0.15748031496062992" footer="0.19685039370078741"/>
  <pageSetup paperSize="9" scale="99" orientation="landscape" r:id="rId1"/>
  <headerFooter alignWithMargins="0">
    <oddFooter>&amp;L&amp;8Scottish Stroke Care Audit 2016 National Report
Stroke Services in Scottish Hospitals, Data relating to 2015&amp;R&amp;8© NHS National Services Scotland/Crown Copyright</oddFooter>
  </headerFooter>
  <rowBreaks count="1" manualBreakCount="1">
    <brk id="44" max="16383" man="1"/>
  </rowBreaks>
  <drawing r:id="rId2"/>
</worksheet>
</file>

<file path=xl/worksheets/sheet63.xml><?xml version="1.0" encoding="utf-8"?>
<worksheet xmlns="http://schemas.openxmlformats.org/spreadsheetml/2006/main" xmlns:r="http://schemas.openxmlformats.org/officeDocument/2006/relationships">
  <sheetPr codeName="Sheet76">
    <pageSetUpPr fitToPage="1"/>
  </sheetPr>
  <dimension ref="A1:V60"/>
  <sheetViews>
    <sheetView workbookViewId="0">
      <selection sqref="A1:B1"/>
    </sheetView>
  </sheetViews>
  <sheetFormatPr defaultRowHeight="12.75"/>
  <cols>
    <col min="1" max="1" width="16.7109375" style="214" customWidth="1"/>
    <col min="2" max="2" width="45.7109375" style="214" customWidth="1"/>
    <col min="3" max="3" width="6.7109375" style="371" customWidth="1"/>
    <col min="4" max="4" width="10.7109375" style="371" customWidth="1"/>
    <col min="5" max="5" width="6.7109375" style="371" customWidth="1"/>
    <col min="6" max="6" width="10.7109375" style="371" customWidth="1"/>
    <col min="7" max="7" width="6.7109375" style="371" customWidth="1"/>
    <col min="8" max="8" width="10.7109375" style="371" customWidth="1"/>
    <col min="9" max="12" width="1.7109375" style="371" customWidth="1"/>
    <col min="13" max="13" width="9.28515625" style="214" customWidth="1"/>
    <col min="14" max="14" width="11.28515625" style="214" customWidth="1"/>
    <col min="15" max="15" width="9.28515625" style="214" customWidth="1"/>
    <col min="16" max="16" width="11.28515625" style="214" customWidth="1"/>
    <col min="17" max="17" width="9.28515625" style="214" customWidth="1"/>
    <col min="18" max="18" width="11.28515625" style="214" customWidth="1"/>
    <col min="19" max="16384" width="9.140625" style="214"/>
  </cols>
  <sheetData>
    <row r="1" spans="1:22" ht="50.1" customHeight="1">
      <c r="A1" s="978">
        <v>2014</v>
      </c>
      <c r="B1" s="979"/>
      <c r="C1" s="946" t="s">
        <v>44</v>
      </c>
      <c r="D1" s="946"/>
      <c r="E1" s="946"/>
      <c r="F1" s="946"/>
      <c r="G1" s="946"/>
      <c r="H1" s="946"/>
      <c r="I1" s="221"/>
      <c r="J1" s="222"/>
      <c r="K1" s="980" t="s">
        <v>143</v>
      </c>
      <c r="L1" s="981"/>
      <c r="M1" s="946" t="s">
        <v>288</v>
      </c>
      <c r="N1" s="946"/>
      <c r="O1" s="947" t="s">
        <v>289</v>
      </c>
      <c r="P1" s="948"/>
      <c r="Q1" s="946" t="s">
        <v>290</v>
      </c>
      <c r="R1" s="946"/>
      <c r="S1" s="975"/>
      <c r="T1" s="950"/>
    </row>
    <row r="2" spans="1:22" ht="45" customHeight="1">
      <c r="A2" s="223" t="s">
        <v>26</v>
      </c>
      <c r="B2" s="224" t="s">
        <v>27</v>
      </c>
      <c r="C2" s="225" t="s">
        <v>291</v>
      </c>
      <c r="D2" s="225" t="s">
        <v>55</v>
      </c>
      <c r="E2" s="225" t="s">
        <v>292</v>
      </c>
      <c r="F2" s="225" t="s">
        <v>55</v>
      </c>
      <c r="G2" s="225" t="s">
        <v>293</v>
      </c>
      <c r="H2" s="225" t="s">
        <v>55</v>
      </c>
      <c r="I2" s="226" t="s">
        <v>58</v>
      </c>
      <c r="J2" s="227" t="s">
        <v>59</v>
      </c>
      <c r="K2" s="982"/>
      <c r="L2" s="983"/>
      <c r="M2" s="228" t="s">
        <v>28</v>
      </c>
      <c r="N2" s="228" t="s">
        <v>29</v>
      </c>
      <c r="O2" s="228" t="s">
        <v>28</v>
      </c>
      <c r="P2" s="228" t="s">
        <v>29</v>
      </c>
      <c r="Q2" s="228" t="s">
        <v>28</v>
      </c>
      <c r="R2" s="228" t="s">
        <v>29</v>
      </c>
      <c r="S2" s="229"/>
      <c r="T2" s="229"/>
      <c r="U2" s="230"/>
      <c r="V2" s="230"/>
    </row>
    <row r="3" spans="1:22">
      <c r="A3" s="231" t="s">
        <v>137</v>
      </c>
      <c r="B3" s="231" t="s">
        <v>137</v>
      </c>
      <c r="C3" s="232">
        <f>M3/N3*100</f>
        <v>14.926971762414802</v>
      </c>
      <c r="D3" s="232" t="str">
        <f>IF(AND(AND(N3&gt;0,M3&gt;0),ROUND(SUM(100*((2*M3+1.96^2)-(1.96*(SQRT(1.96^2+4*M3*(1-(M3/N3))))))/(2*(N3+1.96^2))),0)&lt;0),CONCATENATE(SUM(1*0)," - ",ROUND(SUM(100*((2*M3+1.96^2)+(1.96*(SQRT(1.96^2+4*M3*(1-(M3/N3))))))/(2*(N3+1.96^2))),0)),IF(AND(AND(N3&gt;0,M3&gt;0),ROUND(SUM(100*((2*M3+1.96^2)-(1.96*(SQRT(1.96^2+4*M3*(1-(M3/N3))))))/(2*(N3+1.96^2))),0)&gt;=0),CONCATENATE(ROUND(SUM(100*((2*M3+1.96^2)-(1.96*(SQRT(1.96^2+4*M3*(1-(M3/N3))))))/(2*(N3+1.96^2))),0)," - ",ROUND(SUM(100*((2*M3+1.96^2)+(1.96*(SQRT(1.96^2+4*M3*(1-(M3/N3))))))/(2*(N3+1.96^2))),0)),""))</f>
        <v>14 - 16</v>
      </c>
      <c r="E3" s="232">
        <f>O3/P3*100</f>
        <v>70.65238558909445</v>
      </c>
      <c r="F3" s="232" t="str">
        <f>IF(AND(AND(P3&gt;0,O3&gt;0),ROUND(SUM(100*((2*(O3)+1.96^2)-(1.96*(SQRT(1.96^2+4*(O3)*(1-((O3)/P3))))))/(2*(P3+1.96^2))),0)&lt;0),CONCATENATE(SUM(1*0)," - ",ROUND(SUM(100*((2*(O3)+1.96^2)+(1.96*(SQRT(1.96^2+4*(O3)*(1-((O3)/P3))))))/(2*(P3+1.96^2))),0)),IF(AND(AND(P3&gt;0,O3&gt;0),ROUND(SUM(100*((2*(O3)+1.96^2)-(1.96*(SQRT(1.96^2+4*(O3)*(1-((O3)/P3))))))/(2*(P3+1.96^2))),0)&gt;=0),CONCATENATE(ROUND(SUM(100*((2*(O3)+1.96^2)-(1.96*(SQRT(1.96^2+4*(O3)*(1-((O3)/P3))))))/(2*(P3+1.96^2))),0)," - ",ROUND(SUM(100*((2*(O3)+1.96^2)+(1.96*(SQRT(1.96^2+4*(O3)*(1-((O3)/P3))))))/(2*(P3+1.96^2))),0)),""))</f>
        <v>70 - 72</v>
      </c>
      <c r="G3" s="232">
        <f>Q3/R3*100</f>
        <v>14.42064264849075</v>
      </c>
      <c r="H3" s="232" t="str">
        <f>IF(AND(AND(R3&gt;0,Q3&gt;0),ROUND(SUM(100*((2*(Q3)+1.96^2)-(1.96*(SQRT(1.96^2+4*(Q3)*(1-((Q3)/R3))))))/(2*(R3+1.96^2))),0)&lt;0),CONCATENATE(SUM(1*0)," - ",ROUND(SUM(100*((2*(Q3)+1.96^2)+(1.96*(SQRT(1.96^2+4*(Q3)*(1-((Q3)/R3))))))/(2*(R3+1.96^2))),0)),IF(AND(AND(R3&gt;0,Q3&gt;0),ROUND(SUM(100*((2*(Q3)+1.96^2)-(1.96*(SQRT(1.96^2+4*(Q3)*(1-((Q3)/R3))))))/(2*(R3+1.96^2))),0)&gt;=0),CONCATENATE(ROUND(SUM(100*((2*(Q3)+1.96^2)-(1.96*(SQRT(1.96^2+4*(Q3)*(1-((Q3)/R3))))))/(2*(R3+1.96^2))),0)," - ",ROUND(SUM(100*((2*(Q3)+1.96^2)+(1.96*(SQRT(1.96^2+4*(Q3)*(1-((Q3)/R3))))))/(2*(R3+1.96^2))),0)),""))</f>
        <v>14 - 15</v>
      </c>
      <c r="I3" s="238"/>
      <c r="J3" s="239"/>
      <c r="K3" s="962"/>
      <c r="L3" s="963"/>
      <c r="M3" s="438">
        <f t="shared" ref="M3:R3" si="0">SUM(M4:M32)</f>
        <v>1533</v>
      </c>
      <c r="N3" s="438">
        <f t="shared" si="0"/>
        <v>10270</v>
      </c>
      <c r="O3" s="438">
        <f t="shared" si="0"/>
        <v>7256</v>
      </c>
      <c r="P3" s="438">
        <f t="shared" si="0"/>
        <v>10270</v>
      </c>
      <c r="Q3" s="438">
        <f t="shared" si="0"/>
        <v>1481</v>
      </c>
      <c r="R3" s="438">
        <f t="shared" si="0"/>
        <v>10270</v>
      </c>
      <c r="S3" s="237"/>
      <c r="T3" s="237"/>
    </row>
    <row r="4" spans="1:22">
      <c r="A4" s="231" t="s">
        <v>61</v>
      </c>
      <c r="B4" s="231" t="s">
        <v>60</v>
      </c>
      <c r="C4" s="232">
        <f t="shared" ref="C4:C32" si="1">M4/N4*100</f>
        <v>32.735426008968609</v>
      </c>
      <c r="D4" s="232" t="str">
        <f t="shared" ref="D4:D32" si="2">IF(AND(AND(N4&gt;0,M4&gt;0),ROUND(SUM(100*((2*M4+1.96^2)-(1.96*(SQRT(1.96^2+4*M4*(1-(M4/N4))))))/(2*(N4+1.96^2))),0)&lt;0),CONCATENATE(SUM(1*0)," - ",ROUND(SUM(100*((2*M4+1.96^2)+(1.96*(SQRT(1.96^2+4*M4*(1-(M4/N4))))))/(2*(N4+1.96^2))),0)),IF(AND(AND(N4&gt;0,M4&gt;0),ROUND(SUM(100*((2*M4+1.96^2)-(1.96*(SQRT(1.96^2+4*M4*(1-(M4/N4))))))/(2*(N4+1.96^2))),0)&gt;=0),CONCATENATE(ROUND(SUM(100*((2*M4+1.96^2)-(1.96*(SQRT(1.96^2+4*M4*(1-(M4/N4))))))/(2*(N4+1.96^2))),0)," - ",ROUND(SUM(100*((2*M4+1.96^2)+(1.96*(SQRT(1.96^2+4*M4*(1-(M4/N4))))))/(2*(N4+1.96^2))),0)),""))</f>
        <v>29 - 37</v>
      </c>
      <c r="E4" s="232">
        <f>O4/P4*100</f>
        <v>54.035874439461885</v>
      </c>
      <c r="F4" s="232" t="str">
        <f>IF(AND(AND(P4&gt;0,O4&gt;0),ROUND(SUM(100*((2*(O4)+1.96^2)-(1.96*(SQRT(1.96^2+4*(O4)*(1-((O4)/P4))))))/(2*(P4+1.96^2))),0)&lt;0),CONCATENATE(SUM(1*0)," - ",ROUND(SUM(100*((2*(O4)+1.96^2)+(1.96*(SQRT(1.96^2+4*(O4)*(1-((O4)/P4))))))/(2*(P4+1.96^2))),0)),IF(AND(AND(P4&gt;0,O4&gt;0),ROUND(SUM(100*((2*(O4)+1.96^2)-(1.96*(SQRT(1.96^2+4*(O4)*(1-((O4)/P4))))))/(2*(P4+1.96^2))),0)&gt;=0),CONCATENATE(ROUND(SUM(100*((2*(O4)+1.96^2)-(1.96*(SQRT(1.96^2+4*(O4)*(1-((O4)/P4))))))/(2*(P4+1.96^2))),0)," - ",ROUND(SUM(100*((2*(O4)+1.96^2)+(1.96*(SQRT(1.96^2+4*(O4)*(1-((O4)/P4))))))/(2*(P4+1.96^2))),0)),""))</f>
        <v>49 - 59</v>
      </c>
      <c r="G4" s="232">
        <f>Q4/R4*100</f>
        <v>13.228699551569505</v>
      </c>
      <c r="H4" s="232" t="str">
        <f>IF(AND(AND(R4&gt;0,Q4&gt;0),ROUND(SUM(100*((2*(Q4)+1.96^2)-(1.96*(SQRT(1.96^2+4*(Q4)*(1-((Q4)/R4))))))/(2*(R4+1.96^2))),0)&lt;0),CONCATENATE(SUM(1*0)," - ",ROUND(SUM(100*((2*(Q4)+1.96^2)+(1.96*(SQRT(1.96^2+4*(Q4)*(1-((Q4)/R4))))))/(2*(R4+1.96^2))),0)),IF(AND(AND(R4&gt;0,Q4&gt;0),ROUND(SUM(100*((2*(Q4)+1.96^2)-(1.96*(SQRT(1.96^2+4*(Q4)*(1-((Q4)/R4))))))/(2*(R4+1.96^2))),0)&gt;=0),CONCATENATE(ROUND(SUM(100*((2*(Q4)+1.96^2)-(1.96*(SQRT(1.96^2+4*(Q4)*(1-((Q4)/R4))))))/(2*(R4+1.96^2))),0)," - ",ROUND(SUM(100*((2*(Q4)+1.96^2)+(1.96*(SQRT(1.96^2+4*(Q4)*(1-((Q4)/R4))))))/(2*(R4+1.96^2))),0)),""))</f>
        <v>10 - 17</v>
      </c>
      <c r="I4" s="233"/>
      <c r="J4" s="234"/>
      <c r="K4" s="976"/>
      <c r="L4" s="977"/>
      <c r="M4" s="438">
        <v>146</v>
      </c>
      <c r="N4" s="438">
        <v>446</v>
      </c>
      <c r="O4" s="438">
        <v>241</v>
      </c>
      <c r="P4" s="438">
        <v>446</v>
      </c>
      <c r="Q4" s="438">
        <v>59</v>
      </c>
      <c r="R4" s="438">
        <v>446</v>
      </c>
      <c r="S4" s="687"/>
      <c r="T4" s="655"/>
      <c r="U4" s="688"/>
      <c r="V4" s="230"/>
    </row>
    <row r="5" spans="1:22">
      <c r="A5" s="231" t="s">
        <v>63</v>
      </c>
      <c r="B5" s="231" t="s">
        <v>64</v>
      </c>
      <c r="C5" s="232">
        <f t="shared" si="1"/>
        <v>26.21145374449339</v>
      </c>
      <c r="D5" s="232" t="str">
        <f t="shared" si="2"/>
        <v>22 - 30</v>
      </c>
      <c r="E5" s="232">
        <f t="shared" ref="E5:E32" si="3">O5/P5*100</f>
        <v>58.149779735682813</v>
      </c>
      <c r="F5" s="232" t="str">
        <f t="shared" ref="F5:F32" si="4">IF(AND(AND(P5&gt;0,O5&gt;0),ROUND(SUM(100*((2*(O5)+1.96^2)-(1.96*(SQRT(1.96^2+4*(O5)*(1-((O5)/P5))))))/(2*(P5+1.96^2))),0)&lt;0),CONCATENATE(SUM(1*0)," - ",ROUND(SUM(100*((2*(O5)+1.96^2)+(1.96*(SQRT(1.96^2+4*(O5)*(1-((O5)/P5))))))/(2*(P5+1.96^2))),0)),IF(AND(AND(P5&gt;0,O5&gt;0),ROUND(SUM(100*((2*(O5)+1.96^2)-(1.96*(SQRT(1.96^2+4*(O5)*(1-((O5)/P5))))))/(2*(P5+1.96^2))),0)&gt;=0),CONCATENATE(ROUND(SUM(100*((2*(O5)+1.96^2)-(1.96*(SQRT(1.96^2+4*(O5)*(1-((O5)/P5))))))/(2*(P5+1.96^2))),0)," - ",ROUND(SUM(100*((2*(O5)+1.96^2)+(1.96*(SQRT(1.96^2+4*(O5)*(1-((O5)/P5))))))/(2*(P5+1.96^2))),0)),""))</f>
        <v>54 - 63</v>
      </c>
      <c r="G5" s="232">
        <f t="shared" ref="G5:G32" si="5">Q5/R5*100</f>
        <v>15.638766519823788</v>
      </c>
      <c r="H5" s="232" t="str">
        <f t="shared" ref="H5:H32" si="6">IF(AND(AND(R5&gt;0,Q5&gt;0),ROUND(SUM(100*((2*(Q5)+1.96^2)-(1.96*(SQRT(1.96^2+4*(Q5)*(1-((Q5)/R5))))))/(2*(R5+1.96^2))),0)&lt;0),CONCATENATE(SUM(1*0)," - ",ROUND(SUM(100*((2*(Q5)+1.96^2)+(1.96*(SQRT(1.96^2+4*(Q5)*(1-((Q5)/R5))))))/(2*(R5+1.96^2))),0)),IF(AND(AND(R5&gt;0,Q5&gt;0),ROUND(SUM(100*((2*(Q5)+1.96^2)-(1.96*(SQRT(1.96^2+4*(Q5)*(1-((Q5)/R5))))))/(2*(R5+1.96^2))),0)&gt;=0),CONCATENATE(ROUND(SUM(100*((2*(Q5)+1.96^2)-(1.96*(SQRT(1.96^2+4*(Q5)*(1-((Q5)/R5))))))/(2*(R5+1.96^2))),0)," - ",ROUND(SUM(100*((2*(Q5)+1.96^2)+(1.96*(SQRT(1.96^2+4*(Q5)*(1-((Q5)/R5))))))/(2*(R5+1.96^2))),0)),""))</f>
        <v>13 - 19</v>
      </c>
      <c r="I5" s="235"/>
      <c r="J5" s="236"/>
      <c r="K5" s="960"/>
      <c r="L5" s="961"/>
      <c r="M5" s="438">
        <v>119</v>
      </c>
      <c r="N5" s="438">
        <v>454</v>
      </c>
      <c r="O5" s="438">
        <v>264</v>
      </c>
      <c r="P5" s="438">
        <v>454</v>
      </c>
      <c r="Q5" s="438">
        <v>71</v>
      </c>
      <c r="R5" s="438">
        <v>454</v>
      </c>
      <c r="S5" s="686"/>
      <c r="T5" s="655"/>
      <c r="U5" s="688"/>
    </row>
    <row r="6" spans="1:22">
      <c r="A6" s="231" t="s">
        <v>30</v>
      </c>
      <c r="B6" s="231" t="s">
        <v>66</v>
      </c>
      <c r="C6" s="232">
        <f t="shared" si="1"/>
        <v>8.0357142857142865</v>
      </c>
      <c r="D6" s="232" t="str">
        <f t="shared" si="2"/>
        <v>5 - 12</v>
      </c>
      <c r="E6" s="232">
        <f t="shared" si="3"/>
        <v>82.589285714285708</v>
      </c>
      <c r="F6" s="232" t="str">
        <f t="shared" si="4"/>
        <v>77 - 87</v>
      </c>
      <c r="G6" s="232">
        <f t="shared" si="5"/>
        <v>9.375</v>
      </c>
      <c r="H6" s="232" t="str">
        <f t="shared" si="6"/>
        <v>6 - 14</v>
      </c>
      <c r="I6" s="235"/>
      <c r="J6" s="236"/>
      <c r="K6" s="960"/>
      <c r="L6" s="961"/>
      <c r="M6" s="438">
        <v>18</v>
      </c>
      <c r="N6" s="438">
        <v>224</v>
      </c>
      <c r="O6" s="438">
        <v>185</v>
      </c>
      <c r="P6" s="438">
        <v>224</v>
      </c>
      <c r="Q6" s="438">
        <v>21</v>
      </c>
      <c r="R6" s="438">
        <v>224</v>
      </c>
      <c r="S6" s="686"/>
      <c r="T6" s="655"/>
      <c r="U6" s="688"/>
    </row>
    <row r="7" spans="1:22">
      <c r="A7" s="231" t="s">
        <v>68</v>
      </c>
      <c r="B7" s="231" t="s">
        <v>69</v>
      </c>
      <c r="C7" s="232">
        <f t="shared" si="1"/>
        <v>11.578947368421053</v>
      </c>
      <c r="D7" s="232" t="str">
        <f t="shared" si="2"/>
        <v>8 - 16</v>
      </c>
      <c r="E7" s="232">
        <f t="shared" si="3"/>
        <v>70.526315789473685</v>
      </c>
      <c r="F7" s="232" t="str">
        <f t="shared" si="4"/>
        <v>65 - 76</v>
      </c>
      <c r="G7" s="232">
        <f t="shared" si="5"/>
        <v>17.894736842105264</v>
      </c>
      <c r="H7" s="232" t="str">
        <f t="shared" si="6"/>
        <v>14 - 23</v>
      </c>
      <c r="I7" s="235"/>
      <c r="J7" s="236"/>
      <c r="K7" s="960"/>
      <c r="L7" s="961"/>
      <c r="M7" s="438">
        <v>33</v>
      </c>
      <c r="N7" s="438">
        <v>285</v>
      </c>
      <c r="O7" s="438">
        <v>201</v>
      </c>
      <c r="P7" s="438">
        <v>285</v>
      </c>
      <c r="Q7" s="438">
        <v>51</v>
      </c>
      <c r="R7" s="438">
        <v>285</v>
      </c>
      <c r="S7" s="686"/>
      <c r="T7" s="655"/>
      <c r="U7" s="688"/>
    </row>
    <row r="8" spans="1:22">
      <c r="A8" s="231" t="s">
        <v>71</v>
      </c>
      <c r="B8" s="231" t="s">
        <v>72</v>
      </c>
      <c r="C8" s="232">
        <f t="shared" si="1"/>
        <v>13.333333333333334</v>
      </c>
      <c r="D8" s="232" t="str">
        <f t="shared" si="2"/>
        <v>6 - 26</v>
      </c>
      <c r="E8" s="232">
        <f t="shared" si="3"/>
        <v>82.222222222222214</v>
      </c>
      <c r="F8" s="232" t="str">
        <f t="shared" si="4"/>
        <v>69 - 91</v>
      </c>
      <c r="G8" s="232">
        <f t="shared" si="5"/>
        <v>4.4444444444444446</v>
      </c>
      <c r="H8" s="232" t="str">
        <f t="shared" si="6"/>
        <v>1 - 15</v>
      </c>
      <c r="I8" s="235"/>
      <c r="J8" s="236"/>
      <c r="K8" s="960"/>
      <c r="L8" s="961"/>
      <c r="M8" s="438">
        <v>6</v>
      </c>
      <c r="N8" s="438">
        <v>45</v>
      </c>
      <c r="O8" s="438">
        <v>37</v>
      </c>
      <c r="P8" s="438">
        <v>45</v>
      </c>
      <c r="Q8" s="438">
        <v>2</v>
      </c>
      <c r="R8" s="438">
        <v>45</v>
      </c>
      <c r="S8" s="686"/>
      <c r="T8" s="655"/>
      <c r="U8" s="688"/>
    </row>
    <row r="9" spans="1:22">
      <c r="A9" s="231" t="s">
        <v>177</v>
      </c>
      <c r="B9" s="231" t="s">
        <v>74</v>
      </c>
      <c r="C9" s="232">
        <f t="shared" si="1"/>
        <v>8.7082728592162546</v>
      </c>
      <c r="D9" s="232" t="str">
        <f t="shared" si="2"/>
        <v>7 - 11</v>
      </c>
      <c r="E9" s="232">
        <f t="shared" si="3"/>
        <v>76.487663280116109</v>
      </c>
      <c r="F9" s="232" t="str">
        <f t="shared" si="4"/>
        <v>73 - 80</v>
      </c>
      <c r="G9" s="232">
        <f t="shared" si="5"/>
        <v>14.804063860667634</v>
      </c>
      <c r="H9" s="232" t="str">
        <f t="shared" si="6"/>
        <v>12 - 18</v>
      </c>
      <c r="I9" s="235"/>
      <c r="J9" s="236"/>
      <c r="K9" s="960"/>
      <c r="L9" s="961"/>
      <c r="M9" s="438">
        <v>60</v>
      </c>
      <c r="N9" s="438">
        <v>689</v>
      </c>
      <c r="O9" s="438">
        <v>527</v>
      </c>
      <c r="P9" s="438">
        <v>689</v>
      </c>
      <c r="Q9" s="438">
        <v>102</v>
      </c>
      <c r="R9" s="438">
        <v>689</v>
      </c>
      <c r="S9" s="686"/>
      <c r="T9" s="655"/>
      <c r="U9" s="688"/>
    </row>
    <row r="10" spans="1:22">
      <c r="A10" s="231" t="s">
        <v>186</v>
      </c>
      <c r="B10" s="231" t="s">
        <v>76</v>
      </c>
      <c r="C10" s="232">
        <f t="shared" si="1"/>
        <v>9.8039215686274517</v>
      </c>
      <c r="D10" s="232" t="str">
        <f t="shared" si="2"/>
        <v>8 - 13</v>
      </c>
      <c r="E10" s="232">
        <f t="shared" si="3"/>
        <v>69.696969696969703</v>
      </c>
      <c r="F10" s="232" t="str">
        <f t="shared" si="4"/>
        <v>66 - 73</v>
      </c>
      <c r="G10" s="232">
        <f t="shared" si="5"/>
        <v>20.499108734402853</v>
      </c>
      <c r="H10" s="232" t="str">
        <f t="shared" si="6"/>
        <v>17 - 24</v>
      </c>
      <c r="I10" s="235"/>
      <c r="J10" s="236"/>
      <c r="K10" s="960"/>
      <c r="L10" s="961"/>
      <c r="M10" s="438">
        <v>55</v>
      </c>
      <c r="N10" s="438">
        <v>561</v>
      </c>
      <c r="O10" s="438">
        <v>391</v>
      </c>
      <c r="P10" s="438">
        <v>561</v>
      </c>
      <c r="Q10" s="438">
        <v>115</v>
      </c>
      <c r="R10" s="438">
        <v>561</v>
      </c>
      <c r="S10" s="686"/>
      <c r="T10" s="655"/>
      <c r="U10" s="688"/>
    </row>
    <row r="11" spans="1:22">
      <c r="A11" s="231" t="s">
        <v>178</v>
      </c>
      <c r="B11" s="231" t="s">
        <v>78</v>
      </c>
      <c r="C11" s="232">
        <f t="shared" si="1"/>
        <v>8.1723625557206532</v>
      </c>
      <c r="D11" s="232" t="str">
        <f t="shared" si="2"/>
        <v>6 - 10</v>
      </c>
      <c r="E11" s="232">
        <f t="shared" si="3"/>
        <v>70.133729569093603</v>
      </c>
      <c r="F11" s="232" t="str">
        <f t="shared" si="4"/>
        <v>67 - 73</v>
      </c>
      <c r="G11" s="232">
        <f t="shared" si="5"/>
        <v>21.693907875185737</v>
      </c>
      <c r="H11" s="232" t="str">
        <f t="shared" si="6"/>
        <v>19 - 25</v>
      </c>
      <c r="I11" s="235"/>
      <c r="J11" s="236"/>
      <c r="K11" s="960"/>
      <c r="L11" s="961"/>
      <c r="M11" s="438">
        <v>55</v>
      </c>
      <c r="N11" s="438">
        <v>673</v>
      </c>
      <c r="O11" s="438">
        <v>472</v>
      </c>
      <c r="P11" s="438">
        <v>673</v>
      </c>
      <c r="Q11" s="438">
        <v>146</v>
      </c>
      <c r="R11" s="438">
        <v>673</v>
      </c>
      <c r="S11" s="686"/>
      <c r="T11" s="655"/>
      <c r="U11" s="688"/>
    </row>
    <row r="12" spans="1:22">
      <c r="A12" s="231" t="s">
        <v>80</v>
      </c>
      <c r="B12" s="231" t="s">
        <v>81</v>
      </c>
      <c r="C12" s="232">
        <f t="shared" si="1"/>
        <v>1.8181818181818181</v>
      </c>
      <c r="D12" s="232" t="str">
        <f t="shared" si="2"/>
        <v>1 - 6</v>
      </c>
      <c r="E12" s="232">
        <f t="shared" si="3"/>
        <v>95.454545454545453</v>
      </c>
      <c r="F12" s="232" t="str">
        <f t="shared" si="4"/>
        <v>90 - 98</v>
      </c>
      <c r="G12" s="232">
        <f t="shared" si="5"/>
        <v>2.7272727272727271</v>
      </c>
      <c r="H12" s="232" t="str">
        <f t="shared" si="6"/>
        <v>1 - 8</v>
      </c>
      <c r="I12" s="235"/>
      <c r="J12" s="236"/>
      <c r="K12" s="960"/>
      <c r="L12" s="961"/>
      <c r="M12" s="438">
        <v>2</v>
      </c>
      <c r="N12" s="438">
        <v>110</v>
      </c>
      <c r="O12" s="438">
        <v>105</v>
      </c>
      <c r="P12" s="438">
        <v>110</v>
      </c>
      <c r="Q12" s="438">
        <v>3</v>
      </c>
      <c r="R12" s="438">
        <v>110</v>
      </c>
      <c r="S12" s="686"/>
      <c r="T12" s="655"/>
      <c r="U12" s="688"/>
    </row>
    <row r="13" spans="1:22">
      <c r="A13" s="231" t="s">
        <v>187</v>
      </c>
      <c r="B13" s="231" t="s">
        <v>83</v>
      </c>
      <c r="C13" s="232">
        <f t="shared" si="1"/>
        <v>25.11415525114155</v>
      </c>
      <c r="D13" s="232" t="str">
        <f t="shared" si="2"/>
        <v>22 - 29</v>
      </c>
      <c r="E13" s="232">
        <f t="shared" si="3"/>
        <v>65.753424657534239</v>
      </c>
      <c r="F13" s="232" t="str">
        <f t="shared" si="4"/>
        <v>62 - 69</v>
      </c>
      <c r="G13" s="232">
        <f t="shared" si="5"/>
        <v>9.1324200913241995</v>
      </c>
      <c r="H13" s="232" t="str">
        <f t="shared" si="6"/>
        <v>7 - 12</v>
      </c>
      <c r="I13" s="235"/>
      <c r="J13" s="236"/>
      <c r="K13" s="960"/>
      <c r="L13" s="961"/>
      <c r="M13" s="438">
        <v>165</v>
      </c>
      <c r="N13" s="438">
        <v>657</v>
      </c>
      <c r="O13" s="438">
        <v>432</v>
      </c>
      <c r="P13" s="438">
        <v>657</v>
      </c>
      <c r="Q13" s="438">
        <v>60</v>
      </c>
      <c r="R13" s="438">
        <v>657</v>
      </c>
      <c r="S13" s="686"/>
      <c r="T13" s="655"/>
      <c r="U13" s="688"/>
    </row>
    <row r="14" spans="1:22">
      <c r="A14" s="231" t="s">
        <v>85</v>
      </c>
      <c r="B14" s="231" t="s">
        <v>86</v>
      </c>
      <c r="C14" s="232">
        <f t="shared" si="1"/>
        <v>18.823529411764707</v>
      </c>
      <c r="D14" s="232" t="str">
        <f t="shared" si="2"/>
        <v>15 - 24</v>
      </c>
      <c r="E14" s="232">
        <f t="shared" si="3"/>
        <v>65.490196078431367</v>
      </c>
      <c r="F14" s="232" t="str">
        <f t="shared" si="4"/>
        <v>59 - 71</v>
      </c>
      <c r="G14" s="232">
        <f t="shared" si="5"/>
        <v>15.686274509803921</v>
      </c>
      <c r="H14" s="232" t="str">
        <f t="shared" si="6"/>
        <v>12 - 21</v>
      </c>
      <c r="I14" s="235"/>
      <c r="J14" s="236"/>
      <c r="K14" s="960"/>
      <c r="L14" s="961"/>
      <c r="M14" s="438">
        <v>48</v>
      </c>
      <c r="N14" s="438">
        <v>255</v>
      </c>
      <c r="O14" s="438">
        <v>167</v>
      </c>
      <c r="P14" s="438">
        <v>255</v>
      </c>
      <c r="Q14" s="438">
        <v>40</v>
      </c>
      <c r="R14" s="438">
        <v>255</v>
      </c>
      <c r="S14" s="686"/>
      <c r="T14" s="655"/>
      <c r="U14" s="688"/>
    </row>
    <row r="15" spans="1:22">
      <c r="A15" s="231" t="s">
        <v>532</v>
      </c>
      <c r="B15" s="231" t="s">
        <v>533</v>
      </c>
      <c r="C15" s="232">
        <f t="shared" si="1"/>
        <v>19.78319783197832</v>
      </c>
      <c r="D15" s="232" t="str">
        <f t="shared" si="2"/>
        <v>18 - 22</v>
      </c>
      <c r="E15" s="232">
        <f t="shared" si="3"/>
        <v>72.289972899728994</v>
      </c>
      <c r="F15" s="232" t="str">
        <f t="shared" si="4"/>
        <v>70 - 75</v>
      </c>
      <c r="G15" s="232">
        <f t="shared" si="5"/>
        <v>7.9268292682926829</v>
      </c>
      <c r="H15" s="232" t="str">
        <f t="shared" si="6"/>
        <v>7 - 9</v>
      </c>
      <c r="I15" s="235"/>
      <c r="J15" s="236"/>
      <c r="K15" s="960"/>
      <c r="L15" s="961"/>
      <c r="M15" s="438">
        <v>292</v>
      </c>
      <c r="N15" s="438">
        <v>1476</v>
      </c>
      <c r="O15" s="438">
        <v>1067</v>
      </c>
      <c r="P15" s="438">
        <v>1476</v>
      </c>
      <c r="Q15" s="438">
        <v>117</v>
      </c>
      <c r="R15" s="438">
        <v>1476</v>
      </c>
      <c r="S15" s="686"/>
      <c r="T15" s="655"/>
      <c r="U15" s="688"/>
    </row>
    <row r="16" spans="1:22">
      <c r="A16" s="231" t="s">
        <v>188</v>
      </c>
      <c r="B16" s="231" t="s">
        <v>88</v>
      </c>
      <c r="C16" s="232">
        <f t="shared" si="1"/>
        <v>23.602484472049689</v>
      </c>
      <c r="D16" s="232" t="str">
        <f t="shared" si="2"/>
        <v>20 - 28</v>
      </c>
      <c r="E16" s="232">
        <f t="shared" si="3"/>
        <v>64.389233954451342</v>
      </c>
      <c r="F16" s="232" t="str">
        <f t="shared" si="4"/>
        <v>60 - 69</v>
      </c>
      <c r="G16" s="232">
        <f t="shared" si="5"/>
        <v>12.008281573498964</v>
      </c>
      <c r="H16" s="232" t="str">
        <f t="shared" si="6"/>
        <v>9 - 15</v>
      </c>
      <c r="I16" s="235"/>
      <c r="J16" s="236"/>
      <c r="K16" s="960"/>
      <c r="L16" s="961"/>
      <c r="M16" s="438">
        <v>114</v>
      </c>
      <c r="N16" s="438">
        <v>483</v>
      </c>
      <c r="O16" s="438">
        <v>311</v>
      </c>
      <c r="P16" s="438">
        <v>483</v>
      </c>
      <c r="Q16" s="438">
        <v>58</v>
      </c>
      <c r="R16" s="438">
        <v>483</v>
      </c>
      <c r="S16" s="686"/>
      <c r="T16" s="655"/>
      <c r="U16" s="688"/>
    </row>
    <row r="17" spans="1:21">
      <c r="A17" s="231" t="s">
        <v>92</v>
      </c>
      <c r="B17" s="231" t="s">
        <v>93</v>
      </c>
      <c r="C17" s="232">
        <f t="shared" si="1"/>
        <v>3.225806451612903</v>
      </c>
      <c r="D17" s="232" t="str">
        <f t="shared" si="2"/>
        <v>1 - 16</v>
      </c>
      <c r="E17" s="232">
        <f t="shared" si="3"/>
        <v>87.096774193548384</v>
      </c>
      <c r="F17" s="232" t="str">
        <f t="shared" si="4"/>
        <v>71 - 95</v>
      </c>
      <c r="G17" s="232">
        <f t="shared" si="5"/>
        <v>9.67741935483871</v>
      </c>
      <c r="H17" s="232" t="str">
        <f t="shared" si="6"/>
        <v>3 - 25</v>
      </c>
      <c r="I17" s="235"/>
      <c r="J17" s="236"/>
      <c r="K17" s="960"/>
      <c r="L17" s="961"/>
      <c r="M17" s="438">
        <v>1</v>
      </c>
      <c r="N17" s="438">
        <v>31</v>
      </c>
      <c r="O17" s="438">
        <v>27</v>
      </c>
      <c r="P17" s="438">
        <v>31</v>
      </c>
      <c r="Q17" s="438">
        <v>3</v>
      </c>
      <c r="R17" s="438">
        <v>31</v>
      </c>
      <c r="S17" s="686"/>
      <c r="T17" s="655"/>
      <c r="U17" s="688"/>
    </row>
    <row r="18" spans="1:21">
      <c r="A18" s="231" t="s">
        <v>95</v>
      </c>
      <c r="B18" s="231" t="s">
        <v>96</v>
      </c>
      <c r="C18" s="232">
        <f t="shared" si="1"/>
        <v>7.8947368421052628</v>
      </c>
      <c r="D18" s="232" t="str">
        <f t="shared" si="2"/>
        <v>4 - 16</v>
      </c>
      <c r="E18" s="232">
        <f t="shared" si="3"/>
        <v>75</v>
      </c>
      <c r="F18" s="232" t="str">
        <f t="shared" si="4"/>
        <v>64 - 83</v>
      </c>
      <c r="G18" s="232">
        <f t="shared" si="5"/>
        <v>17.105263157894736</v>
      </c>
      <c r="H18" s="232" t="str">
        <f t="shared" si="6"/>
        <v>10 - 27</v>
      </c>
      <c r="I18" s="235"/>
      <c r="J18" s="236"/>
      <c r="K18" s="960"/>
      <c r="L18" s="961"/>
      <c r="M18" s="438">
        <v>6</v>
      </c>
      <c r="N18" s="438">
        <v>76</v>
      </c>
      <c r="O18" s="438">
        <v>57</v>
      </c>
      <c r="P18" s="438">
        <v>76</v>
      </c>
      <c r="Q18" s="438">
        <v>13</v>
      </c>
      <c r="R18" s="438">
        <v>76</v>
      </c>
      <c r="S18" s="686"/>
      <c r="T18" s="655"/>
      <c r="U18" s="688"/>
    </row>
    <row r="19" spans="1:21">
      <c r="A19" s="231" t="s">
        <v>98</v>
      </c>
      <c r="B19" s="231" t="s">
        <v>99</v>
      </c>
      <c r="C19" s="232">
        <f t="shared" si="1"/>
        <v>16</v>
      </c>
      <c r="D19" s="232" t="str">
        <f t="shared" si="2"/>
        <v>8 - 29</v>
      </c>
      <c r="E19" s="232">
        <f t="shared" si="3"/>
        <v>80</v>
      </c>
      <c r="F19" s="232" t="str">
        <f t="shared" si="4"/>
        <v>67 - 89</v>
      </c>
      <c r="G19" s="232">
        <f t="shared" si="5"/>
        <v>4</v>
      </c>
      <c r="H19" s="232" t="str">
        <f t="shared" si="6"/>
        <v>1 - 13</v>
      </c>
      <c r="I19" s="235"/>
      <c r="J19" s="236"/>
      <c r="K19" s="960"/>
      <c r="L19" s="961"/>
      <c r="M19" s="438">
        <v>8</v>
      </c>
      <c r="N19" s="438">
        <v>50</v>
      </c>
      <c r="O19" s="438">
        <v>40</v>
      </c>
      <c r="P19" s="438">
        <v>50</v>
      </c>
      <c r="Q19" s="438">
        <v>2</v>
      </c>
      <c r="R19" s="438">
        <v>50</v>
      </c>
      <c r="S19" s="686"/>
      <c r="T19" s="655"/>
      <c r="U19" s="688"/>
    </row>
    <row r="20" spans="1:21">
      <c r="A20" s="231" t="s">
        <v>101</v>
      </c>
      <c r="B20" s="231" t="s">
        <v>102</v>
      </c>
      <c r="C20" s="232">
        <f t="shared" si="1"/>
        <v>9.4707520891364894</v>
      </c>
      <c r="D20" s="232" t="str">
        <f t="shared" si="2"/>
        <v>7 - 13</v>
      </c>
      <c r="E20" s="232">
        <f t="shared" si="3"/>
        <v>86.629526462395546</v>
      </c>
      <c r="F20" s="232" t="str">
        <f t="shared" si="4"/>
        <v>83 - 90</v>
      </c>
      <c r="G20" s="232">
        <f t="shared" si="5"/>
        <v>3.8997214484679668</v>
      </c>
      <c r="H20" s="232" t="str">
        <f t="shared" si="6"/>
        <v>2 - 6</v>
      </c>
      <c r="I20" s="235"/>
      <c r="J20" s="236"/>
      <c r="K20" s="960"/>
      <c r="L20" s="961"/>
      <c r="M20" s="438">
        <v>34</v>
      </c>
      <c r="N20" s="438">
        <v>359</v>
      </c>
      <c r="O20" s="438">
        <v>311</v>
      </c>
      <c r="P20" s="438">
        <v>359</v>
      </c>
      <c r="Q20" s="438">
        <v>14</v>
      </c>
      <c r="R20" s="438">
        <v>359</v>
      </c>
      <c r="S20" s="686"/>
      <c r="T20" s="655"/>
      <c r="U20" s="688"/>
    </row>
    <row r="21" spans="1:21">
      <c r="A21" s="231" t="s">
        <v>104</v>
      </c>
      <c r="B21" s="231" t="s">
        <v>105</v>
      </c>
      <c r="C21" s="232">
        <f t="shared" si="1"/>
        <v>1.0452961672473868</v>
      </c>
      <c r="D21" s="232" t="str">
        <f t="shared" si="2"/>
        <v>0 - 3</v>
      </c>
      <c r="E21" s="232">
        <f t="shared" si="3"/>
        <v>65.505226480836228</v>
      </c>
      <c r="F21" s="232" t="str">
        <f t="shared" si="4"/>
        <v>60 - 71</v>
      </c>
      <c r="G21" s="232">
        <f t="shared" si="5"/>
        <v>33.449477351916379</v>
      </c>
      <c r="H21" s="232" t="str">
        <f t="shared" si="6"/>
        <v>28 - 39</v>
      </c>
      <c r="I21" s="235"/>
      <c r="J21" s="236"/>
      <c r="K21" s="960"/>
      <c r="L21" s="961"/>
      <c r="M21" s="438">
        <v>3</v>
      </c>
      <c r="N21" s="438">
        <v>287</v>
      </c>
      <c r="O21" s="438">
        <v>188</v>
      </c>
      <c r="P21" s="438">
        <v>287</v>
      </c>
      <c r="Q21" s="438">
        <v>96</v>
      </c>
      <c r="R21" s="438">
        <v>287</v>
      </c>
      <c r="S21" s="686"/>
      <c r="T21" s="655"/>
      <c r="U21" s="688"/>
    </row>
    <row r="22" spans="1:21">
      <c r="A22" s="231" t="s">
        <v>107</v>
      </c>
      <c r="B22" s="231" t="s">
        <v>108</v>
      </c>
      <c r="C22" s="232">
        <f>M22/N22*100</f>
        <v>0.67114093959731547</v>
      </c>
      <c r="D22" s="232" t="str">
        <f>IF(AND(AND(N22&gt;0,M22&gt;0),ROUND(SUM(100*((2*M22+1.96^2)-(1.96*(SQRT(1.96^2+4*M22*(1-(M22/N22))))))/(2*(N22+1.96^2))),0)&lt;0),CONCATENATE(SUM(1*0)," - ",ROUND(SUM(100*((2*M22+1.96^2)+(1.96*(SQRT(1.96^2+4*M22*(1-(M22/N22))))))/(2*(N22+1.96^2))),0)),IF(AND(AND(N22&gt;0,M22&gt;0),ROUND(SUM(100*((2*M22+1.96^2)-(1.96*(SQRT(1.96^2+4*M22*(1-(M22/N22))))))/(2*(N22+1.96^2))),0)&gt;=0),CONCATENATE(ROUND(SUM(100*((2*M22+1.96^2)-(1.96*(SQRT(1.96^2+4*M22*(1-(M22/N22))))))/(2*(N22+1.96^2))),0)," - ",ROUND(SUM(100*((2*M22+1.96^2)+(1.96*(SQRT(1.96^2+4*M22*(1-(M22/N22))))))/(2*(N22+1.96^2))),0)),""))</f>
        <v>0 - 2</v>
      </c>
      <c r="E22" s="232">
        <f>O22/P22*100</f>
        <v>76.510067114093957</v>
      </c>
      <c r="F22" s="232" t="str">
        <f>IF(AND(AND(P22&gt;0,O22&gt;0),ROUND(SUM(100*((2*(O22)+1.96^2)-(1.96*(SQRT(1.96^2+4*(O22)*(1-((O22)/P22))))))/(2*(P22+1.96^2))),0)&lt;0),CONCATENATE(SUM(1*0)," - ",ROUND(SUM(100*((2*(O22)+1.96^2)+(1.96*(SQRT(1.96^2+4*(O22)*(1-((O22)/P22))))))/(2*(P22+1.96^2))),0)),IF(AND(AND(P22&gt;0,O22&gt;0),ROUND(SUM(100*((2*(O22)+1.96^2)-(1.96*(SQRT(1.96^2+4*(O22)*(1-((O22)/P22))))))/(2*(P22+1.96^2))),0)&gt;=0),CONCATENATE(ROUND(SUM(100*((2*(O22)+1.96^2)-(1.96*(SQRT(1.96^2+4*(O22)*(1-((O22)/P22))))))/(2*(P22+1.96^2))),0)," - ",ROUND(SUM(100*((2*(O22)+1.96^2)+(1.96*(SQRT(1.96^2+4*(O22)*(1-((O22)/P22))))))/(2*(P22+1.96^2))),0)),""))</f>
        <v>71 - 81</v>
      </c>
      <c r="G22" s="232">
        <f>Q22/R22*100</f>
        <v>22.818791946308725</v>
      </c>
      <c r="H22" s="232" t="str">
        <f>IF(AND(AND(R22&gt;0,Q22&gt;0),ROUND(SUM(100*((2*(Q22)+1.96^2)-(1.96*(SQRT(1.96^2+4*(Q22)*(1-((Q22)/R22))))))/(2*(R22+1.96^2))),0)&lt;0),CONCATENATE(SUM(1*0)," - ",ROUND(SUM(100*((2*(Q22)+1.96^2)+(1.96*(SQRT(1.96^2+4*(Q22)*(1-((Q22)/R22))))))/(2*(R22+1.96^2))),0)),IF(AND(AND(R22&gt;0,Q22&gt;0),ROUND(SUM(100*((2*(Q22)+1.96^2)-(1.96*(SQRT(1.96^2+4*(Q22)*(1-((Q22)/R22))))))/(2*(R22+1.96^2))),0)&gt;=0),CONCATENATE(ROUND(SUM(100*((2*(Q22)+1.96^2)-(1.96*(SQRT(1.96^2+4*(Q22)*(1-((Q22)/R22))))))/(2*(R22+1.96^2))),0)," - ",ROUND(SUM(100*((2*(Q22)+1.96^2)+(1.96*(SQRT(1.96^2+4*(Q22)*(1-((Q22)/R22))))))/(2*(R22+1.96^2))),0)),""))</f>
        <v>18 - 28</v>
      </c>
      <c r="I22" s="235"/>
      <c r="J22" s="236"/>
      <c r="K22" s="960"/>
      <c r="L22" s="961"/>
      <c r="M22" s="438">
        <v>2</v>
      </c>
      <c r="N22" s="438">
        <v>298</v>
      </c>
      <c r="O22" s="438">
        <v>228</v>
      </c>
      <c r="P22" s="438">
        <v>298</v>
      </c>
      <c r="Q22" s="438">
        <v>68</v>
      </c>
      <c r="R22" s="438">
        <v>298</v>
      </c>
      <c r="S22" s="686"/>
      <c r="T22" s="655"/>
      <c r="U22" s="688"/>
    </row>
    <row r="23" spans="1:21">
      <c r="A23" s="231" t="s">
        <v>110</v>
      </c>
      <c r="B23" s="231" t="s">
        <v>109</v>
      </c>
      <c r="C23" s="232">
        <f>M23/N23*100</f>
        <v>6.7750677506775059</v>
      </c>
      <c r="D23" s="232" t="str">
        <f>IF(AND(AND(N23&gt;0,M23&gt;0),ROUND(SUM(100*((2*M23+1.96^2)-(1.96*(SQRT(1.96^2+4*M23*(1-(M23/N23))))))/(2*(N23+1.96^2))),0)&lt;0),CONCATENATE(SUM(1*0)," - ",ROUND(SUM(100*((2*M23+1.96^2)+(1.96*(SQRT(1.96^2+4*M23*(1-(M23/N23))))))/(2*(N23+1.96^2))),0)),IF(AND(AND(N23&gt;0,M23&gt;0),ROUND(SUM(100*((2*M23+1.96^2)-(1.96*(SQRT(1.96^2+4*M23*(1-(M23/N23))))))/(2*(N23+1.96^2))),0)&gt;=0),CONCATENATE(ROUND(SUM(100*((2*M23+1.96^2)-(1.96*(SQRT(1.96^2+4*M23*(1-(M23/N23))))))/(2*(N23+1.96^2))),0)," - ",ROUND(SUM(100*((2*M23+1.96^2)+(1.96*(SQRT(1.96^2+4*M23*(1-(M23/N23))))))/(2*(N23+1.96^2))),0)),""))</f>
        <v>5 - 10</v>
      </c>
      <c r="E23" s="232">
        <f>O23/P23*100</f>
        <v>79.403794037940372</v>
      </c>
      <c r="F23" s="232" t="str">
        <f>IF(AND(AND(P23&gt;0,O23&gt;0),ROUND(SUM(100*((2*(O23)+1.96^2)-(1.96*(SQRT(1.96^2+4*(O23)*(1-((O23)/P23))))))/(2*(P23+1.96^2))),0)&lt;0),CONCATENATE(SUM(1*0)," - ",ROUND(SUM(100*((2*(O23)+1.96^2)+(1.96*(SQRT(1.96^2+4*(O23)*(1-((O23)/P23))))))/(2*(P23+1.96^2))),0)),IF(AND(AND(P23&gt;0,O23&gt;0),ROUND(SUM(100*((2*(O23)+1.96^2)-(1.96*(SQRT(1.96^2+4*(O23)*(1-((O23)/P23))))))/(2*(P23+1.96^2))),0)&gt;=0),CONCATENATE(ROUND(SUM(100*((2*(O23)+1.96^2)-(1.96*(SQRT(1.96^2+4*(O23)*(1-((O23)/P23))))))/(2*(P23+1.96^2))),0)," - ",ROUND(SUM(100*((2*(O23)+1.96^2)+(1.96*(SQRT(1.96^2+4*(O23)*(1-((O23)/P23))))))/(2*(P23+1.96^2))),0)),""))</f>
        <v>75 - 83</v>
      </c>
      <c r="G23" s="232">
        <f>Q23/R23*100</f>
        <v>13.821138211382115</v>
      </c>
      <c r="H23" s="232" t="str">
        <f>IF(AND(AND(R23&gt;0,Q23&gt;0),ROUND(SUM(100*((2*(Q23)+1.96^2)-(1.96*(SQRT(1.96^2+4*(Q23)*(1-((Q23)/R23))))))/(2*(R23+1.96^2))),0)&lt;0),CONCATENATE(SUM(1*0)," - ",ROUND(SUM(100*((2*(Q23)+1.96^2)+(1.96*(SQRT(1.96^2+4*(Q23)*(1-((Q23)/R23))))))/(2*(R23+1.96^2))),0)),IF(AND(AND(R23&gt;0,Q23&gt;0),ROUND(SUM(100*((2*(Q23)+1.96^2)-(1.96*(SQRT(1.96^2+4*(Q23)*(1-((Q23)/R23))))))/(2*(R23+1.96^2))),0)&gt;=0),CONCATENATE(ROUND(SUM(100*((2*(Q23)+1.96^2)-(1.96*(SQRT(1.96^2+4*(Q23)*(1-((Q23)/R23))))))/(2*(R23+1.96^2))),0)," - ",ROUND(SUM(100*((2*(Q23)+1.96^2)+(1.96*(SQRT(1.96^2+4*(Q23)*(1-((Q23)/R23))))))/(2*(R23+1.96^2))),0)),""))</f>
        <v>11 - 18</v>
      </c>
      <c r="I23" s="235"/>
      <c r="J23" s="236"/>
      <c r="K23" s="960"/>
      <c r="L23" s="961"/>
      <c r="M23" s="438">
        <v>25</v>
      </c>
      <c r="N23" s="438">
        <v>369</v>
      </c>
      <c r="O23" s="438">
        <v>293</v>
      </c>
      <c r="P23" s="438">
        <v>369</v>
      </c>
      <c r="Q23" s="438">
        <v>51</v>
      </c>
      <c r="R23" s="438">
        <v>369</v>
      </c>
      <c r="S23" s="686"/>
      <c r="T23" s="655"/>
      <c r="U23" s="688"/>
    </row>
    <row r="24" spans="1:21">
      <c r="A24" s="231" t="s">
        <v>112</v>
      </c>
      <c r="B24" s="231" t="s">
        <v>113</v>
      </c>
      <c r="C24" s="232">
        <f>M24/N24*100</f>
        <v>19.255813953488371</v>
      </c>
      <c r="D24" s="232" t="str">
        <f>IF(AND(AND(N24&gt;0,M24&gt;0),ROUND(SUM(100*((2*M24+1.96^2)-(1.96*(SQRT(1.96^2+4*M24*(1-(M24/N24))))))/(2*(N24+1.96^2))),0)&lt;0),CONCATENATE(SUM(1*0)," - ",ROUND(SUM(100*((2*M24+1.96^2)+(1.96*(SQRT(1.96^2+4*M24*(1-(M24/N24))))))/(2*(N24+1.96^2))),0)),IF(AND(AND(N24&gt;0,M24&gt;0),ROUND(SUM(100*((2*M24+1.96^2)-(1.96*(SQRT(1.96^2+4*M24*(1-(M24/N24))))))/(2*(N24+1.96^2))),0)&gt;=0),CONCATENATE(ROUND(SUM(100*((2*M24+1.96^2)-(1.96*(SQRT(1.96^2+4*M24*(1-(M24/N24))))))/(2*(N24+1.96^2))),0)," - ",ROUND(SUM(100*((2*M24+1.96^2)+(1.96*(SQRT(1.96^2+4*M24*(1-(M24/N24))))))/(2*(N24+1.96^2))),0)),""))</f>
        <v>17 - 22</v>
      </c>
      <c r="E24" s="232">
        <f>O24/P24*100</f>
        <v>62.139534883720927</v>
      </c>
      <c r="F24" s="232" t="str">
        <f>IF(AND(AND(P24&gt;0,O24&gt;0),ROUND(SUM(100*((2*(O24)+1.96^2)-(1.96*(SQRT(1.96^2+4*(O24)*(1-((O24)/P24))))))/(2*(P24+1.96^2))),0)&lt;0),CONCATENATE(SUM(1*0)," - ",ROUND(SUM(100*((2*(O24)+1.96^2)+(1.96*(SQRT(1.96^2+4*(O24)*(1-((O24)/P24))))))/(2*(P24+1.96^2))),0)),IF(AND(AND(P24&gt;0,O24&gt;0),ROUND(SUM(100*((2*(O24)+1.96^2)-(1.96*(SQRT(1.96^2+4*(O24)*(1-((O24)/P24))))))/(2*(P24+1.96^2))),0)&gt;=0),CONCATENATE(ROUND(SUM(100*((2*(O24)+1.96^2)-(1.96*(SQRT(1.96^2+4*(O24)*(1-((O24)/P24))))))/(2*(P24+1.96^2))),0)," - ",ROUND(SUM(100*((2*(O24)+1.96^2)+(1.96*(SQRT(1.96^2+4*(O24)*(1-((O24)/P24))))))/(2*(P24+1.96^2))),0)),""))</f>
        <v>59 - 65</v>
      </c>
      <c r="G24" s="232">
        <f>Q24/R24*100</f>
        <v>18.604651162790699</v>
      </c>
      <c r="H24" s="232" t="str">
        <f>IF(AND(AND(R24&gt;0,Q24&gt;0),ROUND(SUM(100*((2*(Q24)+1.96^2)-(1.96*(SQRT(1.96^2+4*(Q24)*(1-((Q24)/R24))))))/(2*(R24+1.96^2))),0)&lt;0),CONCATENATE(SUM(1*0)," - ",ROUND(SUM(100*((2*(Q24)+1.96^2)+(1.96*(SQRT(1.96^2+4*(Q24)*(1-((Q24)/R24))))))/(2*(R24+1.96^2))),0)),IF(AND(AND(R24&gt;0,Q24&gt;0),ROUND(SUM(100*((2*(Q24)+1.96^2)-(1.96*(SQRT(1.96^2+4*(Q24)*(1-((Q24)/R24))))))/(2*(R24+1.96^2))),0)&gt;=0),CONCATENATE(ROUND(SUM(100*((2*(Q24)+1.96^2)-(1.96*(SQRT(1.96^2+4*(Q24)*(1-((Q24)/R24))))))/(2*(R24+1.96^2))),0)," - ",ROUND(SUM(100*((2*(Q24)+1.96^2)+(1.96*(SQRT(1.96^2+4*(Q24)*(1-((Q24)/R24))))))/(2*(R24+1.96^2))),0)),""))</f>
        <v>16 - 21</v>
      </c>
      <c r="I24" s="235"/>
      <c r="J24" s="236"/>
      <c r="K24" s="960"/>
      <c r="L24" s="961"/>
      <c r="M24" s="438">
        <v>207</v>
      </c>
      <c r="N24" s="438">
        <v>1075</v>
      </c>
      <c r="O24" s="438">
        <v>668</v>
      </c>
      <c r="P24" s="438">
        <v>1075</v>
      </c>
      <c r="Q24" s="438">
        <v>200</v>
      </c>
      <c r="R24" s="438">
        <v>1075</v>
      </c>
      <c r="S24" s="686"/>
      <c r="T24" s="655"/>
      <c r="U24" s="688"/>
    </row>
    <row r="25" spans="1:21">
      <c r="A25" s="231" t="s">
        <v>115</v>
      </c>
      <c r="B25" s="231" t="s">
        <v>116</v>
      </c>
      <c r="C25" s="232">
        <f>M25/N25*100</f>
        <v>4.0983606557377046</v>
      </c>
      <c r="D25" s="232" t="str">
        <f>IF(AND(AND(N25&gt;0,M25&gt;0),ROUND(SUM(100*((2*M25+1.96^2)-(1.96*(SQRT(1.96^2+4*M25*(1-(M25/N25))))))/(2*(N25+1.96^2))),0)&lt;0),CONCATENATE(SUM(1*0)," - ",ROUND(SUM(100*((2*M25+1.96^2)+(1.96*(SQRT(1.96^2+4*M25*(1-(M25/N25))))))/(2*(N25+1.96^2))),0)),IF(AND(AND(N25&gt;0,M25&gt;0),ROUND(SUM(100*((2*M25+1.96^2)-(1.96*(SQRT(1.96^2+4*M25*(1-(M25/N25))))))/(2*(N25+1.96^2))),0)&gt;=0),CONCATENATE(ROUND(SUM(100*((2*M25+1.96^2)-(1.96*(SQRT(1.96^2+4*M25*(1-(M25/N25))))))/(2*(N25+1.96^2))),0)," - ",ROUND(SUM(100*((2*M25+1.96^2)+(1.96*(SQRT(1.96^2+4*M25*(1-(M25/N25))))))/(2*(N25+1.96^2))),0)),""))</f>
        <v>2 - 7</v>
      </c>
      <c r="E25" s="232">
        <f>O25/P25*100</f>
        <v>80.737704918032776</v>
      </c>
      <c r="F25" s="232" t="str">
        <f>IF(AND(AND(P25&gt;0,O25&gt;0),ROUND(SUM(100*((2*(O25)+1.96^2)-(1.96*(SQRT(1.96^2+4*(O25)*(1-((O25)/P25))))))/(2*(P25+1.96^2))),0)&lt;0),CONCATENATE(SUM(1*0)," - ",ROUND(SUM(100*((2*(O25)+1.96^2)+(1.96*(SQRT(1.96^2+4*(O25)*(1-((O25)/P25))))))/(2*(P25+1.96^2))),0)),IF(AND(AND(P25&gt;0,O25&gt;0),ROUND(SUM(100*((2*(O25)+1.96^2)-(1.96*(SQRT(1.96^2+4*(O25)*(1-((O25)/P25))))))/(2*(P25+1.96^2))),0)&gt;=0),CONCATENATE(ROUND(SUM(100*((2*(O25)+1.96^2)-(1.96*(SQRT(1.96^2+4*(O25)*(1-((O25)/P25))))))/(2*(P25+1.96^2))),0)," - ",ROUND(SUM(100*((2*(O25)+1.96^2)+(1.96*(SQRT(1.96^2+4*(O25)*(1-((O25)/P25))))))/(2*(P25+1.96^2))),0)),""))</f>
        <v>75 - 85</v>
      </c>
      <c r="G25" s="232">
        <f>Q25/R25*100</f>
        <v>15.163934426229508</v>
      </c>
      <c r="H25" s="232" t="str">
        <f>IF(AND(AND(R25&gt;0,Q25&gt;0),ROUND(SUM(100*((2*(Q25)+1.96^2)-(1.96*(SQRT(1.96^2+4*(Q25)*(1-((Q25)/R25))))))/(2*(R25+1.96^2))),0)&lt;0),CONCATENATE(SUM(1*0)," - ",ROUND(SUM(100*((2*(Q25)+1.96^2)+(1.96*(SQRT(1.96^2+4*(Q25)*(1-((Q25)/R25))))))/(2*(R25+1.96^2))),0)),IF(AND(AND(R25&gt;0,Q25&gt;0),ROUND(SUM(100*((2*(Q25)+1.96^2)-(1.96*(SQRT(1.96^2+4*(Q25)*(1-((Q25)/R25))))))/(2*(R25+1.96^2))),0)&gt;=0),CONCATENATE(ROUND(SUM(100*((2*(Q25)+1.96^2)-(1.96*(SQRT(1.96^2+4*(Q25)*(1-((Q25)/R25))))))/(2*(R25+1.96^2))),0)," - ",ROUND(SUM(100*((2*(Q25)+1.96^2)+(1.96*(SQRT(1.96^2+4*(Q25)*(1-((Q25)/R25))))))/(2*(R25+1.96^2))),0)),""))</f>
        <v>11 - 20</v>
      </c>
      <c r="I25" s="235"/>
      <c r="J25" s="236"/>
      <c r="K25" s="960"/>
      <c r="L25" s="961"/>
      <c r="M25" s="438">
        <v>10</v>
      </c>
      <c r="N25" s="438">
        <v>244</v>
      </c>
      <c r="O25" s="438">
        <v>197</v>
      </c>
      <c r="P25" s="438">
        <v>244</v>
      </c>
      <c r="Q25" s="438">
        <v>37</v>
      </c>
      <c r="R25" s="438">
        <v>244</v>
      </c>
      <c r="S25" s="686"/>
      <c r="T25" s="655"/>
      <c r="U25" s="688"/>
    </row>
    <row r="26" spans="1:21">
      <c r="A26" s="231" t="s">
        <v>118</v>
      </c>
      <c r="B26" s="231" t="s">
        <v>119</v>
      </c>
      <c r="C26" s="232">
        <f>M26/N26*100</f>
        <v>11.294765840220386</v>
      </c>
      <c r="D26" s="232" t="str">
        <f>IF(AND(AND(N26&gt;0,M26&gt;0),ROUND(SUM(100*((2*M26+1.96^2)-(1.96*(SQRT(1.96^2+4*M26*(1-(M26/N26))))))/(2*(N26+1.96^2))),0)&lt;0),CONCATENATE(SUM(1*0)," - ",ROUND(SUM(100*((2*M26+1.96^2)+(1.96*(SQRT(1.96^2+4*M26*(1-(M26/N26))))))/(2*(N26+1.96^2))),0)),IF(AND(AND(N26&gt;0,M26&gt;0),ROUND(SUM(100*((2*M26+1.96^2)-(1.96*(SQRT(1.96^2+4*M26*(1-(M26/N26))))))/(2*(N26+1.96^2))),0)&gt;=0),CONCATENATE(ROUND(SUM(100*((2*M26+1.96^2)-(1.96*(SQRT(1.96^2+4*M26*(1-(M26/N26))))))/(2*(N26+1.96^2))),0)," - ",ROUND(SUM(100*((2*M26+1.96^2)+(1.96*(SQRT(1.96^2+4*M26*(1-(M26/N26))))))/(2*(N26+1.96^2))),0)),""))</f>
        <v>8 - 15</v>
      </c>
      <c r="E26" s="232">
        <f>O26/P26*100</f>
        <v>71.900826446281002</v>
      </c>
      <c r="F26" s="232" t="str">
        <f>IF(AND(AND(P26&gt;0,O26&gt;0),ROUND(SUM(100*((2*(O26)+1.96^2)-(1.96*(SQRT(1.96^2+4*(O26)*(1-((O26)/P26))))))/(2*(P26+1.96^2))),0)&lt;0),CONCATENATE(SUM(1*0)," - ",ROUND(SUM(100*((2*(O26)+1.96^2)+(1.96*(SQRT(1.96^2+4*(O26)*(1-((O26)/P26))))))/(2*(P26+1.96^2))),0)),IF(AND(AND(P26&gt;0,O26&gt;0),ROUND(SUM(100*((2*(O26)+1.96^2)-(1.96*(SQRT(1.96^2+4*(O26)*(1-((O26)/P26))))))/(2*(P26+1.96^2))),0)&gt;=0),CONCATENATE(ROUND(SUM(100*((2*(O26)+1.96^2)-(1.96*(SQRT(1.96^2+4*(O26)*(1-((O26)/P26))))))/(2*(P26+1.96^2))),0)," - ",ROUND(SUM(100*((2*(O26)+1.96^2)+(1.96*(SQRT(1.96^2+4*(O26)*(1-((O26)/P26))))))/(2*(P26+1.96^2))),0)),""))</f>
        <v>67 - 76</v>
      </c>
      <c r="G26" s="232">
        <f>Q26/R26*100</f>
        <v>16.804407713498623</v>
      </c>
      <c r="H26" s="232" t="str">
        <f>IF(AND(AND(R26&gt;0,Q26&gt;0),ROUND(SUM(100*((2*(Q26)+1.96^2)-(1.96*(SQRT(1.96^2+4*(Q26)*(1-((Q26)/R26))))))/(2*(R26+1.96^2))),0)&lt;0),CONCATENATE(SUM(1*0)," - ",ROUND(SUM(100*((2*(Q26)+1.96^2)+(1.96*(SQRT(1.96^2+4*(Q26)*(1-((Q26)/R26))))))/(2*(R26+1.96^2))),0)),IF(AND(AND(R26&gt;0,Q26&gt;0),ROUND(SUM(100*((2*(Q26)+1.96^2)-(1.96*(SQRT(1.96^2+4*(Q26)*(1-((Q26)/R26))))))/(2*(R26+1.96^2))),0)&gt;=0),CONCATENATE(ROUND(SUM(100*((2*(Q26)+1.96^2)-(1.96*(SQRT(1.96^2+4*(Q26)*(1-((Q26)/R26))))))/(2*(R26+1.96^2))),0)," - ",ROUND(SUM(100*((2*(Q26)+1.96^2)+(1.96*(SQRT(1.96^2+4*(Q26)*(1-((Q26)/R26))))))/(2*(R26+1.96^2))),0)),""))</f>
        <v>13 - 21</v>
      </c>
      <c r="I26" s="235"/>
      <c r="J26" s="236"/>
      <c r="K26" s="960"/>
      <c r="L26" s="961"/>
      <c r="M26" s="438">
        <v>41</v>
      </c>
      <c r="N26" s="438">
        <v>363</v>
      </c>
      <c r="O26" s="438">
        <v>261</v>
      </c>
      <c r="P26" s="438">
        <v>363</v>
      </c>
      <c r="Q26" s="438">
        <v>61</v>
      </c>
      <c r="R26" s="438">
        <v>363</v>
      </c>
      <c r="S26" s="686"/>
      <c r="T26" s="655"/>
      <c r="U26" s="688"/>
    </row>
    <row r="27" spans="1:21">
      <c r="A27" s="231" t="s">
        <v>121</v>
      </c>
      <c r="B27" s="231" t="s">
        <v>122</v>
      </c>
      <c r="C27" s="232">
        <f t="shared" si="1"/>
        <v>25.925925925925924</v>
      </c>
      <c r="D27" s="232" t="str">
        <f t="shared" si="2"/>
        <v>16 - 39</v>
      </c>
      <c r="E27" s="232">
        <f t="shared" si="3"/>
        <v>70.370370370370367</v>
      </c>
      <c r="F27" s="232" t="str">
        <f t="shared" si="4"/>
        <v>57 - 81</v>
      </c>
      <c r="G27" s="232">
        <f t="shared" si="5"/>
        <v>3.7037037037037033</v>
      </c>
      <c r="H27" s="232" t="str">
        <f t="shared" si="6"/>
        <v>1 - 13</v>
      </c>
      <c r="I27" s="235"/>
      <c r="J27" s="236"/>
      <c r="K27" s="960"/>
      <c r="L27" s="961"/>
      <c r="M27" s="438">
        <v>14</v>
      </c>
      <c r="N27" s="438">
        <v>54</v>
      </c>
      <c r="O27" s="438">
        <v>38</v>
      </c>
      <c r="P27" s="438">
        <v>54</v>
      </c>
      <c r="Q27" s="438">
        <v>2</v>
      </c>
      <c r="R27" s="438">
        <v>54</v>
      </c>
      <c r="S27" s="686"/>
      <c r="T27" s="655"/>
      <c r="U27" s="688"/>
    </row>
    <row r="28" spans="1:21">
      <c r="A28" s="231" t="s">
        <v>124</v>
      </c>
      <c r="B28" s="231" t="s">
        <v>125</v>
      </c>
      <c r="C28" s="232">
        <f>M28/N28*100</f>
        <v>0</v>
      </c>
      <c r="D28" s="232" t="str">
        <f>IF(AND(AND(N28&gt;0,M28&gt;0),ROUND(SUM(100*((2*M28+1.96^2)-(1.96*(SQRT(1.96^2+4*M28*(1-(M28/N28))))))/(2*(N28+1.96^2))),0)&lt;0),CONCATENATE(SUM(1*0)," - ",ROUND(SUM(100*((2*M28+1.96^2)+(1.96*(SQRT(1.96^2+4*M28*(1-(M28/N28))))))/(2*(N28+1.96^2))),0)),IF(AND(AND(N28&gt;0,M28&gt;0),ROUND(SUM(100*((2*M28+1.96^2)-(1.96*(SQRT(1.96^2+4*M28*(1-(M28/N28))))))/(2*(N28+1.96^2))),0)&gt;=0),CONCATENATE(ROUND(SUM(100*((2*M28+1.96^2)-(1.96*(SQRT(1.96^2+4*M28*(1-(M28/N28))))))/(2*(N28+1.96^2))),0)," - ",ROUND(SUM(100*((2*M28+1.96^2)+(1.96*(SQRT(1.96^2+4*M28*(1-(M28/N28))))))/(2*(N28+1.96^2))),0)),""))</f>
        <v/>
      </c>
      <c r="E28" s="232">
        <f>O28/P28*100</f>
        <v>91.428571428571431</v>
      </c>
      <c r="F28" s="232" t="str">
        <f>IF(AND(AND(P28&gt;0,O28&gt;0),ROUND(SUM(100*((2*(O28)+1.96^2)-(1.96*(SQRT(1.96^2+4*(O28)*(1-((O28)/P28))))))/(2*(P28+1.96^2))),0)&lt;0),CONCATENATE(SUM(1*0)," - ",ROUND(SUM(100*((2*(O28)+1.96^2)+(1.96*(SQRT(1.96^2+4*(O28)*(1-((O28)/P28))))))/(2*(P28+1.96^2))),0)),IF(AND(AND(P28&gt;0,O28&gt;0),ROUND(SUM(100*((2*(O28)+1.96^2)-(1.96*(SQRT(1.96^2+4*(O28)*(1-((O28)/P28))))))/(2*(P28+1.96^2))),0)&gt;=0),CONCATENATE(ROUND(SUM(100*((2*(O28)+1.96^2)-(1.96*(SQRT(1.96^2+4*(O28)*(1-((O28)/P28))))))/(2*(P28+1.96^2))),0)," - ",ROUND(SUM(100*((2*(O28)+1.96^2)+(1.96*(SQRT(1.96^2+4*(O28)*(1-((O28)/P28))))))/(2*(P28+1.96^2))),0)),""))</f>
        <v>78 - 97</v>
      </c>
      <c r="G28" s="232">
        <f>Q28/R28*100</f>
        <v>8.5714285714285712</v>
      </c>
      <c r="H28" s="232" t="str">
        <f>IF(AND(AND(R28&gt;0,Q28&gt;0),ROUND(SUM(100*((2*(Q28)+1.96^2)-(1.96*(SQRT(1.96^2+4*(Q28)*(1-((Q28)/R28))))))/(2*(R28+1.96^2))),0)&lt;0),CONCATENATE(SUM(1*0)," - ",ROUND(SUM(100*((2*(Q28)+1.96^2)+(1.96*(SQRT(1.96^2+4*(Q28)*(1-((Q28)/R28))))))/(2*(R28+1.96^2))),0)),IF(AND(AND(R28&gt;0,Q28&gt;0),ROUND(SUM(100*((2*(Q28)+1.96^2)-(1.96*(SQRT(1.96^2+4*(Q28)*(1-((Q28)/R28))))))/(2*(R28+1.96^2))),0)&gt;=0),CONCATENATE(ROUND(SUM(100*((2*(Q28)+1.96^2)-(1.96*(SQRT(1.96^2+4*(Q28)*(1-((Q28)/R28))))))/(2*(R28+1.96^2))),0)," - ",ROUND(SUM(100*((2*(Q28)+1.96^2)+(1.96*(SQRT(1.96^2+4*(Q28)*(1-((Q28)/R28))))))/(2*(R28+1.96^2))),0)),""))</f>
        <v>3 - 22</v>
      </c>
      <c r="I28" s="235"/>
      <c r="J28" s="236"/>
      <c r="K28" s="960"/>
      <c r="L28" s="961"/>
      <c r="M28" s="438">
        <v>0</v>
      </c>
      <c r="N28" s="438">
        <v>35</v>
      </c>
      <c r="O28" s="438">
        <v>32</v>
      </c>
      <c r="P28" s="438">
        <v>35</v>
      </c>
      <c r="Q28" s="438">
        <v>3</v>
      </c>
      <c r="R28" s="438">
        <v>35</v>
      </c>
      <c r="S28" s="686"/>
      <c r="T28" s="655"/>
      <c r="U28" s="688"/>
    </row>
    <row r="29" spans="1:21">
      <c r="A29" s="231" t="s">
        <v>127</v>
      </c>
      <c r="B29" s="231" t="s">
        <v>128</v>
      </c>
      <c r="C29" s="232">
        <f>M29/N29*100</f>
        <v>10.829493087557603</v>
      </c>
      <c r="D29" s="232" t="str">
        <f>IF(AND(AND(N29&gt;0,M29&gt;0),ROUND(SUM(100*((2*M29+1.96^2)-(1.96*(SQRT(1.96^2+4*M29*(1-(M29/N29))))))/(2*(N29+1.96^2))),0)&lt;0),CONCATENATE(SUM(1*0)," - ",ROUND(SUM(100*((2*M29+1.96^2)+(1.96*(SQRT(1.96^2+4*M29*(1-(M29/N29))))))/(2*(N29+1.96^2))),0)),IF(AND(AND(N29&gt;0,M29&gt;0),ROUND(SUM(100*((2*M29+1.96^2)-(1.96*(SQRT(1.96^2+4*M29*(1-(M29/N29))))))/(2*(N29+1.96^2))),0)&gt;=0),CONCATENATE(ROUND(SUM(100*((2*M29+1.96^2)-(1.96*(SQRT(1.96^2+4*M29*(1-(M29/N29))))))/(2*(N29+1.96^2))),0)," - ",ROUND(SUM(100*((2*M29+1.96^2)+(1.96*(SQRT(1.96^2+4*M29*(1-(M29/N29))))))/(2*(N29+1.96^2))),0)),""))</f>
        <v>8 - 14</v>
      </c>
      <c r="E29" s="232">
        <f>O29/P29*100</f>
        <v>77.188940092165907</v>
      </c>
      <c r="F29" s="232" t="str">
        <f>IF(AND(AND(P29&gt;0,O29&gt;0),ROUND(SUM(100*((2*(O29)+1.96^2)-(1.96*(SQRT(1.96^2+4*(O29)*(1-((O29)/P29))))))/(2*(P29+1.96^2))),0)&lt;0),CONCATENATE(SUM(1*0)," - ",ROUND(SUM(100*((2*(O29)+1.96^2)+(1.96*(SQRT(1.96^2+4*(O29)*(1-((O29)/P29))))))/(2*(P29+1.96^2))),0)),IF(AND(AND(P29&gt;0,O29&gt;0),ROUND(SUM(100*((2*(O29)+1.96^2)-(1.96*(SQRT(1.96^2+4*(O29)*(1-((O29)/P29))))))/(2*(P29+1.96^2))),0)&gt;=0),CONCATENATE(ROUND(SUM(100*((2*(O29)+1.96^2)-(1.96*(SQRT(1.96^2+4*(O29)*(1-((O29)/P29))))))/(2*(P29+1.96^2))),0)," - ",ROUND(SUM(100*((2*(O29)+1.96^2)+(1.96*(SQRT(1.96^2+4*(O29)*(1-((O29)/P29))))))/(2*(P29+1.96^2))),0)),""))</f>
        <v>73 - 81</v>
      </c>
      <c r="G29" s="232">
        <f>Q29/R29*100</f>
        <v>11.981566820276496</v>
      </c>
      <c r="H29" s="232" t="str">
        <f>IF(AND(AND(R29&gt;0,Q29&gt;0),ROUND(SUM(100*((2*(Q29)+1.96^2)-(1.96*(SQRT(1.96^2+4*(Q29)*(1-((Q29)/R29))))))/(2*(R29+1.96^2))),0)&lt;0),CONCATENATE(SUM(1*0)," - ",ROUND(SUM(100*((2*(Q29)+1.96^2)+(1.96*(SQRT(1.96^2+4*(Q29)*(1-((Q29)/R29))))))/(2*(R29+1.96^2))),0)),IF(AND(AND(R29&gt;0,Q29&gt;0),ROUND(SUM(100*((2*(Q29)+1.96^2)-(1.96*(SQRT(1.96^2+4*(Q29)*(1-((Q29)/R29))))))/(2*(R29+1.96^2))),0)&gt;=0),CONCATENATE(ROUND(SUM(100*((2*(Q29)+1.96^2)-(1.96*(SQRT(1.96^2+4*(Q29)*(1-((Q29)/R29))))))/(2*(R29+1.96^2))),0)," - ",ROUND(SUM(100*((2*(Q29)+1.96^2)+(1.96*(SQRT(1.96^2+4*(Q29)*(1-((Q29)/R29))))))/(2*(R29+1.96^2))),0)),""))</f>
        <v>9 - 15</v>
      </c>
      <c r="I29" s="235"/>
      <c r="J29" s="236"/>
      <c r="K29" s="960"/>
      <c r="L29" s="961"/>
      <c r="M29" s="438">
        <v>47</v>
      </c>
      <c r="N29" s="438">
        <v>434</v>
      </c>
      <c r="O29" s="438">
        <v>335</v>
      </c>
      <c r="P29" s="438">
        <v>434</v>
      </c>
      <c r="Q29" s="438">
        <v>52</v>
      </c>
      <c r="R29" s="438">
        <v>434</v>
      </c>
      <c r="S29" s="686"/>
      <c r="T29" s="655"/>
      <c r="U29" s="688"/>
    </row>
    <row r="30" spans="1:21">
      <c r="A30" s="231" t="s">
        <v>130</v>
      </c>
      <c r="B30" s="231" t="s">
        <v>131</v>
      </c>
      <c r="C30" s="232">
        <f t="shared" si="1"/>
        <v>7.2115384615384608</v>
      </c>
      <c r="D30" s="232" t="str">
        <f t="shared" si="2"/>
        <v>4 - 12</v>
      </c>
      <c r="E30" s="232">
        <f t="shared" si="3"/>
        <v>76.923076923076934</v>
      </c>
      <c r="F30" s="232" t="str">
        <f t="shared" si="4"/>
        <v>71 - 82</v>
      </c>
      <c r="G30" s="232">
        <f t="shared" si="5"/>
        <v>15.865384615384615</v>
      </c>
      <c r="H30" s="232" t="str">
        <f t="shared" si="6"/>
        <v>12 - 21</v>
      </c>
      <c r="I30" s="235"/>
      <c r="J30" s="236"/>
      <c r="K30" s="960"/>
      <c r="L30" s="961"/>
      <c r="M30" s="438">
        <v>15</v>
      </c>
      <c r="N30" s="438">
        <v>208</v>
      </c>
      <c r="O30" s="438">
        <v>160</v>
      </c>
      <c r="P30" s="438">
        <v>208</v>
      </c>
      <c r="Q30" s="438">
        <v>33</v>
      </c>
      <c r="R30" s="438">
        <v>208</v>
      </c>
      <c r="S30" s="686"/>
      <c r="T30" s="655"/>
      <c r="U30" s="688"/>
    </row>
    <row r="31" spans="1:21">
      <c r="A31" s="231" t="s">
        <v>133</v>
      </c>
      <c r="B31" s="231" t="s">
        <v>134</v>
      </c>
      <c r="C31" s="232">
        <f t="shared" si="1"/>
        <v>100</v>
      </c>
      <c r="D31" s="232" t="str">
        <f t="shared" si="2"/>
        <v>21 - 100</v>
      </c>
      <c r="E31" s="232">
        <f t="shared" si="3"/>
        <v>0</v>
      </c>
      <c r="F31" s="232" t="str">
        <f t="shared" si="4"/>
        <v/>
      </c>
      <c r="G31" s="232">
        <f t="shared" si="5"/>
        <v>0</v>
      </c>
      <c r="H31" s="232" t="str">
        <f t="shared" si="6"/>
        <v/>
      </c>
      <c r="I31" s="235"/>
      <c r="J31" s="236"/>
      <c r="K31" s="960"/>
      <c r="L31" s="961"/>
      <c r="M31" s="438">
        <v>1</v>
      </c>
      <c r="N31" s="438">
        <v>1</v>
      </c>
      <c r="O31" s="438">
        <v>0</v>
      </c>
      <c r="P31" s="438">
        <v>1</v>
      </c>
      <c r="Q31" s="438">
        <v>0</v>
      </c>
      <c r="R31" s="438">
        <v>1</v>
      </c>
      <c r="S31" s="686"/>
      <c r="T31" s="655"/>
      <c r="U31" s="688"/>
    </row>
    <row r="32" spans="1:21">
      <c r="A32" s="231" t="s">
        <v>39</v>
      </c>
      <c r="B32" s="231" t="s">
        <v>136</v>
      </c>
      <c r="C32" s="232">
        <f t="shared" si="1"/>
        <v>21.428571428571427</v>
      </c>
      <c r="D32" s="232" t="str">
        <f t="shared" si="2"/>
        <v>10 - 40</v>
      </c>
      <c r="E32" s="232">
        <f t="shared" si="3"/>
        <v>75</v>
      </c>
      <c r="F32" s="232" t="str">
        <f t="shared" si="4"/>
        <v>57 - 87</v>
      </c>
      <c r="G32" s="232">
        <f t="shared" si="5"/>
        <v>3.5714285714285712</v>
      </c>
      <c r="H32" s="232" t="str">
        <f t="shared" si="6"/>
        <v>1 - 18</v>
      </c>
      <c r="I32" s="235"/>
      <c r="J32" s="236"/>
      <c r="K32" s="960"/>
      <c r="L32" s="961"/>
      <c r="M32" s="438">
        <v>6</v>
      </c>
      <c r="N32" s="438">
        <v>28</v>
      </c>
      <c r="O32" s="438">
        <v>21</v>
      </c>
      <c r="P32" s="438">
        <v>28</v>
      </c>
      <c r="Q32" s="438">
        <v>1</v>
      </c>
      <c r="R32" s="438">
        <v>28</v>
      </c>
      <c r="S32" s="686"/>
      <c r="T32" s="655"/>
      <c r="U32" s="688"/>
    </row>
    <row r="33" spans="1:20">
      <c r="A33" s="216"/>
    </row>
    <row r="34" spans="1:20">
      <c r="A34" s="240"/>
      <c r="C34" s="219"/>
      <c r="D34" s="219"/>
      <c r="E34" s="219"/>
      <c r="F34" s="219"/>
      <c r="G34" s="219"/>
      <c r="H34" s="219"/>
      <c r="I34" s="219"/>
    </row>
    <row r="35" spans="1:20" ht="50.1" customHeight="1">
      <c r="A35" s="964" t="s">
        <v>138</v>
      </c>
      <c r="B35" s="965"/>
      <c r="C35" s="966" t="str">
        <f>C2&amp;" (%)"</f>
        <v>Initial Only (%)</v>
      </c>
      <c r="D35" s="967"/>
      <c r="E35" s="966" t="str">
        <f>E2&amp;" (%)"</f>
        <v>Initial AND Final (%)</v>
      </c>
      <c r="F35" s="967"/>
      <c r="G35" s="966" t="str">
        <f>G2&amp;" (%)"</f>
        <v>Final Only (%)</v>
      </c>
      <c r="H35" s="968"/>
      <c r="I35" s="969"/>
      <c r="J35" s="970"/>
      <c r="K35" s="970"/>
      <c r="L35" s="971"/>
      <c r="M35" s="946" t="s">
        <v>288</v>
      </c>
      <c r="N35" s="946"/>
      <c r="O35" s="947" t="s">
        <v>289</v>
      </c>
      <c r="P35" s="948"/>
      <c r="Q35" s="946" t="s">
        <v>290</v>
      </c>
      <c r="R35" s="946"/>
      <c r="S35" s="949"/>
      <c r="T35" s="950"/>
    </row>
    <row r="36" spans="1:20" ht="35.1" customHeight="1">
      <c r="A36" s="241"/>
      <c r="B36" s="242" t="s">
        <v>140</v>
      </c>
      <c r="C36" s="243" t="s">
        <v>141</v>
      </c>
      <c r="D36" s="244" t="s">
        <v>55</v>
      </c>
      <c r="E36" s="243" t="s">
        <v>141</v>
      </c>
      <c r="F36" s="244" t="s">
        <v>55</v>
      </c>
      <c r="G36" s="243" t="s">
        <v>141</v>
      </c>
      <c r="H36" s="245" t="s">
        <v>55</v>
      </c>
      <c r="I36" s="972"/>
      <c r="J36" s="973"/>
      <c r="K36" s="973"/>
      <c r="L36" s="974"/>
      <c r="M36" s="246" t="s">
        <v>28</v>
      </c>
      <c r="N36" s="247" t="s">
        <v>29</v>
      </c>
      <c r="O36" s="247" t="s">
        <v>28</v>
      </c>
      <c r="P36" s="247" t="s">
        <v>29</v>
      </c>
      <c r="Q36" s="247" t="s">
        <v>28</v>
      </c>
      <c r="R36" s="248" t="s">
        <v>29</v>
      </c>
      <c r="S36" s="249"/>
      <c r="T36" s="229"/>
    </row>
    <row r="37" spans="1:20">
      <c r="A37" s="951"/>
      <c r="B37" s="250" t="s">
        <v>35</v>
      </c>
      <c r="C37" s="232">
        <f>M37/N37*100</f>
        <v>29.444444444444446</v>
      </c>
      <c r="D37" s="232" t="str">
        <f>IF(AND(AND(N37&gt;0,M37&gt;0),ROUND(SUM(100*((2*M37+1.96^2)-(1.96*(SQRT(1.96^2+4*M37*(1-(M37/N37))))))/(2*(N37+1.96^2))),0)&lt;0),CONCATENATE(SUM(1*0)," - ",ROUND(SUM(100*((2*M37+1.96^2)+(1.96*(SQRT(1.96^2+4*M37*(1-(M37/N37))))))/(2*(N37+1.96^2))),0)),IF(AND(AND(N37&gt;0,M37&gt;0),ROUND(SUM(100*((2*M37+1.96^2)-(1.96*(SQRT(1.96^2+4*M37*(1-(M37/N37))))))/(2*(N37+1.96^2))),0)&gt;=0),CONCATENATE(ROUND(SUM(100*((2*M37+1.96^2)-(1.96*(SQRT(1.96^2+4*M37*(1-(M37/N37))))))/(2*(N37+1.96^2))),0)," - ",ROUND(SUM(100*((2*M37+1.96^2)+(1.96*(SQRT(1.96^2+4*M37*(1-(M37/N37))))))/(2*(N37+1.96^2))),0)),""))</f>
        <v>27 - 33</v>
      </c>
      <c r="E37" s="232">
        <f>O37/P37*100</f>
        <v>56.111111111111114</v>
      </c>
      <c r="F37" s="232" t="str">
        <f>IF(AND(AND(P37&gt;0,O37&gt;0),ROUND(SUM(100*((2*(O37)+1.96^2)-(1.96*(SQRT(1.96^2+4*(O37)*(1-((O37)/P37))))))/(2*(P37+1.96^2))),0)&lt;0),CONCATENATE(SUM(1*0)," - ",ROUND(SUM(100*((2*(O37)+1.96^2)+(1.96*(SQRT(1.96^2+4*(O37)*(1-((O37)/P37))))))/(2*(P37+1.96^2))),0)),IF(AND(AND(P37&gt;0,O37&gt;0),ROUND(SUM(100*((2*(O37)+1.96^2)-(1.96*(SQRT(1.96^2+4*(O37)*(1-((O37)/P37))))))/(2*(P37+1.96^2))),0)&gt;=0),CONCATENATE(ROUND(SUM(100*((2*(O37)+1.96^2)-(1.96*(SQRT(1.96^2+4*(O37)*(1-((O37)/P37))))))/(2*(P37+1.96^2))),0)," - ",ROUND(SUM(100*((2*(O37)+1.96^2)+(1.96*(SQRT(1.96^2+4*(O37)*(1-((O37)/P37))))))/(2*(P37+1.96^2))),0)),""))</f>
        <v>53 - 59</v>
      </c>
      <c r="G37" s="232">
        <f>Q37/R37*100</f>
        <v>14.444444444444443</v>
      </c>
      <c r="H37" s="251" t="str">
        <f>IF(AND(AND(R37&gt;0,Q37&gt;0),ROUND(SUM(100*((2*(Q37)+1.96^2)-(1.96*(SQRT(1.96^2+4*(Q37)*(1-((Q37)/R37))))))/(2*(R37+1.96^2))),0)&lt;0),CONCATENATE(SUM(1*0)," - ",ROUND(SUM(100*((2*(Q37)+1.96^2)+(1.96*(SQRT(1.96^2+4*(Q37)*(1-((Q37)/R37))))))/(2*(R37+1.96^2))),0)),IF(AND(AND(R37&gt;0,Q37&gt;0),ROUND(SUM(100*((2*(Q37)+1.96^2)-(1.96*(SQRT(1.96^2+4*(Q37)*(1-((Q37)/R37))))))/(2*(R37+1.96^2))),0)&gt;=0),CONCATENATE(ROUND(SUM(100*((2*(Q37)+1.96^2)-(1.96*(SQRT(1.96^2+4*(Q37)*(1-((Q37)/R37))))))/(2*(R37+1.96^2))),0)," - ",ROUND(SUM(100*((2*(Q37)+1.96^2)+(1.96*(SQRT(1.96^2+4*(Q37)*(1-((Q37)/R37))))))/(2*(R37+1.96^2))),0)),""))</f>
        <v>12 - 17</v>
      </c>
      <c r="I37" s="954"/>
      <c r="J37" s="955"/>
      <c r="K37" s="955"/>
      <c r="L37" s="956"/>
      <c r="M37" s="439">
        <v>265</v>
      </c>
      <c r="N37" s="439">
        <v>900</v>
      </c>
      <c r="O37" s="440">
        <v>505</v>
      </c>
      <c r="P37" s="440">
        <v>900</v>
      </c>
      <c r="Q37" s="441">
        <v>130</v>
      </c>
      <c r="R37" s="441">
        <v>900</v>
      </c>
      <c r="S37" s="249"/>
      <c r="T37" s="229"/>
    </row>
    <row r="38" spans="1:20">
      <c r="A38" s="952"/>
      <c r="B38" s="250" t="s">
        <v>30</v>
      </c>
      <c r="C38" s="232">
        <f t="shared" ref="C38:C50" si="7">M38/N38*100</f>
        <v>8.0357142857142865</v>
      </c>
      <c r="D38" s="232" t="str">
        <f t="shared" ref="D38:D50" si="8">IF(AND(AND(N38&gt;0,M38&gt;0),ROUND(SUM(100*((2*M38+1.96^2)-(1.96*(SQRT(1.96^2+4*M38*(1-(M38/N38))))))/(2*(N38+1.96^2))),0)&lt;0),CONCATENATE(SUM(1*0)," - ",ROUND(SUM(100*((2*M38+1.96^2)+(1.96*(SQRT(1.96^2+4*M38*(1-(M38/N38))))))/(2*(N38+1.96^2))),0)),IF(AND(AND(N38&gt;0,M38&gt;0),ROUND(SUM(100*((2*M38+1.96^2)-(1.96*(SQRT(1.96^2+4*M38*(1-(M38/N38))))))/(2*(N38+1.96^2))),0)&gt;=0),CONCATENATE(ROUND(SUM(100*((2*M38+1.96^2)-(1.96*(SQRT(1.96^2+4*M38*(1-(M38/N38))))))/(2*(N38+1.96^2))),0)," - ",ROUND(SUM(100*((2*M38+1.96^2)+(1.96*(SQRT(1.96^2+4*M38*(1-(M38/N38))))))/(2*(N38+1.96^2))),0)),""))</f>
        <v>5 - 12</v>
      </c>
      <c r="E38" s="232">
        <f t="shared" ref="E38:E50" si="9">O38/P38*100</f>
        <v>82.589285714285708</v>
      </c>
      <c r="F38" s="232" t="str">
        <f t="shared" ref="F38:F50" si="10">IF(AND(AND(P38&gt;0,O38&gt;0),ROUND(SUM(100*((2*(O38)+1.96^2)-(1.96*(SQRT(1.96^2+4*(O38)*(1-((O38)/P38))))))/(2*(P38+1.96^2))),0)&lt;0),CONCATENATE(SUM(1*0)," - ",ROUND(SUM(100*((2*(O38)+1.96^2)+(1.96*(SQRT(1.96^2+4*(O38)*(1-((O38)/P38))))))/(2*(P38+1.96^2))),0)),IF(AND(AND(P38&gt;0,O38&gt;0),ROUND(SUM(100*((2*(O38)+1.96^2)-(1.96*(SQRT(1.96^2+4*(O38)*(1-((O38)/P38))))))/(2*(P38+1.96^2))),0)&gt;=0),CONCATENATE(ROUND(SUM(100*((2*(O38)+1.96^2)-(1.96*(SQRT(1.96^2+4*(O38)*(1-((O38)/P38))))))/(2*(P38+1.96^2))),0)," - ",ROUND(SUM(100*((2*(O38)+1.96^2)+(1.96*(SQRT(1.96^2+4*(O38)*(1-((O38)/P38))))))/(2*(P38+1.96^2))),0)),""))</f>
        <v>77 - 87</v>
      </c>
      <c r="G38" s="232">
        <f t="shared" ref="G38:G50" si="11">Q38/R38*100</f>
        <v>9.375</v>
      </c>
      <c r="H38" s="251" t="str">
        <f t="shared" ref="H38:H50" si="12">IF(AND(AND(R38&gt;0,Q38&gt;0),ROUND(SUM(100*((2*(Q38)+1.96^2)-(1.96*(SQRT(1.96^2+4*(Q38)*(1-((Q38)/R38))))))/(2*(R38+1.96^2))),0)&lt;0),CONCATENATE(SUM(1*0)," - ",ROUND(SUM(100*((2*(Q38)+1.96^2)+(1.96*(SQRT(1.96^2+4*(Q38)*(1-((Q38)/R38))))))/(2*(R38+1.96^2))),0)),IF(AND(AND(R38&gt;0,Q38&gt;0),ROUND(SUM(100*((2*(Q38)+1.96^2)-(1.96*(SQRT(1.96^2+4*(Q38)*(1-((Q38)/R38))))))/(2*(R38+1.96^2))),0)&gt;=0),CONCATENATE(ROUND(SUM(100*((2*(Q38)+1.96^2)-(1.96*(SQRT(1.96^2+4*(Q38)*(1-((Q38)/R38))))))/(2*(R38+1.96^2))),0)," - ",ROUND(SUM(100*((2*(Q38)+1.96^2)+(1.96*(SQRT(1.96^2+4*(Q38)*(1-((Q38)/R38))))))/(2*(R38+1.96^2))),0)),""))</f>
        <v>6 - 14</v>
      </c>
      <c r="I38" s="954"/>
      <c r="J38" s="955"/>
      <c r="K38" s="955"/>
      <c r="L38" s="956"/>
      <c r="M38" s="439">
        <v>18</v>
      </c>
      <c r="N38" s="439">
        <v>224</v>
      </c>
      <c r="O38" s="439">
        <v>185</v>
      </c>
      <c r="P38" s="439">
        <v>224</v>
      </c>
      <c r="Q38" s="441">
        <v>21</v>
      </c>
      <c r="R38" s="441">
        <v>224</v>
      </c>
      <c r="S38" s="252"/>
      <c r="T38" s="237"/>
    </row>
    <row r="39" spans="1:20">
      <c r="A39" s="952"/>
      <c r="B39" s="250" t="s">
        <v>33</v>
      </c>
      <c r="C39" s="232">
        <f t="shared" si="7"/>
        <v>11.818181818181818</v>
      </c>
      <c r="D39" s="232" t="str">
        <f t="shared" si="8"/>
        <v>9 - 16</v>
      </c>
      <c r="E39" s="232">
        <f t="shared" si="9"/>
        <v>72.121212121212125</v>
      </c>
      <c r="F39" s="232" t="str">
        <f t="shared" si="10"/>
        <v>67 - 77</v>
      </c>
      <c r="G39" s="232">
        <f t="shared" si="11"/>
        <v>16.060606060606062</v>
      </c>
      <c r="H39" s="251" t="str">
        <f t="shared" si="12"/>
        <v>12 - 20</v>
      </c>
      <c r="I39" s="954"/>
      <c r="J39" s="955"/>
      <c r="K39" s="955"/>
      <c r="L39" s="956"/>
      <c r="M39" s="439">
        <v>39</v>
      </c>
      <c r="N39" s="439">
        <v>330</v>
      </c>
      <c r="O39" s="439">
        <v>238</v>
      </c>
      <c r="P39" s="439">
        <v>330</v>
      </c>
      <c r="Q39" s="441">
        <v>53</v>
      </c>
      <c r="R39" s="441">
        <v>330</v>
      </c>
      <c r="S39" s="252"/>
      <c r="T39" s="237"/>
    </row>
    <row r="40" spans="1:20">
      <c r="A40" s="952"/>
      <c r="B40" s="250" t="s">
        <v>32</v>
      </c>
      <c r="C40" s="232">
        <f t="shared" si="7"/>
        <v>8.7082728592162546</v>
      </c>
      <c r="D40" s="232" t="str">
        <f t="shared" si="8"/>
        <v>7 - 11</v>
      </c>
      <c r="E40" s="232">
        <f t="shared" si="9"/>
        <v>76.487663280116109</v>
      </c>
      <c r="F40" s="232" t="str">
        <f t="shared" si="10"/>
        <v>73 - 80</v>
      </c>
      <c r="G40" s="232">
        <f t="shared" si="11"/>
        <v>14.804063860667634</v>
      </c>
      <c r="H40" s="251" t="str">
        <f t="shared" si="12"/>
        <v>12 - 18</v>
      </c>
      <c r="I40" s="954"/>
      <c r="J40" s="955"/>
      <c r="K40" s="955"/>
      <c r="L40" s="956"/>
      <c r="M40" s="439">
        <v>60</v>
      </c>
      <c r="N40" s="439">
        <v>689</v>
      </c>
      <c r="O40" s="439">
        <v>527</v>
      </c>
      <c r="P40" s="439">
        <v>689</v>
      </c>
      <c r="Q40" s="441">
        <v>102</v>
      </c>
      <c r="R40" s="441">
        <v>689</v>
      </c>
      <c r="S40" s="252"/>
      <c r="T40" s="237"/>
    </row>
    <row r="41" spans="1:20">
      <c r="A41" s="952"/>
      <c r="B41" s="250" t="s">
        <v>37</v>
      </c>
      <c r="C41" s="232">
        <f t="shared" si="7"/>
        <v>9.8039215686274517</v>
      </c>
      <c r="D41" s="232" t="str">
        <f t="shared" si="8"/>
        <v>8 - 13</v>
      </c>
      <c r="E41" s="232">
        <f t="shared" si="9"/>
        <v>69.696969696969703</v>
      </c>
      <c r="F41" s="232" t="str">
        <f t="shared" si="10"/>
        <v>66 - 73</v>
      </c>
      <c r="G41" s="232">
        <f t="shared" si="11"/>
        <v>20.499108734402853</v>
      </c>
      <c r="H41" s="251" t="str">
        <f t="shared" si="12"/>
        <v>17 - 24</v>
      </c>
      <c r="I41" s="954"/>
      <c r="J41" s="955"/>
      <c r="K41" s="955"/>
      <c r="L41" s="956"/>
      <c r="M41" s="439">
        <v>55</v>
      </c>
      <c r="N41" s="439">
        <v>561</v>
      </c>
      <c r="O41" s="439">
        <v>391</v>
      </c>
      <c r="P41" s="439">
        <v>561</v>
      </c>
      <c r="Q41" s="441">
        <v>115</v>
      </c>
      <c r="R41" s="441">
        <v>561</v>
      </c>
      <c r="S41" s="252"/>
      <c r="T41" s="237"/>
    </row>
    <row r="42" spans="1:20">
      <c r="A42" s="952"/>
      <c r="B42" s="250" t="s">
        <v>36</v>
      </c>
      <c r="C42" s="232">
        <f t="shared" si="7"/>
        <v>7.2796934865900385</v>
      </c>
      <c r="D42" s="232" t="str">
        <f t="shared" si="8"/>
        <v>6 - 9</v>
      </c>
      <c r="E42" s="232">
        <f t="shared" si="9"/>
        <v>73.690932311621964</v>
      </c>
      <c r="F42" s="232" t="str">
        <f t="shared" si="10"/>
        <v>70 - 77</v>
      </c>
      <c r="G42" s="232">
        <f t="shared" si="11"/>
        <v>19.029374201787995</v>
      </c>
      <c r="H42" s="251" t="str">
        <f t="shared" si="12"/>
        <v>16 - 22</v>
      </c>
      <c r="I42" s="954"/>
      <c r="J42" s="955"/>
      <c r="K42" s="955"/>
      <c r="L42" s="956"/>
      <c r="M42" s="439">
        <v>57</v>
      </c>
      <c r="N42" s="439">
        <v>783</v>
      </c>
      <c r="O42" s="439">
        <v>577</v>
      </c>
      <c r="P42" s="439">
        <v>783</v>
      </c>
      <c r="Q42" s="441">
        <v>149</v>
      </c>
      <c r="R42" s="441">
        <v>783</v>
      </c>
      <c r="S42" s="252"/>
      <c r="T42" s="237"/>
    </row>
    <row r="43" spans="1:20">
      <c r="A43" s="952"/>
      <c r="B43" s="250" t="s">
        <v>42</v>
      </c>
      <c r="C43" s="232">
        <f t="shared" si="7"/>
        <v>21.560431905259492</v>
      </c>
      <c r="D43" s="232" t="str">
        <f t="shared" si="8"/>
        <v>20 - 23</v>
      </c>
      <c r="E43" s="232">
        <f t="shared" si="9"/>
        <v>68.861024033437829</v>
      </c>
      <c r="F43" s="232" t="str">
        <f t="shared" si="10"/>
        <v>67 - 71</v>
      </c>
      <c r="G43" s="232">
        <f t="shared" si="11"/>
        <v>9.5785440613026829</v>
      </c>
      <c r="H43" s="251" t="str">
        <f t="shared" si="12"/>
        <v>9 - 11</v>
      </c>
      <c r="I43" s="954"/>
      <c r="J43" s="955"/>
      <c r="K43" s="955"/>
      <c r="L43" s="956"/>
      <c r="M43" s="439">
        <v>619</v>
      </c>
      <c r="N43" s="439">
        <v>2871</v>
      </c>
      <c r="O43" s="439">
        <v>1977</v>
      </c>
      <c r="P43" s="439">
        <v>2871</v>
      </c>
      <c r="Q43" s="441">
        <v>275</v>
      </c>
      <c r="R43" s="441">
        <v>2871</v>
      </c>
      <c r="S43" s="252"/>
      <c r="T43" s="237"/>
    </row>
    <row r="44" spans="1:20">
      <c r="A44" s="952"/>
      <c r="B44" s="250" t="s">
        <v>38</v>
      </c>
      <c r="C44" s="232">
        <f t="shared" si="7"/>
        <v>9.4961240310077528</v>
      </c>
      <c r="D44" s="232" t="str">
        <f t="shared" si="8"/>
        <v>7 - 12</v>
      </c>
      <c r="E44" s="232">
        <f t="shared" si="9"/>
        <v>84.302325581395351</v>
      </c>
      <c r="F44" s="232" t="str">
        <f t="shared" si="10"/>
        <v>81 - 87</v>
      </c>
      <c r="G44" s="232">
        <f t="shared" si="11"/>
        <v>6.2015503875968996</v>
      </c>
      <c r="H44" s="251" t="str">
        <f t="shared" si="12"/>
        <v>4 - 9</v>
      </c>
      <c r="I44" s="954"/>
      <c r="J44" s="955"/>
      <c r="K44" s="955"/>
      <c r="L44" s="956"/>
      <c r="M44" s="439">
        <v>49</v>
      </c>
      <c r="N44" s="439">
        <v>516</v>
      </c>
      <c r="O44" s="439">
        <v>435</v>
      </c>
      <c r="P44" s="439">
        <v>516</v>
      </c>
      <c r="Q44" s="441">
        <v>32</v>
      </c>
      <c r="R44" s="441">
        <v>516</v>
      </c>
      <c r="S44" s="252"/>
      <c r="T44" s="237"/>
    </row>
    <row r="45" spans="1:20" ht="14.25">
      <c r="A45" s="952"/>
      <c r="B45" s="250" t="s">
        <v>294</v>
      </c>
      <c r="C45" s="232">
        <f t="shared" si="7"/>
        <v>3.1446540880503147</v>
      </c>
      <c r="D45" s="232" t="str">
        <f t="shared" si="8"/>
        <v>2 - 4</v>
      </c>
      <c r="E45" s="232">
        <f t="shared" si="9"/>
        <v>74.318658280922435</v>
      </c>
      <c r="F45" s="232" t="str">
        <f t="shared" si="10"/>
        <v>71 - 77</v>
      </c>
      <c r="G45" s="232">
        <f t="shared" si="11"/>
        <v>22.536687631027252</v>
      </c>
      <c r="H45" s="251" t="str">
        <f t="shared" si="12"/>
        <v>20 - 25</v>
      </c>
      <c r="I45" s="954"/>
      <c r="J45" s="955"/>
      <c r="K45" s="955"/>
      <c r="L45" s="956"/>
      <c r="M45" s="439">
        <v>30</v>
      </c>
      <c r="N45" s="439">
        <v>954</v>
      </c>
      <c r="O45" s="439">
        <v>709</v>
      </c>
      <c r="P45" s="439">
        <v>954</v>
      </c>
      <c r="Q45" s="441">
        <v>215</v>
      </c>
      <c r="R45" s="441">
        <v>954</v>
      </c>
      <c r="S45" s="252"/>
      <c r="T45" s="237"/>
    </row>
    <row r="46" spans="1:20">
      <c r="A46" s="952"/>
      <c r="B46" s="250" t="s">
        <v>40</v>
      </c>
      <c r="C46" s="232">
        <f t="shared" si="7"/>
        <v>15.338882282996433</v>
      </c>
      <c r="D46" s="232" t="str">
        <f t="shared" si="8"/>
        <v>14 - 17</v>
      </c>
      <c r="E46" s="232">
        <f t="shared" si="9"/>
        <v>66.944114149821644</v>
      </c>
      <c r="F46" s="232" t="str">
        <f t="shared" si="10"/>
        <v>65 - 69</v>
      </c>
      <c r="G46" s="232">
        <f t="shared" si="11"/>
        <v>17.717003567181926</v>
      </c>
      <c r="H46" s="251" t="str">
        <f t="shared" si="12"/>
        <v>16 - 20</v>
      </c>
      <c r="I46" s="954"/>
      <c r="J46" s="955"/>
      <c r="K46" s="955"/>
      <c r="L46" s="956"/>
      <c r="M46" s="439">
        <v>258</v>
      </c>
      <c r="N46" s="439">
        <v>1682</v>
      </c>
      <c r="O46" s="439">
        <v>1126</v>
      </c>
      <c r="P46" s="439">
        <v>1682</v>
      </c>
      <c r="Q46" s="441">
        <v>298</v>
      </c>
      <c r="R46" s="441">
        <v>1682</v>
      </c>
      <c r="S46" s="252"/>
      <c r="T46" s="237"/>
    </row>
    <row r="47" spans="1:20">
      <c r="A47" s="952"/>
      <c r="B47" s="250" t="s">
        <v>43</v>
      </c>
      <c r="C47" s="232">
        <f t="shared" si="7"/>
        <v>25.925925925925924</v>
      </c>
      <c r="D47" s="232" t="str">
        <f t="shared" si="8"/>
        <v>16 - 39</v>
      </c>
      <c r="E47" s="232">
        <f t="shared" si="9"/>
        <v>70.370370370370367</v>
      </c>
      <c r="F47" s="232" t="str">
        <f t="shared" si="10"/>
        <v>57 - 81</v>
      </c>
      <c r="G47" s="232">
        <f t="shared" si="11"/>
        <v>3.7037037037037033</v>
      </c>
      <c r="H47" s="251" t="str">
        <f t="shared" si="12"/>
        <v>1 - 13</v>
      </c>
      <c r="I47" s="954"/>
      <c r="J47" s="955"/>
      <c r="K47" s="955"/>
      <c r="L47" s="956"/>
      <c r="M47" s="439">
        <v>14</v>
      </c>
      <c r="N47" s="439">
        <v>54</v>
      </c>
      <c r="O47" s="439">
        <v>38</v>
      </c>
      <c r="P47" s="439">
        <v>54</v>
      </c>
      <c r="Q47" s="441">
        <v>2</v>
      </c>
      <c r="R47" s="441">
        <v>54</v>
      </c>
      <c r="S47" s="252"/>
      <c r="T47" s="237"/>
    </row>
    <row r="48" spans="1:20">
      <c r="A48" s="952"/>
      <c r="B48" s="250" t="s">
        <v>41</v>
      </c>
      <c r="C48" s="232">
        <f t="shared" si="7"/>
        <v>0</v>
      </c>
      <c r="D48" s="232" t="str">
        <f t="shared" si="8"/>
        <v/>
      </c>
      <c r="E48" s="232">
        <f t="shared" si="9"/>
        <v>91.428571428571431</v>
      </c>
      <c r="F48" s="232" t="str">
        <f t="shared" si="10"/>
        <v>78 - 97</v>
      </c>
      <c r="G48" s="232">
        <f t="shared" si="11"/>
        <v>8.5714285714285712</v>
      </c>
      <c r="H48" s="251" t="str">
        <f t="shared" si="12"/>
        <v>3 - 22</v>
      </c>
      <c r="I48" s="954"/>
      <c r="J48" s="955"/>
      <c r="K48" s="955"/>
      <c r="L48" s="956"/>
      <c r="M48" s="439">
        <v>0</v>
      </c>
      <c r="N48" s="439">
        <v>35</v>
      </c>
      <c r="O48" s="439">
        <v>32</v>
      </c>
      <c r="P48" s="439">
        <v>35</v>
      </c>
      <c r="Q48" s="441">
        <v>3</v>
      </c>
      <c r="R48" s="441">
        <v>35</v>
      </c>
      <c r="S48" s="252"/>
      <c r="T48" s="237"/>
    </row>
    <row r="49" spans="1:20">
      <c r="A49" s="952"/>
      <c r="B49" s="250" t="s">
        <v>34</v>
      </c>
      <c r="C49" s="232">
        <f t="shared" si="7"/>
        <v>9.657320872274143</v>
      </c>
      <c r="D49" s="232" t="str">
        <f t="shared" si="8"/>
        <v>8 - 12</v>
      </c>
      <c r="E49" s="232">
        <f t="shared" si="9"/>
        <v>77.10280373831776</v>
      </c>
      <c r="F49" s="232" t="str">
        <f t="shared" si="10"/>
        <v>74 - 80</v>
      </c>
      <c r="G49" s="232">
        <f t="shared" si="11"/>
        <v>13.239875389408098</v>
      </c>
      <c r="H49" s="251" t="str">
        <f t="shared" si="12"/>
        <v>11 - 16</v>
      </c>
      <c r="I49" s="954"/>
      <c r="J49" s="955"/>
      <c r="K49" s="955"/>
      <c r="L49" s="956"/>
      <c r="M49" s="439">
        <v>62</v>
      </c>
      <c r="N49" s="439">
        <v>642</v>
      </c>
      <c r="O49" s="439">
        <v>495</v>
      </c>
      <c r="P49" s="439">
        <v>642</v>
      </c>
      <c r="Q49" s="441">
        <v>85</v>
      </c>
      <c r="R49" s="441">
        <v>642</v>
      </c>
      <c r="S49" s="252"/>
      <c r="T49" s="237"/>
    </row>
    <row r="50" spans="1:20">
      <c r="A50" s="953"/>
      <c r="B50" s="250" t="s">
        <v>39</v>
      </c>
      <c r="C50" s="232">
        <f t="shared" si="7"/>
        <v>24.137931034482758</v>
      </c>
      <c r="D50" s="232" t="str">
        <f t="shared" si="8"/>
        <v>12 - 42</v>
      </c>
      <c r="E50" s="232">
        <f t="shared" si="9"/>
        <v>72.41379310344827</v>
      </c>
      <c r="F50" s="232" t="str">
        <f t="shared" si="10"/>
        <v>54 - 85</v>
      </c>
      <c r="G50" s="232">
        <f t="shared" si="11"/>
        <v>3.4482758620689653</v>
      </c>
      <c r="H50" s="251" t="str">
        <f t="shared" si="12"/>
        <v>1 - 17</v>
      </c>
      <c r="I50" s="957"/>
      <c r="J50" s="958"/>
      <c r="K50" s="958"/>
      <c r="L50" s="959"/>
      <c r="M50" s="439">
        <v>7</v>
      </c>
      <c r="N50" s="439">
        <v>29</v>
      </c>
      <c r="O50" s="439">
        <v>21</v>
      </c>
      <c r="P50" s="439">
        <v>29</v>
      </c>
      <c r="Q50" s="441">
        <v>1</v>
      </c>
      <c r="R50" s="441">
        <v>29</v>
      </c>
      <c r="S50" s="253"/>
      <c r="T50" s="254"/>
    </row>
    <row r="51" spans="1:20">
      <c r="A51" s="240"/>
      <c r="B51" s="218"/>
      <c r="C51" s="219"/>
      <c r="D51" s="219"/>
      <c r="E51" s="219"/>
      <c r="F51" s="219"/>
      <c r="G51" s="219"/>
      <c r="H51" s="219"/>
      <c r="I51" s="219"/>
      <c r="J51" s="219"/>
      <c r="M51" s="220"/>
      <c r="N51" s="220"/>
      <c r="O51" s="220"/>
      <c r="P51" s="220"/>
    </row>
    <row r="52" spans="1:20">
      <c r="A52" s="255" t="s">
        <v>142</v>
      </c>
      <c r="C52" s="219"/>
      <c r="D52" s="219"/>
      <c r="E52" s="219"/>
      <c r="F52" s="219"/>
      <c r="G52" s="219"/>
      <c r="H52" s="219"/>
      <c r="I52" s="219"/>
      <c r="J52" s="219"/>
    </row>
    <row r="53" spans="1:20">
      <c r="A53" s="240"/>
      <c r="C53" s="219"/>
      <c r="D53" s="219"/>
      <c r="E53" s="219"/>
      <c r="F53" s="219"/>
      <c r="G53" s="219"/>
      <c r="H53" s="219"/>
      <c r="I53" s="219"/>
    </row>
    <row r="54" spans="1:20">
      <c r="A54" s="240"/>
      <c r="C54" s="219"/>
      <c r="D54" s="219"/>
      <c r="E54" s="219"/>
      <c r="F54" s="219"/>
      <c r="G54" s="219"/>
      <c r="H54" s="219"/>
      <c r="I54" s="219"/>
    </row>
    <row r="55" spans="1:20">
      <c r="A55" s="240"/>
      <c r="C55" s="219"/>
      <c r="D55" s="219"/>
      <c r="E55" s="219"/>
      <c r="F55" s="219"/>
      <c r="G55" s="219"/>
      <c r="H55" s="219"/>
      <c r="I55" s="219"/>
    </row>
    <row r="56" spans="1:20">
      <c r="A56" s="240"/>
      <c r="C56" s="219"/>
      <c r="D56" s="219"/>
      <c r="E56" s="219"/>
      <c r="F56" s="219"/>
      <c r="G56" s="219"/>
      <c r="H56" s="219"/>
      <c r="I56" s="219"/>
    </row>
    <row r="57" spans="1:20">
      <c r="A57" s="240"/>
      <c r="C57" s="219"/>
      <c r="D57" s="219"/>
      <c r="E57" s="219"/>
      <c r="F57" s="219"/>
      <c r="G57" s="219"/>
      <c r="H57" s="219"/>
      <c r="I57" s="219"/>
    </row>
    <row r="58" spans="1:20">
      <c r="A58" s="240"/>
      <c r="C58" s="219"/>
      <c r="D58" s="219"/>
      <c r="E58" s="219"/>
      <c r="F58" s="219"/>
      <c r="G58" s="219"/>
      <c r="H58" s="219"/>
      <c r="I58" s="219"/>
    </row>
    <row r="59" spans="1:20">
      <c r="A59" s="240"/>
      <c r="C59" s="219"/>
      <c r="D59" s="219"/>
      <c r="E59" s="219"/>
      <c r="F59" s="219"/>
      <c r="G59" s="219"/>
      <c r="H59" s="219"/>
      <c r="I59" s="219"/>
    </row>
    <row r="60" spans="1:20">
      <c r="A60" s="240"/>
      <c r="C60" s="219"/>
      <c r="D60" s="219"/>
      <c r="E60" s="219"/>
      <c r="F60" s="219"/>
      <c r="G60" s="219"/>
      <c r="H60" s="219"/>
      <c r="I60" s="219"/>
    </row>
  </sheetData>
  <sheetProtection password="B8D9" sheet="1" objects="1" scenarios="1"/>
  <mergeCells count="48">
    <mergeCell ref="K7:L7"/>
    <mergeCell ref="A1:B1"/>
    <mergeCell ref="C1:H1"/>
    <mergeCell ref="K1:L2"/>
    <mergeCell ref="M1:N1"/>
    <mergeCell ref="S1:T1"/>
    <mergeCell ref="K3:L3"/>
    <mergeCell ref="K4:L4"/>
    <mergeCell ref="K5:L5"/>
    <mergeCell ref="K6:L6"/>
    <mergeCell ref="O1:P1"/>
    <mergeCell ref="Q1:R1"/>
    <mergeCell ref="K19:L19"/>
    <mergeCell ref="K8:L8"/>
    <mergeCell ref="K9:L9"/>
    <mergeCell ref="K10:L10"/>
    <mergeCell ref="K11:L11"/>
    <mergeCell ref="K12:L12"/>
    <mergeCell ref="K13:L13"/>
    <mergeCell ref="K14:L14"/>
    <mergeCell ref="K15:L15"/>
    <mergeCell ref="K16:L16"/>
    <mergeCell ref="K17:L17"/>
    <mergeCell ref="K18:L18"/>
    <mergeCell ref="K31:L31"/>
    <mergeCell ref="K20:L20"/>
    <mergeCell ref="K21:L21"/>
    <mergeCell ref="K22:L22"/>
    <mergeCell ref="K23:L23"/>
    <mergeCell ref="K24:L24"/>
    <mergeCell ref="K25:L25"/>
    <mergeCell ref="K26:L26"/>
    <mergeCell ref="K27:L27"/>
    <mergeCell ref="K28:L28"/>
    <mergeCell ref="K29:L29"/>
    <mergeCell ref="K30:L30"/>
    <mergeCell ref="K32:L32"/>
    <mergeCell ref="A35:B35"/>
    <mergeCell ref="C35:D35"/>
    <mergeCell ref="E35:F35"/>
    <mergeCell ref="G35:H35"/>
    <mergeCell ref="I35:L36"/>
    <mergeCell ref="M35:N35"/>
    <mergeCell ref="O35:P35"/>
    <mergeCell ref="Q35:R35"/>
    <mergeCell ref="S35:T35"/>
    <mergeCell ref="A37:A50"/>
    <mergeCell ref="I37:L50"/>
  </mergeCells>
  <pageMargins left="0" right="0" top="0.27559055118110237" bottom="0.51181102362204722" header="0.15748031496062992" footer="0.19685039370078741"/>
  <pageSetup paperSize="9" scale="70"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64.xml><?xml version="1.0" encoding="utf-8"?>
<worksheet xmlns="http://schemas.openxmlformats.org/spreadsheetml/2006/main" xmlns:r="http://schemas.openxmlformats.org/officeDocument/2006/relationships">
  <sheetPr codeName="Sheet77">
    <pageSetUpPr fitToPage="1"/>
  </sheetPr>
  <dimension ref="A1:O45"/>
  <sheetViews>
    <sheetView workbookViewId="0"/>
  </sheetViews>
  <sheetFormatPr defaultRowHeight="12.75"/>
  <cols>
    <col min="1" max="1" width="1.7109375" style="503" customWidth="1"/>
    <col min="2" max="16384" width="9.140625" style="503"/>
  </cols>
  <sheetData>
    <row r="1" spans="1:15" ht="12.75" customHeight="1">
      <c r="A1" s="1"/>
      <c r="B1" s="798" t="s">
        <v>700</v>
      </c>
      <c r="C1" s="798"/>
      <c r="D1" s="798"/>
      <c r="E1" s="798"/>
      <c r="F1" s="798"/>
      <c r="G1" s="798"/>
      <c r="H1" s="798"/>
      <c r="I1" s="798"/>
      <c r="J1" s="798"/>
      <c r="K1" s="798"/>
      <c r="L1" s="798"/>
      <c r="M1" s="798"/>
      <c r="N1" s="798"/>
      <c r="O1" s="802" t="s">
        <v>48</v>
      </c>
    </row>
    <row r="2" spans="1:15">
      <c r="B2" s="798"/>
      <c r="C2" s="798"/>
      <c r="D2" s="798"/>
      <c r="E2" s="798"/>
      <c r="F2" s="798"/>
      <c r="G2" s="798"/>
      <c r="H2" s="798"/>
      <c r="I2" s="798"/>
      <c r="J2" s="798"/>
      <c r="K2" s="798"/>
      <c r="L2" s="798"/>
      <c r="M2" s="798"/>
      <c r="N2" s="798"/>
      <c r="O2" s="802"/>
    </row>
    <row r="3" spans="1:15">
      <c r="B3" s="798"/>
      <c r="C3" s="798"/>
      <c r="D3" s="798"/>
      <c r="E3" s="798"/>
      <c r="F3" s="798"/>
      <c r="G3" s="798"/>
      <c r="H3" s="798"/>
      <c r="I3" s="798"/>
      <c r="J3" s="798"/>
      <c r="K3" s="798"/>
      <c r="L3" s="798"/>
      <c r="M3" s="798"/>
      <c r="N3" s="798"/>
      <c r="O3" s="802"/>
    </row>
    <row r="4" spans="1:15" s="114" customFormat="1" ht="18" customHeight="1">
      <c r="B4" s="984" t="s">
        <v>406</v>
      </c>
      <c r="C4" s="984"/>
      <c r="D4" s="984"/>
      <c r="E4" s="984"/>
      <c r="F4" s="984"/>
      <c r="G4" s="984"/>
      <c r="H4" s="984"/>
      <c r="I4" s="984"/>
      <c r="J4" s="984"/>
      <c r="K4" s="984"/>
      <c r="L4" s="984"/>
      <c r="M4" s="984"/>
      <c r="N4" s="285"/>
      <c r="O4" s="802"/>
    </row>
    <row r="5" spans="1:15" ht="12.75" customHeight="1">
      <c r="B5" s="984"/>
      <c r="C5" s="984"/>
      <c r="D5" s="984"/>
      <c r="E5" s="984"/>
      <c r="F5" s="984"/>
      <c r="G5" s="984"/>
      <c r="H5" s="984"/>
      <c r="I5" s="984"/>
      <c r="J5" s="984"/>
      <c r="K5" s="984"/>
      <c r="L5" s="984"/>
      <c r="M5" s="984"/>
      <c r="N5" s="294"/>
      <c r="O5" s="502"/>
    </row>
    <row r="6" spans="1:15">
      <c r="B6" s="984"/>
      <c r="C6" s="984"/>
      <c r="D6" s="984"/>
      <c r="E6" s="984"/>
      <c r="F6" s="984"/>
      <c r="G6" s="984"/>
      <c r="H6" s="984"/>
      <c r="I6" s="984"/>
      <c r="J6" s="984"/>
      <c r="K6" s="984"/>
      <c r="L6" s="984"/>
      <c r="M6" s="984"/>
      <c r="N6" s="921" t="s">
        <v>724</v>
      </c>
      <c r="O6" s="921"/>
    </row>
    <row r="35" spans="2:15">
      <c r="B35" s="61"/>
      <c r="C35" s="61"/>
      <c r="D35" s="61"/>
      <c r="E35" s="61"/>
      <c r="F35" s="61"/>
      <c r="G35" s="61"/>
      <c r="H35" s="61"/>
      <c r="I35" s="61"/>
      <c r="J35" s="61"/>
      <c r="K35" s="61"/>
      <c r="L35" s="61"/>
      <c r="M35" s="61"/>
      <c r="N35" s="61"/>
      <c r="O35" s="61"/>
    </row>
    <row r="36" spans="2:15">
      <c r="B36" s="61"/>
      <c r="C36" s="61"/>
      <c r="D36" s="61"/>
      <c r="E36" s="61"/>
      <c r="F36" s="61"/>
      <c r="G36" s="61"/>
      <c r="H36" s="61"/>
      <c r="I36" s="61"/>
      <c r="J36" s="61"/>
      <c r="K36" s="61"/>
      <c r="L36" s="61"/>
      <c r="M36" s="61"/>
      <c r="N36" s="61"/>
      <c r="O36" s="61"/>
    </row>
    <row r="37" spans="2:15">
      <c r="B37" s="61"/>
      <c r="C37" s="61"/>
      <c r="D37" s="61"/>
      <c r="E37" s="61"/>
      <c r="F37" s="61"/>
      <c r="G37" s="61"/>
      <c r="H37" s="61"/>
      <c r="I37" s="61"/>
      <c r="J37" s="61"/>
      <c r="K37" s="61"/>
      <c r="L37" s="61"/>
      <c r="M37" s="61"/>
      <c r="N37" s="61"/>
      <c r="O37" s="61"/>
    </row>
    <row r="38" spans="2:15">
      <c r="B38" s="61"/>
      <c r="C38" s="61"/>
      <c r="D38" s="61"/>
      <c r="E38" s="61"/>
      <c r="F38" s="61"/>
      <c r="G38" s="61"/>
      <c r="H38" s="61"/>
      <c r="I38" s="61"/>
      <c r="J38" s="61"/>
      <c r="K38" s="61"/>
      <c r="L38" s="61"/>
      <c r="M38" s="61"/>
      <c r="N38" s="61"/>
      <c r="O38" s="61"/>
    </row>
    <row r="39" spans="2:15">
      <c r="B39" s="61"/>
      <c r="C39" s="61"/>
      <c r="D39" s="61"/>
      <c r="E39" s="61"/>
      <c r="F39" s="61"/>
      <c r="G39" s="61"/>
      <c r="H39" s="61"/>
      <c r="I39" s="61"/>
      <c r="J39" s="61"/>
      <c r="K39" s="61"/>
      <c r="L39" s="61"/>
      <c r="M39" s="61"/>
      <c r="N39" s="61"/>
      <c r="O39" s="61"/>
    </row>
    <row r="40" spans="2:15">
      <c r="B40" s="61"/>
      <c r="C40" s="61"/>
      <c r="D40" s="61"/>
      <c r="E40" s="61"/>
      <c r="F40" s="61"/>
      <c r="G40" s="61"/>
      <c r="H40" s="61"/>
      <c r="I40" s="61"/>
      <c r="J40" s="61"/>
      <c r="K40" s="61"/>
      <c r="L40" s="61"/>
      <c r="M40" s="61"/>
      <c r="N40" s="61"/>
      <c r="O40" s="61"/>
    </row>
    <row r="41" spans="2:15">
      <c r="B41" s="61"/>
      <c r="C41" s="61"/>
      <c r="D41" s="61"/>
      <c r="E41" s="61"/>
      <c r="F41" s="61"/>
      <c r="G41" s="61"/>
      <c r="H41" s="61"/>
      <c r="I41" s="61"/>
      <c r="J41" s="61"/>
      <c r="K41" s="61"/>
      <c r="L41" s="61"/>
      <c r="M41" s="61"/>
      <c r="N41" s="61"/>
      <c r="O41" s="61"/>
    </row>
    <row r="42" spans="2:15">
      <c r="B42" s="61"/>
      <c r="C42" s="61"/>
      <c r="D42" s="61"/>
      <c r="E42" s="61"/>
      <c r="F42" s="61"/>
      <c r="G42" s="61"/>
      <c r="H42" s="61"/>
      <c r="I42" s="61"/>
      <c r="J42" s="61"/>
      <c r="K42" s="61"/>
      <c r="L42" s="61"/>
      <c r="M42" s="61"/>
      <c r="N42" s="61"/>
      <c r="O42" s="61"/>
    </row>
    <row r="43" spans="2:15">
      <c r="B43" s="61"/>
      <c r="C43" s="61"/>
      <c r="D43" s="61"/>
      <c r="E43" s="61"/>
      <c r="F43" s="61"/>
      <c r="G43" s="61"/>
      <c r="H43" s="61"/>
      <c r="I43" s="61"/>
      <c r="J43" s="61"/>
      <c r="K43" s="61"/>
      <c r="L43" s="61"/>
      <c r="M43" s="61"/>
      <c r="N43" s="61"/>
      <c r="O43" s="61"/>
    </row>
    <row r="44" spans="2:15">
      <c r="B44" s="61"/>
      <c r="C44" s="61"/>
      <c r="D44" s="61"/>
      <c r="E44" s="61"/>
      <c r="F44" s="61"/>
      <c r="G44" s="61"/>
      <c r="H44" s="61"/>
      <c r="I44" s="61"/>
      <c r="J44" s="61"/>
      <c r="K44" s="61"/>
      <c r="L44" s="61"/>
      <c r="M44" s="61"/>
      <c r="N44" s="61"/>
      <c r="O44" s="61"/>
    </row>
    <row r="45" spans="2:15">
      <c r="B45" s="61"/>
      <c r="C45" s="61"/>
      <c r="D45" s="61"/>
      <c r="E45" s="61"/>
      <c r="F45" s="61"/>
      <c r="G45" s="61"/>
      <c r="H45" s="61"/>
      <c r="I45" s="61"/>
      <c r="J45" s="61"/>
      <c r="K45" s="61"/>
      <c r="L45" s="61"/>
      <c r="M45" s="61"/>
      <c r="N45" s="61"/>
      <c r="O45" s="61"/>
    </row>
  </sheetData>
  <sheetProtection password="B8D9" sheet="1" objects="1" scenarios="1"/>
  <mergeCells count="4">
    <mergeCell ref="B1:N3"/>
    <mergeCell ref="O1:O4"/>
    <mergeCell ref="B4:M6"/>
    <mergeCell ref="N6:O6"/>
  </mergeCells>
  <hyperlinks>
    <hyperlink ref="O1" location="'List of Tables &amp; Charts'!A1" display="return to List of Tables &amp; Charts"/>
    <hyperlink ref="N6:O6" location="'Chart 15b DATA'!A1" display="view Chart 15b data"/>
  </hyperlinks>
  <pageMargins left="0" right="0" top="0.74803149606299213" bottom="0.74803149606299213" header="0.31496062992125984" footer="0.31496062992125984"/>
  <pageSetup paperSize="9" scale="67" orientation="landscape" r:id="rId1"/>
  <headerFooter>
    <oddFooter>&amp;L&amp;8Scottish Stroke Care Audit 2016 National Report
Stroke Services in Scottish Hospitals, Data relating to 2015&amp;R&amp;8© NHS National Services Scotland/Crown Copyright</oddFooter>
  </headerFooter>
  <rowBreaks count="1" manualBreakCount="1">
    <brk id="34" max="16383" man="1"/>
  </rowBreaks>
  <drawing r:id="rId2"/>
</worksheet>
</file>

<file path=xl/worksheets/sheet65.xml><?xml version="1.0" encoding="utf-8"?>
<worksheet xmlns="http://schemas.openxmlformats.org/spreadsheetml/2006/main" xmlns:r="http://schemas.openxmlformats.org/officeDocument/2006/relationships">
  <sheetPr codeName="Sheet78">
    <pageSetUpPr fitToPage="1"/>
  </sheetPr>
  <dimension ref="A1:T51"/>
  <sheetViews>
    <sheetView zoomScaleNormal="100" workbookViewId="0"/>
  </sheetViews>
  <sheetFormatPr defaultRowHeight="11.25"/>
  <cols>
    <col min="1" max="1" width="19" style="211" bestFit="1" customWidth="1"/>
    <col min="2" max="7" width="9.140625" style="211"/>
    <col min="8" max="13" width="9.7109375" style="211" hidden="1" customWidth="1"/>
    <col min="14" max="14" width="19" style="211" bestFit="1" customWidth="1"/>
    <col min="15" max="15" width="45.7109375" style="211" customWidth="1"/>
    <col min="16" max="19" width="11.7109375" style="315" customWidth="1"/>
    <col min="20" max="20" width="9.140625" style="504"/>
    <col min="21" max="16384" width="9.140625" style="211"/>
  </cols>
  <sheetData>
    <row r="1" spans="1:20" ht="30" customHeight="1">
      <c r="A1" s="417" t="s">
        <v>19</v>
      </c>
      <c r="B1" s="813" t="s">
        <v>585</v>
      </c>
      <c r="C1" s="814"/>
      <c r="D1" s="814"/>
      <c r="E1" s="814"/>
      <c r="F1" s="814"/>
      <c r="G1" s="814"/>
      <c r="H1" s="295"/>
      <c r="I1" s="296"/>
      <c r="J1" s="296"/>
      <c r="K1" s="296"/>
      <c r="L1" s="296"/>
      <c r="M1" s="296"/>
      <c r="N1" s="815" t="s">
        <v>20</v>
      </c>
      <c r="O1" s="816"/>
      <c r="P1" s="815">
        <v>2014</v>
      </c>
      <c r="Q1" s="815"/>
      <c r="R1" s="815">
        <v>2015</v>
      </c>
      <c r="S1" s="815"/>
    </row>
    <row r="2" spans="1:20" ht="23.25" customHeight="1">
      <c r="A2" s="418" t="s">
        <v>411</v>
      </c>
      <c r="B2" s="297" t="s">
        <v>298</v>
      </c>
      <c r="C2" s="297" t="s">
        <v>491</v>
      </c>
      <c r="D2" s="817" t="s">
        <v>492</v>
      </c>
      <c r="E2" s="817"/>
      <c r="F2" s="817" t="s">
        <v>493</v>
      </c>
      <c r="G2" s="818"/>
      <c r="H2" s="299" t="s">
        <v>23</v>
      </c>
      <c r="I2" s="300" t="s">
        <v>300</v>
      </c>
      <c r="J2" s="301" t="s">
        <v>24</v>
      </c>
      <c r="K2" s="302" t="s">
        <v>16</v>
      </c>
      <c r="L2" s="302" t="s">
        <v>15</v>
      </c>
      <c r="M2" s="303" t="s">
        <v>25</v>
      </c>
      <c r="N2" s="304" t="s">
        <v>26</v>
      </c>
      <c r="O2" s="305" t="s">
        <v>27</v>
      </c>
      <c r="P2" s="305" t="s">
        <v>28</v>
      </c>
      <c r="Q2" s="305" t="s">
        <v>29</v>
      </c>
      <c r="R2" s="305" t="s">
        <v>28</v>
      </c>
      <c r="S2" s="305" t="s">
        <v>29</v>
      </c>
      <c r="T2" s="505"/>
    </row>
    <row r="3" spans="1:20">
      <c r="A3" s="415" t="s">
        <v>137</v>
      </c>
      <c r="B3" s="416">
        <f t="shared" ref="B3" si="0">P3/Q3*100</f>
        <v>66.340575588670234</v>
      </c>
      <c r="C3" s="416">
        <f t="shared" ref="C3" si="1">R3/S3*100</f>
        <v>68.759794045220502</v>
      </c>
      <c r="D3" s="16">
        <f t="shared" ref="D3" si="2">SUM(1*MID(H3,1,FIND(" - ",H3)-1))</f>
        <v>65</v>
      </c>
      <c r="E3" s="308">
        <f t="shared" ref="E3" si="3">SUM(1*MID(H3,FIND(" - ",H3)+2,LEN(H3)))</f>
        <v>67</v>
      </c>
      <c r="F3" s="308">
        <f t="shared" ref="F3" si="4">SUM(1*MID(I3,1,FIND(" - ",I3)-1))</f>
        <v>68</v>
      </c>
      <c r="G3" s="308">
        <f t="shared" ref="G3" si="5">SUM(1*MID(I3,FIND(" - ",I3)+2,LEN(I3)))</f>
        <v>70</v>
      </c>
      <c r="H3" s="309" t="str">
        <f t="shared" ref="H3" si="6">IF(AND(Q3&gt;0,ROUND(SUM(100*((2*P3+1.96^2)-(1.96*(SQRT(1.96^2+4*P3*(1-(P3/Q3))))))/(2*(Q3+1.96^2))),0)&lt;0),CONCATENATE(SUM(1*0)," - ",ROUND(SUM(100*((2*P3+1.96^2)+(1.96*(SQRT(1.96^2+4*P3*(1-(P3/Q3))))))/(2*(Q3+1.96^2))),0)),IF(AND(Q3&gt;0,ROUND(SUM(100*((2*P3+1.96^2)-(1.96*(SQRT(1.96^2+4*P3*(1-(P3/Q3))))))/(2*(Q3+1.96^2))),0)&gt;=0),CONCATENATE(ROUND(SUM(100*((2*P3+1.96^2)-(1.96*(SQRT(1.96^2+4*P3*(1-(P3/Q3))))))/(2*(Q3+1.96^2))),0)," - ",ROUND(SUM(100*((2*P3+1.96^2)+(1.96*(SQRT(1.96^2+4*P3*(1-(P3/Q3))))))/(2*(Q3+1.96^2))),0)),""))</f>
        <v>65 - 67</v>
      </c>
      <c r="I3" s="310" t="str">
        <f t="shared" ref="I3" si="7">IF(AND(S3&gt;0,ROUND(SUM(100*((2*R3+1.96^2)-(1.96*(SQRT(1.96^2+4*R3*(1-(R3/S3))))))/(2*(S3+1.96^2))),0)&lt;0),CONCATENATE(SUM(1*0)," - ",ROUND(SUM(100*((2*R3+1.96^2)+(1.96*(SQRT(1.96^2+4*R3*(1-(R3/S3))))))/(2*(S3+1.96^2))),0)),IF(AND(S3&gt;0,ROUND(SUM(100*((2*R3+1.96^2)-(1.96*(SQRT(1.96^2+4*R3*(1-(R3/S3))))))/(2*(S3+1.96^2))),0)&gt;=0),CONCATENATE(ROUND(SUM(100*((2*R3+1.96^2)-(1.96*(SQRT(1.96^2+4*R3*(1-(R3/S3))))))/(2*(S3+1.96^2))),0)," - ",ROUND(SUM(100*((2*R3+1.96^2)+(1.96*(SQRT(1.96^2+4*R3*(1-(R3/S3))))))/(2*(S3+1.96^2))),0)),""))</f>
        <v>68 - 70</v>
      </c>
      <c r="J3" s="311">
        <f t="shared" ref="J3" si="8">C3-B3</f>
        <v>2.4192184565502686</v>
      </c>
      <c r="K3" s="312">
        <f t="shared" ref="K3" si="9">((R3/S3)-(P3/Q3))-(NORMSINV(1-(0.05/COUNTA($N$3:$N$34)))*(SQRT((((P3/Q3)*(1-(P3/Q3)))/Q3)+(((R3/S3)*(1-(R3/S3)))/S3))))</f>
        <v>3.4123848556133624E-3</v>
      </c>
      <c r="L3" s="312">
        <f t="shared" ref="L3" si="10">((R3/S3)-(P3/Q3))+(NORMSINV(1-(0.05/COUNTA($N$3:$N$34)))*(SQRT((((P3/Q3)*(1-(P3/Q3)))/Q3)+(((R3/S3)*(1-(R3/S3)))/S3))))</f>
        <v>4.4971984275391938E-2</v>
      </c>
      <c r="M3" s="313">
        <f t="shared" ref="M3" si="11">IF(ISERR(IF(AND(((R3/S3)-(P3/Q3))-(NORMSINV(1-(0.05/COUNTA($O$3:$O$17)))*(SQRT((((P3/Q3)*(1-(P3/Q3)))/Q3)+(((R3/S3)*(1-(R3/S3)))/S3))))&gt;0,((R3/S3)-(P3/Q3))+(NORMSINV(1-(0.05/COUNTA($O$3:$O$17)))*(SQRT((((P3/Q3)*(1-(P3/Q3)))/Q3)+(((R3/S3)*(1-(R3/S3)))/S3))))&gt;0),1,IF(AND(((R3/S3)-(P3/Q3))-(NORMSINV(1-(0.05/COUNTA($O$3:$O$17)))*(SQRT((((P3/Q3)*(1-(P3/Q3)))/Q3)+(((R3/S3)*(1-(R3/S3)))/S3))))&lt;0,((R3/S3)-(P3/Q3))+(NORMSINV(1-(0.05/COUNTA($O$3:$O$17)))*(SQRT((((P3/Q3)*(1-(P3/Q3)))/Q3)+(((R3/S3)*(1-(R3/S3)))/S3))))&lt;0),-1,0))),"",IF(AND(((R3/S3)-(P3/Q3))-(NORMSINV(1-(0.05/COUNTA($O$3:$O$17)))*(SQRT((((P3/Q3)*(1-(P3/Q3)))/Q3)+(((R3/S3)*(1-(R3/S3)))/S3))))&gt;0,((R3/S3)-(P3/Q3))+(NORMSINV(1-(0.05/COUNTA($O$3:$O$17)))*(SQRT((((P3/Q3)*(1-(P3/Q3)))/Q3)+(((R3/S3)*(1-(R3/S3)))/S3))))&gt;0),1,IF(AND(((R3/S3)-(P3/Q3))-(NORMSINV(1-(0.05/COUNTA($O$3:$O$17)))*(SQRT((((P3/Q3)*(1-(P3/Q3)))/Q3)+(((R3/S3)*(1-(R3/S3)))/S3))))&lt;0,((R3/S3)-(P3/Q3))+(NORMSINV(1-(0.05/COUNTA($O$3:$O$17)))*(SQRT((((P3/Q3)*(1-(P3/Q3)))/Q3)+(((R3/S3)*(1-(R3/S3)))/S3))))&lt;0),-1,0)))</f>
        <v>1</v>
      </c>
      <c r="N3" s="306" t="s">
        <v>137</v>
      </c>
      <c r="O3" s="306" t="s">
        <v>286</v>
      </c>
      <c r="P3" s="425">
        <f>SUM(P4:P17)</f>
        <v>5832</v>
      </c>
      <c r="Q3" s="425">
        <f t="shared" ref="Q3:S3" si="12">SUM(Q4:Q17)</f>
        <v>8791</v>
      </c>
      <c r="R3" s="425">
        <f t="shared" si="12"/>
        <v>6143</v>
      </c>
      <c r="S3" s="425">
        <f t="shared" si="12"/>
        <v>8934</v>
      </c>
      <c r="T3" s="506" t="s">
        <v>404</v>
      </c>
    </row>
    <row r="4" spans="1:20">
      <c r="A4" s="306" t="str">
        <f t="shared" ref="A4:A17" si="13">IF(OR(O4="Western Isles",O4="Dumfries &amp; Galloway",O4="Shetland",O4="Highland",O4="Orkney"),CONCATENATE(O4,"*"),O4)</f>
        <v>Borders</v>
      </c>
      <c r="B4" s="307">
        <f t="shared" ref="B4:B17" si="14">P4/Q4*100</f>
        <v>87.684729064039416</v>
      </c>
      <c r="C4" s="307">
        <f t="shared" ref="C4:C17" si="15">R4/S4*100</f>
        <v>84.210526315789465</v>
      </c>
      <c r="D4" s="308">
        <f t="shared" ref="D4:D17" si="16">SUM(1*MID(H4,1,FIND(" - ",H4)-1))</f>
        <v>82</v>
      </c>
      <c r="E4" s="308">
        <f t="shared" ref="E4:E17" si="17">SUM(1*MID(H4,FIND(" - ",H4)+2,LEN(H4)))</f>
        <v>92</v>
      </c>
      <c r="F4" s="308">
        <f t="shared" ref="F4:F17" si="18">SUM(1*MID(I4,1,FIND(" - ",I4)-1))</f>
        <v>79</v>
      </c>
      <c r="G4" s="308">
        <f t="shared" ref="G4:G17" si="19">SUM(1*MID(I4,FIND(" - ",I4)+2,LEN(I4)))</f>
        <v>89</v>
      </c>
      <c r="H4" s="314" t="str">
        <f t="shared" ref="H4:H17" si="20">IF(AND(Q4&gt;0,ROUND(SUM(100*((2*P4+1.96^2)-(1.96*(SQRT(1.96^2+4*P4*(1-(P4/Q4))))))/(2*(Q4+1.96^2))),0)&lt;0),CONCATENATE(SUM(1*0)," - ",ROUND(SUM(100*((2*P4+1.96^2)+(1.96*(SQRT(1.96^2+4*P4*(1-(P4/Q4))))))/(2*(Q4+1.96^2))),0)),IF(AND(Q4&gt;0,ROUND(SUM(100*((2*P4+1.96^2)-(1.96*(SQRT(1.96^2+4*P4*(1-(P4/Q4))))))/(2*(Q4+1.96^2))),0)&gt;=0),CONCATENATE(ROUND(SUM(100*((2*P4+1.96^2)-(1.96*(SQRT(1.96^2+4*P4*(1-(P4/Q4))))))/(2*(Q4+1.96^2))),0)," - ",ROUND(SUM(100*((2*P4+1.96^2)+(1.96*(SQRT(1.96^2+4*P4*(1-(P4/Q4))))))/(2*(Q4+1.96^2))),0)),""))</f>
        <v>82 - 92</v>
      </c>
      <c r="I4" s="310" t="str">
        <f t="shared" ref="I4:I17" si="21">IF(AND(S4&gt;0,ROUND(SUM(100*((2*R4+1.96^2)-(1.96*(SQRT(1.96^2+4*R4*(1-(R4/S4))))))/(2*(S4+1.96^2))),0)&lt;0),CONCATENATE(SUM(1*0)," - ",ROUND(SUM(100*((2*R4+1.96^2)+(1.96*(SQRT(1.96^2+4*R4*(1-(R4/S4))))))/(2*(S4+1.96^2))),0)),IF(AND(S4&gt;0,ROUND(SUM(100*((2*R4+1.96^2)-(1.96*(SQRT(1.96^2+4*R4*(1-(R4/S4))))))/(2*(S4+1.96^2))),0)&gt;=0),CONCATENATE(ROUND(SUM(100*((2*R4+1.96^2)-(1.96*(SQRT(1.96^2+4*R4*(1-(R4/S4))))))/(2*(S4+1.96^2))),0)," - ",ROUND(SUM(100*((2*R4+1.96^2)+(1.96*(SQRT(1.96^2+4*R4*(1-(R4/S4))))))/(2*(S4+1.96^2))),0)),""))</f>
        <v>79 - 89</v>
      </c>
      <c r="J4" s="311">
        <f t="shared" ref="J4:J17" si="22">C4-B4</f>
        <v>-3.4742027482499509</v>
      </c>
      <c r="K4" s="312">
        <f t="shared" ref="K4:K17" si="23">((R4/S4)-(P4/Q4))-(NORMSINV(1-(0.05/COUNTA($N$3:$N$34)))*(SQRT((((P4/Q4)*(1-(P4/Q4)))/Q4)+(((R4/S4)*(1-(R4/S4)))/S4))))</f>
        <v>-0.1357440216822538</v>
      </c>
      <c r="L4" s="312">
        <f t="shared" ref="L4:L17" si="24">((R4/S4)-(P4/Q4))+(NORMSINV(1-(0.05/COUNTA($N$3:$N$34)))*(SQRT((((P4/Q4)*(1-(P4/Q4)))/Q4)+(((R4/S4)*(1-(R4/S4)))/S4))))</f>
        <v>6.6259966717254939E-2</v>
      </c>
      <c r="M4" s="313">
        <f t="shared" ref="M4:M17" si="25">IF(ISERR(IF(AND(((R4/S4)-(P4/Q4))-(NORMSINV(1-(0.05/COUNTA($O$3:$O$17)))*(SQRT((((P4/Q4)*(1-(P4/Q4)))/Q4)+(((R4/S4)*(1-(R4/S4)))/S4))))&gt;0,((R4/S4)-(P4/Q4))+(NORMSINV(1-(0.05/COUNTA($O$3:$O$17)))*(SQRT((((P4/Q4)*(1-(P4/Q4)))/Q4)+(((R4/S4)*(1-(R4/S4)))/S4))))&gt;0),1,IF(AND(((R4/S4)-(P4/Q4))-(NORMSINV(1-(0.05/COUNTA($O$3:$O$17)))*(SQRT((((P4/Q4)*(1-(P4/Q4)))/Q4)+(((R4/S4)*(1-(R4/S4)))/S4))))&lt;0,((R4/S4)-(P4/Q4))+(NORMSINV(1-(0.05/COUNTA($O$3:$O$17)))*(SQRT((((P4/Q4)*(1-(P4/Q4)))/Q4)+(((R4/S4)*(1-(R4/S4)))/S4))))&lt;0),-1,0))),"",IF(AND(((R4/S4)-(P4/Q4))-(NORMSINV(1-(0.05/COUNTA($O$3:$O$17)))*(SQRT((((P4/Q4)*(1-(P4/Q4)))/Q4)+(((R4/S4)*(1-(R4/S4)))/S4))))&gt;0,((R4/S4)-(P4/Q4))+(NORMSINV(1-(0.05/COUNTA($O$3:$O$17)))*(SQRT((((P4/Q4)*(1-(P4/Q4)))/Q4)+(((R4/S4)*(1-(R4/S4)))/S4))))&gt;0),1,IF(AND(((R4/S4)-(P4/Q4))-(NORMSINV(1-(0.05/COUNTA($O$3:$O$17)))*(SQRT((((P4/Q4)*(1-(P4/Q4)))/Q4)+(((R4/S4)*(1-(R4/S4)))/S4))))&lt;0,((R4/S4)-(P4/Q4))+(NORMSINV(1-(0.05/COUNTA($O$3:$O$17)))*(SQRT((((P4/Q4)*(1-(P4/Q4)))/Q4)+(((R4/S4)*(1-(R4/S4)))/S4))))&lt;0),-1,0)))</f>
        <v>0</v>
      </c>
      <c r="N4" s="306" t="str">
        <f t="shared" ref="N4:N17" si="26">O4</f>
        <v>Borders</v>
      </c>
      <c r="O4" s="306" t="s">
        <v>30</v>
      </c>
      <c r="P4" s="425">
        <f>VLOOKUP(CONCATENATE(" ",$O4),'Chart 1b DATA'!$P$4:$T$17,2,FALSE)</f>
        <v>178</v>
      </c>
      <c r="Q4" s="425">
        <f>VLOOKUP(CONCATENATE(" ",$O4),'Chart 1b DATA'!$P$4:$T$17,3,FALSE)</f>
        <v>203</v>
      </c>
      <c r="R4" s="425">
        <f>VLOOKUP(CONCATENATE(" ",$O4),'Chart 1b DATA'!$P$4:$T$17,4,FALSE)</f>
        <v>176</v>
      </c>
      <c r="S4" s="425">
        <f>VLOOKUP(CONCATENATE(" ",$O4),'Chart 1b DATA'!$P$4:$T$17,5,FALSE)</f>
        <v>209</v>
      </c>
      <c r="T4" s="506">
        <f t="shared" ref="T4:T17" si="27">VLOOKUP(O4,$O$38:$T$51,6,FALSE)</f>
        <v>1</v>
      </c>
    </row>
    <row r="5" spans="1:20">
      <c r="A5" s="306" t="str">
        <f t="shared" si="13"/>
        <v>Dumfries &amp; Galloway*</v>
      </c>
      <c r="B5" s="307">
        <f t="shared" si="14"/>
        <v>73.646209386281598</v>
      </c>
      <c r="C5" s="307">
        <f t="shared" si="15"/>
        <v>80.859375</v>
      </c>
      <c r="D5" s="308">
        <f t="shared" si="16"/>
        <v>68</v>
      </c>
      <c r="E5" s="308">
        <f t="shared" si="17"/>
        <v>78</v>
      </c>
      <c r="F5" s="308">
        <f t="shared" si="18"/>
        <v>76</v>
      </c>
      <c r="G5" s="308">
        <f t="shared" si="19"/>
        <v>85</v>
      </c>
      <c r="H5" s="314" t="str">
        <f t="shared" si="20"/>
        <v>68 - 78</v>
      </c>
      <c r="I5" s="310" t="str">
        <f t="shared" si="21"/>
        <v>76 - 85</v>
      </c>
      <c r="J5" s="311">
        <f t="shared" si="22"/>
        <v>7.2131656137184024</v>
      </c>
      <c r="K5" s="312">
        <f t="shared" si="23"/>
        <v>-3.463293262893756E-2</v>
      </c>
      <c r="L5" s="312">
        <f t="shared" si="24"/>
        <v>0.17889624490330575</v>
      </c>
      <c r="M5" s="313">
        <f t="shared" si="25"/>
        <v>0</v>
      </c>
      <c r="N5" s="306" t="str">
        <f t="shared" si="26"/>
        <v>Dumfries &amp; Galloway</v>
      </c>
      <c r="O5" s="306" t="s">
        <v>33</v>
      </c>
      <c r="P5" s="425">
        <f>VLOOKUP(CONCATENATE(" ",$O5),'Chart 1b DATA'!$P$4:$T$17,2,FALSE)</f>
        <v>204</v>
      </c>
      <c r="Q5" s="425">
        <f>VLOOKUP(CONCATENATE(" ",$O5),'Chart 1b DATA'!$P$4:$T$17,3,FALSE)</f>
        <v>277</v>
      </c>
      <c r="R5" s="425">
        <f>VLOOKUP(CONCATENATE(" ",$O5),'Chart 1b DATA'!$P$4:$T$17,4,FALSE)</f>
        <v>207</v>
      </c>
      <c r="S5" s="425">
        <f>VLOOKUP(CONCATENATE(" ",$O5),'Chart 1b DATA'!$P$4:$T$17,5,FALSE)</f>
        <v>256</v>
      </c>
      <c r="T5" s="506">
        <f t="shared" si="27"/>
        <v>2</v>
      </c>
    </row>
    <row r="6" spans="1:20">
      <c r="A6" s="306" t="str">
        <f t="shared" si="13"/>
        <v>Fife</v>
      </c>
      <c r="B6" s="307">
        <f t="shared" si="14"/>
        <v>77.172061328790463</v>
      </c>
      <c r="C6" s="307">
        <f t="shared" si="15"/>
        <v>78.13455657492355</v>
      </c>
      <c r="D6" s="308">
        <f t="shared" si="16"/>
        <v>74</v>
      </c>
      <c r="E6" s="308">
        <f t="shared" si="17"/>
        <v>80</v>
      </c>
      <c r="F6" s="308">
        <f t="shared" si="18"/>
        <v>75</v>
      </c>
      <c r="G6" s="308">
        <f t="shared" si="19"/>
        <v>81</v>
      </c>
      <c r="H6" s="314" t="str">
        <f t="shared" si="20"/>
        <v>74 - 80</v>
      </c>
      <c r="I6" s="310" t="str">
        <f t="shared" si="21"/>
        <v>75 - 81</v>
      </c>
      <c r="J6" s="311">
        <f t="shared" si="22"/>
        <v>0.96249524613308779</v>
      </c>
      <c r="K6" s="312">
        <f t="shared" si="23"/>
        <v>-6.0391056334636914E-2</v>
      </c>
      <c r="L6" s="312">
        <f t="shared" si="24"/>
        <v>7.9640961257298679E-2</v>
      </c>
      <c r="M6" s="313">
        <f t="shared" si="25"/>
        <v>0</v>
      </c>
      <c r="N6" s="306" t="str">
        <f t="shared" si="26"/>
        <v>Fife</v>
      </c>
      <c r="O6" s="306" t="s">
        <v>32</v>
      </c>
      <c r="P6" s="425">
        <f>VLOOKUP(CONCATENATE(" ",$O6),'Chart 1b DATA'!$P$4:$T$17,2,FALSE)</f>
        <v>453</v>
      </c>
      <c r="Q6" s="425">
        <f>VLOOKUP(CONCATENATE(" ",$O6),'Chart 1b DATA'!$P$4:$T$17,3,FALSE)</f>
        <v>587</v>
      </c>
      <c r="R6" s="425">
        <f>VLOOKUP(CONCATENATE(" ",$O6),'Chart 1b DATA'!$P$4:$T$17,4,FALSE)</f>
        <v>511</v>
      </c>
      <c r="S6" s="425">
        <f>VLOOKUP(CONCATENATE(" ",$O6),'Chart 1b DATA'!$P$4:$T$17,5,FALSE)</f>
        <v>654</v>
      </c>
      <c r="T6" s="506">
        <f t="shared" si="27"/>
        <v>3</v>
      </c>
    </row>
    <row r="7" spans="1:20">
      <c r="A7" s="306" t="str">
        <f t="shared" si="13"/>
        <v>Shetland*</v>
      </c>
      <c r="B7" s="307">
        <f t="shared" si="14"/>
        <v>71.875</v>
      </c>
      <c r="C7" s="307">
        <f t="shared" si="15"/>
        <v>80</v>
      </c>
      <c r="D7" s="308">
        <f t="shared" si="16"/>
        <v>55</v>
      </c>
      <c r="E7" s="308">
        <f t="shared" si="17"/>
        <v>84</v>
      </c>
      <c r="F7" s="308">
        <f t="shared" si="18"/>
        <v>64</v>
      </c>
      <c r="G7" s="308">
        <f t="shared" si="19"/>
        <v>90</v>
      </c>
      <c r="H7" s="314" t="str">
        <f t="shared" si="20"/>
        <v>55 - 84</v>
      </c>
      <c r="I7" s="310" t="str">
        <f t="shared" si="21"/>
        <v>64 - 90</v>
      </c>
      <c r="J7" s="311">
        <f t="shared" si="22"/>
        <v>8.125</v>
      </c>
      <c r="K7" s="312">
        <f t="shared" si="23"/>
        <v>-0.22711663010336286</v>
      </c>
      <c r="L7" s="312">
        <f t="shared" si="24"/>
        <v>0.38961663010336295</v>
      </c>
      <c r="M7" s="313">
        <f t="shared" si="25"/>
        <v>0</v>
      </c>
      <c r="N7" s="306" t="str">
        <f t="shared" si="26"/>
        <v>Shetland</v>
      </c>
      <c r="O7" s="306" t="s">
        <v>41</v>
      </c>
      <c r="P7" s="425">
        <f>VLOOKUP(CONCATENATE(" ",$O7),'Chart 1b DATA'!$P$4:$T$17,2,FALSE)</f>
        <v>23</v>
      </c>
      <c r="Q7" s="425">
        <f>VLOOKUP(CONCATENATE(" ",$O7),'Chart 1b DATA'!$P$4:$T$17,3,FALSE)</f>
        <v>32</v>
      </c>
      <c r="R7" s="425">
        <f>VLOOKUP(CONCATENATE(" ",$O7),'Chart 1b DATA'!$P$4:$T$17,4,FALSE)</f>
        <v>28</v>
      </c>
      <c r="S7" s="425">
        <f>VLOOKUP(CONCATENATE(" ",$O7),'Chart 1b DATA'!$P$4:$T$17,5,FALSE)</f>
        <v>35</v>
      </c>
      <c r="T7" s="506">
        <f t="shared" si="27"/>
        <v>4</v>
      </c>
    </row>
    <row r="8" spans="1:20">
      <c r="A8" s="306" t="str">
        <f t="shared" si="13"/>
        <v>Lanarkshire</v>
      </c>
      <c r="B8" s="307">
        <f t="shared" si="14"/>
        <v>83.085250338294998</v>
      </c>
      <c r="C8" s="307">
        <f t="shared" si="15"/>
        <v>77.906976744186053</v>
      </c>
      <c r="D8" s="308">
        <f t="shared" si="16"/>
        <v>80</v>
      </c>
      <c r="E8" s="308">
        <f t="shared" si="17"/>
        <v>86</v>
      </c>
      <c r="F8" s="308">
        <f t="shared" si="18"/>
        <v>75</v>
      </c>
      <c r="G8" s="308">
        <f t="shared" si="19"/>
        <v>81</v>
      </c>
      <c r="H8" s="314" t="str">
        <f t="shared" si="20"/>
        <v>80 - 86</v>
      </c>
      <c r="I8" s="310" t="str">
        <f t="shared" si="21"/>
        <v>75 - 81</v>
      </c>
      <c r="J8" s="311">
        <f t="shared" si="22"/>
        <v>-5.1782735941089442</v>
      </c>
      <c r="K8" s="312">
        <f t="shared" si="23"/>
        <v>-0.1118060001918075</v>
      </c>
      <c r="L8" s="312">
        <f t="shared" si="24"/>
        <v>8.2405283096287155E-3</v>
      </c>
      <c r="M8" s="313">
        <f t="shared" si="25"/>
        <v>0</v>
      </c>
      <c r="N8" s="306" t="str">
        <f t="shared" si="26"/>
        <v>Lanarkshire</v>
      </c>
      <c r="O8" s="306" t="s">
        <v>31</v>
      </c>
      <c r="P8" s="425">
        <f>VLOOKUP(CONCATENATE(" ",$O8),'Chart 1b DATA'!$P$4:$T$17,2,FALSE)</f>
        <v>614</v>
      </c>
      <c r="Q8" s="425">
        <f>VLOOKUP(CONCATENATE(" ",$O8),'Chart 1b DATA'!$P$4:$T$17,3,FALSE)</f>
        <v>739</v>
      </c>
      <c r="R8" s="425">
        <f>VLOOKUP(CONCATENATE(" ",$O8),'Chart 1b DATA'!$P$4:$T$17,4,FALSE)</f>
        <v>603</v>
      </c>
      <c r="S8" s="425">
        <f>VLOOKUP(CONCATENATE(" ",$O8),'Chart 1b DATA'!$P$4:$T$17,5,FALSE)</f>
        <v>774</v>
      </c>
      <c r="T8" s="506">
        <f t="shared" si="27"/>
        <v>5</v>
      </c>
    </row>
    <row r="9" spans="1:20">
      <c r="A9" s="306" t="str">
        <f t="shared" si="13"/>
        <v>Western Isles*</v>
      </c>
      <c r="B9" s="307">
        <f t="shared" si="14"/>
        <v>85.714285714285708</v>
      </c>
      <c r="C9" s="307">
        <f t="shared" si="15"/>
        <v>82.35294117647058</v>
      </c>
      <c r="D9" s="308">
        <f t="shared" si="16"/>
        <v>69</v>
      </c>
      <c r="E9" s="308">
        <f t="shared" si="17"/>
        <v>94</v>
      </c>
      <c r="F9" s="308">
        <f t="shared" si="18"/>
        <v>66</v>
      </c>
      <c r="G9" s="308">
        <f t="shared" si="19"/>
        <v>92</v>
      </c>
      <c r="H9" s="314" t="str">
        <f t="shared" si="20"/>
        <v>69 - 94</v>
      </c>
      <c r="I9" s="310" t="str">
        <f t="shared" si="21"/>
        <v>66 - 92</v>
      </c>
      <c r="J9" s="311">
        <f t="shared" si="22"/>
        <v>-3.3613445378151283</v>
      </c>
      <c r="K9" s="312">
        <f t="shared" si="23"/>
        <v>-0.30842095465588415</v>
      </c>
      <c r="L9" s="312">
        <f t="shared" si="24"/>
        <v>0.24119406389958165</v>
      </c>
      <c r="M9" s="313">
        <f t="shared" si="25"/>
        <v>0</v>
      </c>
      <c r="N9" s="306" t="str">
        <f t="shared" si="26"/>
        <v>Western Isles</v>
      </c>
      <c r="O9" s="306" t="s">
        <v>39</v>
      </c>
      <c r="P9" s="425">
        <f>VLOOKUP(CONCATENATE(" ",$O9),'Chart 1b DATA'!$P$4:$T$17,2,FALSE)</f>
        <v>24</v>
      </c>
      <c r="Q9" s="425">
        <f>VLOOKUP(CONCATENATE(" ",$O9),'Chart 1b DATA'!$P$4:$T$17,3,FALSE)</f>
        <v>28</v>
      </c>
      <c r="R9" s="425">
        <f>VLOOKUP(CONCATENATE(" ",$O9),'Chart 1b DATA'!$P$4:$T$17,4,FALSE)</f>
        <v>28</v>
      </c>
      <c r="S9" s="425">
        <f>VLOOKUP(CONCATENATE(" ",$O9),'Chart 1b DATA'!$P$4:$T$17,5,FALSE)</f>
        <v>34</v>
      </c>
      <c r="T9" s="506">
        <f t="shared" si="27"/>
        <v>6</v>
      </c>
    </row>
    <row r="10" spans="1:20">
      <c r="A10" s="306" t="str">
        <f t="shared" si="13"/>
        <v>Forth Valley</v>
      </c>
      <c r="B10" s="307">
        <f t="shared" si="14"/>
        <v>77.354260089686093</v>
      </c>
      <c r="C10" s="307">
        <f t="shared" si="15"/>
        <v>73.040152963671119</v>
      </c>
      <c r="D10" s="308">
        <f t="shared" si="16"/>
        <v>73</v>
      </c>
      <c r="E10" s="308">
        <f t="shared" si="17"/>
        <v>81</v>
      </c>
      <c r="F10" s="308">
        <f t="shared" si="18"/>
        <v>69</v>
      </c>
      <c r="G10" s="308">
        <f t="shared" si="19"/>
        <v>77</v>
      </c>
      <c r="H10" s="314" t="str">
        <f t="shared" si="20"/>
        <v>73 - 81</v>
      </c>
      <c r="I10" s="310" t="str">
        <f t="shared" si="21"/>
        <v>69 - 77</v>
      </c>
      <c r="J10" s="311">
        <f t="shared" si="22"/>
        <v>-4.3141071260149744</v>
      </c>
      <c r="K10" s="312">
        <f t="shared" si="23"/>
        <v>-0.12510520036445316</v>
      </c>
      <c r="L10" s="312">
        <f t="shared" si="24"/>
        <v>3.8823057844153616E-2</v>
      </c>
      <c r="M10" s="313">
        <f t="shared" si="25"/>
        <v>0</v>
      </c>
      <c r="N10" s="306" t="str">
        <f t="shared" si="26"/>
        <v>Forth Valley</v>
      </c>
      <c r="O10" s="306" t="s">
        <v>37</v>
      </c>
      <c r="P10" s="425">
        <f>VLOOKUP(CONCATENATE(" ",$O10),'Chart 1b DATA'!$P$4:$T$17,2,FALSE)</f>
        <v>345</v>
      </c>
      <c r="Q10" s="425">
        <f>VLOOKUP(CONCATENATE(" ",$O10),'Chart 1b DATA'!$P$4:$T$17,3,FALSE)</f>
        <v>446</v>
      </c>
      <c r="R10" s="425">
        <f>VLOOKUP(CONCATENATE(" ",$O10),'Chart 1b DATA'!$P$4:$T$17,4,FALSE)</f>
        <v>382</v>
      </c>
      <c r="S10" s="425">
        <f>VLOOKUP(CONCATENATE(" ",$O10),'Chart 1b DATA'!$P$4:$T$17,5,FALSE)</f>
        <v>523</v>
      </c>
      <c r="T10" s="506">
        <f t="shared" si="27"/>
        <v>7</v>
      </c>
    </row>
    <row r="11" spans="1:20">
      <c r="A11" s="306" t="str">
        <f t="shared" si="13"/>
        <v>Ayrshire &amp; Arran</v>
      </c>
      <c r="B11" s="307">
        <f t="shared" si="14"/>
        <v>72.077922077922068</v>
      </c>
      <c r="C11" s="307">
        <f t="shared" si="15"/>
        <v>72.186287192755501</v>
      </c>
      <c r="D11" s="308">
        <f t="shared" si="16"/>
        <v>69</v>
      </c>
      <c r="E11" s="308">
        <f t="shared" si="17"/>
        <v>75</v>
      </c>
      <c r="F11" s="308">
        <f t="shared" si="18"/>
        <v>69</v>
      </c>
      <c r="G11" s="308">
        <f t="shared" si="19"/>
        <v>75</v>
      </c>
      <c r="H11" s="314" t="str">
        <f t="shared" si="20"/>
        <v>69 - 75</v>
      </c>
      <c r="I11" s="310" t="str">
        <f t="shared" si="21"/>
        <v>69 - 75</v>
      </c>
      <c r="J11" s="311">
        <f t="shared" si="22"/>
        <v>0.10836511483343259</v>
      </c>
      <c r="K11" s="312">
        <f t="shared" si="23"/>
        <v>-6.63763638928727E-2</v>
      </c>
      <c r="L11" s="312">
        <f t="shared" si="24"/>
        <v>6.8543666189541094E-2</v>
      </c>
      <c r="M11" s="313">
        <f t="shared" si="25"/>
        <v>0</v>
      </c>
      <c r="N11" s="306" t="str">
        <f t="shared" si="26"/>
        <v>Ayrshire &amp; Arran</v>
      </c>
      <c r="O11" s="306" t="s">
        <v>35</v>
      </c>
      <c r="P11" s="425">
        <f>VLOOKUP(CONCATENATE(" ",$O11),'Chart 1b DATA'!$P$4:$T$17,2,FALSE)</f>
        <v>555</v>
      </c>
      <c r="Q11" s="425">
        <f>VLOOKUP(CONCATENATE(" ",$O11),'Chart 1b DATA'!$P$4:$T$17,3,FALSE)</f>
        <v>770</v>
      </c>
      <c r="R11" s="425">
        <f>VLOOKUP(CONCATENATE(" ",$O11),'Chart 1b DATA'!$P$4:$T$17,4,FALSE)</f>
        <v>558</v>
      </c>
      <c r="S11" s="425">
        <f>VLOOKUP(CONCATENATE(" ",$O11),'Chart 1b DATA'!$P$4:$T$17,5,FALSE)</f>
        <v>773</v>
      </c>
      <c r="T11" s="506">
        <f t="shared" si="27"/>
        <v>8</v>
      </c>
    </row>
    <row r="12" spans="1:20">
      <c r="A12" s="306" t="str">
        <f t="shared" si="13"/>
        <v>Grampian</v>
      </c>
      <c r="B12" s="307">
        <f t="shared" si="14"/>
        <v>69.716088328075713</v>
      </c>
      <c r="C12" s="307">
        <f t="shared" si="15"/>
        <v>70</v>
      </c>
      <c r="D12" s="308">
        <f t="shared" si="16"/>
        <v>66</v>
      </c>
      <c r="E12" s="308">
        <f t="shared" si="17"/>
        <v>73</v>
      </c>
      <c r="F12" s="308">
        <f t="shared" si="18"/>
        <v>67</v>
      </c>
      <c r="G12" s="308">
        <f t="shared" si="19"/>
        <v>73</v>
      </c>
      <c r="H12" s="314" t="str">
        <f t="shared" si="20"/>
        <v>66 - 73</v>
      </c>
      <c r="I12" s="310" t="str">
        <f t="shared" si="21"/>
        <v>67 - 73</v>
      </c>
      <c r="J12" s="311">
        <f t="shared" si="22"/>
        <v>0.28391167192428668</v>
      </c>
      <c r="K12" s="312">
        <f t="shared" si="23"/>
        <v>-7.0327902816755952E-2</v>
      </c>
      <c r="L12" s="312">
        <f t="shared" si="24"/>
        <v>7.6006136255241677E-2</v>
      </c>
      <c r="M12" s="313">
        <f t="shared" si="25"/>
        <v>0</v>
      </c>
      <c r="N12" s="306" t="str">
        <f t="shared" si="26"/>
        <v>Grampian</v>
      </c>
      <c r="O12" s="306" t="s">
        <v>36</v>
      </c>
      <c r="P12" s="425">
        <f>VLOOKUP(CONCATENATE(" ",$O12),'Chart 1b DATA'!$P$4:$T$17,2,FALSE)</f>
        <v>442</v>
      </c>
      <c r="Q12" s="425">
        <f>VLOOKUP(CONCATENATE(" ",$O12),'Chart 1b DATA'!$P$4:$T$17,3,FALSE)</f>
        <v>634</v>
      </c>
      <c r="R12" s="425">
        <f>VLOOKUP(CONCATENATE(" ",$O12),'Chart 1b DATA'!$P$4:$T$17,4,FALSE)</f>
        <v>525</v>
      </c>
      <c r="S12" s="425">
        <f>VLOOKUP(CONCATENATE(" ",$O12),'Chart 1b DATA'!$P$4:$T$17,5,FALSE)</f>
        <v>750</v>
      </c>
      <c r="T12" s="506">
        <f t="shared" si="27"/>
        <v>9</v>
      </c>
    </row>
    <row r="13" spans="1:20">
      <c r="A13" s="306" t="str">
        <f t="shared" si="13"/>
        <v>Greater Glasgow &amp; Clyde</v>
      </c>
      <c r="B13" s="307">
        <f t="shared" si="14"/>
        <v>59.090909090909093</v>
      </c>
      <c r="C13" s="307">
        <f t="shared" si="15"/>
        <v>67.020408163265316</v>
      </c>
      <c r="D13" s="308">
        <f t="shared" si="16"/>
        <v>57</v>
      </c>
      <c r="E13" s="308">
        <f t="shared" si="17"/>
        <v>61</v>
      </c>
      <c r="F13" s="308">
        <f t="shared" si="18"/>
        <v>65</v>
      </c>
      <c r="G13" s="308">
        <f t="shared" si="19"/>
        <v>69</v>
      </c>
      <c r="H13" s="314" t="str">
        <f t="shared" si="20"/>
        <v>57 - 61</v>
      </c>
      <c r="I13" s="310" t="str">
        <f t="shared" si="21"/>
        <v>65 - 69</v>
      </c>
      <c r="J13" s="311">
        <f t="shared" si="22"/>
        <v>7.9294990723562222</v>
      </c>
      <c r="K13" s="312">
        <f t="shared" si="23"/>
        <v>3.9281657825616378E-2</v>
      </c>
      <c r="L13" s="312">
        <f t="shared" si="24"/>
        <v>0.11930832362150795</v>
      </c>
      <c r="M13" s="313">
        <f t="shared" si="25"/>
        <v>1</v>
      </c>
      <c r="N13" s="306" t="str">
        <f t="shared" si="26"/>
        <v>Greater Glasgow &amp; Clyde</v>
      </c>
      <c r="O13" s="306" t="s">
        <v>42</v>
      </c>
      <c r="P13" s="425">
        <f>VLOOKUP(CONCATENATE(" ",$O13),'Chart 1b DATA'!$P$4:$T$17,2,FALSE)</f>
        <v>1534</v>
      </c>
      <c r="Q13" s="425">
        <f>VLOOKUP(CONCATENATE(" ",$O13),'Chart 1b DATA'!$P$4:$T$17,3,FALSE)</f>
        <v>2596</v>
      </c>
      <c r="R13" s="425">
        <f>VLOOKUP(CONCATENATE(" ",$O13),'Chart 1b DATA'!$P$4:$T$17,4,FALSE)</f>
        <v>1642</v>
      </c>
      <c r="S13" s="425">
        <f>VLOOKUP(CONCATENATE(" ",$O13),'Chart 1b DATA'!$P$4:$T$17,5,FALSE)</f>
        <v>2450</v>
      </c>
      <c r="T13" s="506">
        <f t="shared" si="27"/>
        <v>10</v>
      </c>
    </row>
    <row r="14" spans="1:20">
      <c r="A14" s="306" t="str">
        <f t="shared" si="13"/>
        <v>Tayside</v>
      </c>
      <c r="B14" s="307">
        <f t="shared" si="14"/>
        <v>68.222621184919205</v>
      </c>
      <c r="C14" s="307">
        <f t="shared" si="15"/>
        <v>64.768683274021356</v>
      </c>
      <c r="D14" s="308">
        <f t="shared" si="16"/>
        <v>64</v>
      </c>
      <c r="E14" s="308">
        <f t="shared" si="17"/>
        <v>72</v>
      </c>
      <c r="F14" s="308">
        <f t="shared" si="18"/>
        <v>61</v>
      </c>
      <c r="G14" s="308">
        <f t="shared" si="19"/>
        <v>69</v>
      </c>
      <c r="H14" s="314" t="str">
        <f t="shared" si="20"/>
        <v>64 - 72</v>
      </c>
      <c r="I14" s="310" t="str">
        <f t="shared" si="21"/>
        <v>61 - 69</v>
      </c>
      <c r="J14" s="311">
        <f t="shared" si="22"/>
        <v>-3.4539379108978494</v>
      </c>
      <c r="K14" s="312">
        <f t="shared" si="23"/>
        <v>-0.11787540211189225</v>
      </c>
      <c r="L14" s="312">
        <f t="shared" si="24"/>
        <v>4.879664389393519E-2</v>
      </c>
      <c r="M14" s="313">
        <f t="shared" si="25"/>
        <v>0</v>
      </c>
      <c r="N14" s="306" t="str">
        <f t="shared" si="26"/>
        <v>Tayside</v>
      </c>
      <c r="O14" s="306" t="s">
        <v>34</v>
      </c>
      <c r="P14" s="425">
        <f>VLOOKUP(CONCATENATE(" ",$O14),'Chart 1b DATA'!$P$4:$T$17,2,FALSE)</f>
        <v>380</v>
      </c>
      <c r="Q14" s="425">
        <f>VLOOKUP(CONCATENATE(" ",$O14),'Chart 1b DATA'!$P$4:$T$17,3,FALSE)</f>
        <v>557</v>
      </c>
      <c r="R14" s="425">
        <f>VLOOKUP(CONCATENATE(" ",$O14),'Chart 1b DATA'!$P$4:$T$17,4,FALSE)</f>
        <v>364</v>
      </c>
      <c r="S14" s="425">
        <f>VLOOKUP(CONCATENATE(" ",$O14),'Chart 1b DATA'!$P$4:$T$17,5,FALSE)</f>
        <v>562</v>
      </c>
      <c r="T14" s="506">
        <f t="shared" si="27"/>
        <v>11</v>
      </c>
    </row>
    <row r="15" spans="1:20">
      <c r="A15" s="306" t="str">
        <f t="shared" si="13"/>
        <v>Lothian</v>
      </c>
      <c r="B15" s="307">
        <f t="shared" si="14"/>
        <v>55.057803468208085</v>
      </c>
      <c r="C15" s="307">
        <f t="shared" si="15"/>
        <v>61.059907834101381</v>
      </c>
      <c r="D15" s="308">
        <f t="shared" si="16"/>
        <v>52</v>
      </c>
      <c r="E15" s="308">
        <f t="shared" si="17"/>
        <v>58</v>
      </c>
      <c r="F15" s="308">
        <f t="shared" si="18"/>
        <v>58</v>
      </c>
      <c r="G15" s="308">
        <f t="shared" si="19"/>
        <v>64</v>
      </c>
      <c r="H15" s="314" t="str">
        <f t="shared" si="20"/>
        <v>52 - 58</v>
      </c>
      <c r="I15" s="310" t="str">
        <f t="shared" si="21"/>
        <v>58 - 64</v>
      </c>
      <c r="J15" s="311">
        <f t="shared" si="22"/>
        <v>6.0021043658932953</v>
      </c>
      <c r="K15" s="312">
        <f t="shared" si="23"/>
        <v>3.841397064012736E-3</v>
      </c>
      <c r="L15" s="312">
        <f t="shared" si="24"/>
        <v>0.11620069025385307</v>
      </c>
      <c r="M15" s="313">
        <f t="shared" si="25"/>
        <v>1</v>
      </c>
      <c r="N15" s="306" t="str">
        <f t="shared" si="26"/>
        <v>Lothian</v>
      </c>
      <c r="O15" s="306" t="s">
        <v>40</v>
      </c>
      <c r="P15" s="425">
        <f>VLOOKUP(CONCATENATE(" ",$O15),'Chart 1b DATA'!$P$4:$T$17,2,FALSE)</f>
        <v>762</v>
      </c>
      <c r="Q15" s="425">
        <f>VLOOKUP(CONCATENATE(" ",$O15),'Chart 1b DATA'!$P$4:$T$17,3,FALSE)</f>
        <v>1384</v>
      </c>
      <c r="R15" s="425">
        <f>VLOOKUP(CONCATENATE(" ",$O15),'Chart 1b DATA'!$P$4:$T$17,4,FALSE)</f>
        <v>795</v>
      </c>
      <c r="S15" s="425">
        <f>VLOOKUP(CONCATENATE(" ",$O15),'Chart 1b DATA'!$P$4:$T$17,5,FALSE)</f>
        <v>1302</v>
      </c>
      <c r="T15" s="506">
        <f t="shared" si="27"/>
        <v>12</v>
      </c>
    </row>
    <row r="16" spans="1:20">
      <c r="A16" s="306" t="str">
        <f t="shared" si="13"/>
        <v>Highland*</v>
      </c>
      <c r="B16" s="307">
        <f t="shared" si="14"/>
        <v>63.374485596707821</v>
      </c>
      <c r="C16" s="307">
        <f t="shared" si="15"/>
        <v>54.379562043795616</v>
      </c>
      <c r="D16" s="308">
        <f t="shared" si="16"/>
        <v>59</v>
      </c>
      <c r="E16" s="308">
        <f t="shared" si="17"/>
        <v>68</v>
      </c>
      <c r="F16" s="308">
        <f t="shared" si="18"/>
        <v>50</v>
      </c>
      <c r="G16" s="308">
        <f t="shared" si="19"/>
        <v>59</v>
      </c>
      <c r="H16" s="314" t="str">
        <f t="shared" si="20"/>
        <v>59 - 68</v>
      </c>
      <c r="I16" s="310" t="str">
        <f t="shared" si="21"/>
        <v>50 - 59</v>
      </c>
      <c r="J16" s="311">
        <f t="shared" si="22"/>
        <v>-8.9949235529122049</v>
      </c>
      <c r="K16" s="312">
        <f t="shared" si="23"/>
        <v>-0.18008432555676118</v>
      </c>
      <c r="L16" s="312">
        <f t="shared" si="24"/>
        <v>1.8585449851711566E-4</v>
      </c>
      <c r="M16" s="313">
        <f t="shared" si="25"/>
        <v>-1</v>
      </c>
      <c r="N16" s="306" t="str">
        <f t="shared" si="26"/>
        <v>Highland</v>
      </c>
      <c r="O16" s="306" t="s">
        <v>38</v>
      </c>
      <c r="P16" s="425">
        <f>VLOOKUP(CONCATENATE(" ",$O16),'Chart 1b DATA'!$P$4:$T$17,2,FALSE)</f>
        <v>308</v>
      </c>
      <c r="Q16" s="425">
        <f>VLOOKUP(CONCATENATE(" ",$O16),'Chart 1b DATA'!$P$4:$T$17,3,FALSE)</f>
        <v>486</v>
      </c>
      <c r="R16" s="425">
        <f>VLOOKUP(CONCATENATE(" ",$O16),'Chart 1b DATA'!$P$4:$T$17,4,FALSE)</f>
        <v>298</v>
      </c>
      <c r="S16" s="425">
        <f>VLOOKUP(CONCATENATE(" ",$O16),'Chart 1b DATA'!$P$4:$T$17,5,FALSE)</f>
        <v>548</v>
      </c>
      <c r="T16" s="506">
        <f t="shared" si="27"/>
        <v>13</v>
      </c>
    </row>
    <row r="17" spans="1:20">
      <c r="A17" s="306" t="str">
        <f t="shared" si="13"/>
        <v>Orkney*</v>
      </c>
      <c r="B17" s="307">
        <f t="shared" si="14"/>
        <v>19.230769230769234</v>
      </c>
      <c r="C17" s="307">
        <f t="shared" si="15"/>
        <v>40.625</v>
      </c>
      <c r="D17" s="308">
        <f t="shared" si="16"/>
        <v>11</v>
      </c>
      <c r="E17" s="308">
        <f t="shared" si="17"/>
        <v>32</v>
      </c>
      <c r="F17" s="308">
        <f t="shared" si="18"/>
        <v>29</v>
      </c>
      <c r="G17" s="308">
        <f t="shared" si="19"/>
        <v>53</v>
      </c>
      <c r="H17" s="314" t="str">
        <f t="shared" si="20"/>
        <v>11 - 32</v>
      </c>
      <c r="I17" s="310" t="str">
        <f t="shared" si="21"/>
        <v>29 - 53</v>
      </c>
      <c r="J17" s="311">
        <f t="shared" si="22"/>
        <v>21.394230769230766</v>
      </c>
      <c r="K17" s="312">
        <f t="shared" si="23"/>
        <v>-2.8956384454637635E-2</v>
      </c>
      <c r="L17" s="312">
        <f t="shared" si="24"/>
        <v>0.45684099983925297</v>
      </c>
      <c r="M17" s="313">
        <f t="shared" si="25"/>
        <v>0</v>
      </c>
      <c r="N17" s="306" t="str">
        <f t="shared" si="26"/>
        <v>Orkney</v>
      </c>
      <c r="O17" s="306" t="s">
        <v>43</v>
      </c>
      <c r="P17" s="425">
        <f>VLOOKUP(CONCATENATE(" ",$O17),'Chart 1b DATA'!$P$4:$T$17,2,FALSE)</f>
        <v>10</v>
      </c>
      <c r="Q17" s="425">
        <f>VLOOKUP(CONCATENATE(" ",$O17),'Chart 1b DATA'!$P$4:$T$17,3,FALSE)</f>
        <v>52</v>
      </c>
      <c r="R17" s="425">
        <f>VLOOKUP(CONCATENATE(" ",$O17),'Chart 1b DATA'!$P$4:$T$17,4,FALSE)</f>
        <v>26</v>
      </c>
      <c r="S17" s="425">
        <f>VLOOKUP(CONCATENATE(" ",$O17),'Chart 1b DATA'!$P$4:$T$17,5,FALSE)</f>
        <v>64</v>
      </c>
      <c r="T17" s="506">
        <f t="shared" si="27"/>
        <v>14</v>
      </c>
    </row>
    <row r="18" spans="1:20" ht="30" customHeight="1">
      <c r="A18" s="417" t="s">
        <v>19</v>
      </c>
      <c r="B18" s="813" t="s">
        <v>585</v>
      </c>
      <c r="C18" s="814"/>
      <c r="D18" s="814"/>
      <c r="E18" s="814"/>
      <c r="F18" s="814"/>
      <c r="G18" s="814"/>
      <c r="H18" s="295"/>
      <c r="I18" s="296"/>
      <c r="J18" s="296"/>
      <c r="K18" s="296"/>
      <c r="L18" s="296"/>
      <c r="M18" s="296"/>
      <c r="N18" s="815" t="s">
        <v>20</v>
      </c>
      <c r="O18" s="816"/>
      <c r="P18" s="815">
        <v>2014</v>
      </c>
      <c r="Q18" s="815"/>
      <c r="R18" s="815">
        <v>2015</v>
      </c>
      <c r="S18" s="815"/>
    </row>
    <row r="19" spans="1:20" ht="23.25" customHeight="1">
      <c r="A19" s="418" t="s">
        <v>412</v>
      </c>
      <c r="B19" s="297" t="s">
        <v>298</v>
      </c>
      <c r="C19" s="297" t="s">
        <v>491</v>
      </c>
      <c r="D19" s="817" t="s">
        <v>492</v>
      </c>
      <c r="E19" s="817"/>
      <c r="F19" s="817" t="s">
        <v>493</v>
      </c>
      <c r="G19" s="818"/>
      <c r="H19" s="299" t="s">
        <v>23</v>
      </c>
      <c r="I19" s="300" t="s">
        <v>300</v>
      </c>
      <c r="J19" s="301" t="s">
        <v>24</v>
      </c>
      <c r="K19" s="302" t="s">
        <v>16</v>
      </c>
      <c r="L19" s="302" t="s">
        <v>15</v>
      </c>
      <c r="M19" s="303" t="s">
        <v>25</v>
      </c>
      <c r="N19" s="304" t="s">
        <v>26</v>
      </c>
      <c r="O19" s="305" t="s">
        <v>27</v>
      </c>
      <c r="P19" s="305" t="s">
        <v>28</v>
      </c>
      <c r="Q19" s="305" t="s">
        <v>29</v>
      </c>
      <c r="R19" s="305" t="s">
        <v>28</v>
      </c>
      <c r="S19" s="305" t="s">
        <v>29</v>
      </c>
      <c r="T19" s="505"/>
    </row>
    <row r="20" spans="1:20">
      <c r="A20" s="306" t="s">
        <v>137</v>
      </c>
      <c r="B20" s="307">
        <f t="shared" ref="B20" si="28">P20/Q20*100</f>
        <v>61.920567700583732</v>
      </c>
      <c r="C20" s="307">
        <f t="shared" ref="C20" si="29">R20/S20*100</f>
        <v>63.738089962331046</v>
      </c>
      <c r="D20" s="16">
        <f t="shared" ref="D20" si="30">SUM(1*MID(H20,1,FIND(" - ",H20)-1))</f>
        <v>61</v>
      </c>
      <c r="E20" s="308">
        <f t="shared" ref="E20" si="31">SUM(1*MID(H20,FIND(" - ",H20)+2,LEN(H20)))</f>
        <v>63</v>
      </c>
      <c r="F20" s="308">
        <f t="shared" ref="F20" si="32">SUM(1*MID(I20,1,FIND(" - ",I20)-1))</f>
        <v>63</v>
      </c>
      <c r="G20" s="308">
        <f t="shared" ref="G20" si="33">SUM(1*MID(I20,FIND(" - ",I20)+2,LEN(I20)))</f>
        <v>65</v>
      </c>
      <c r="H20" s="309" t="str">
        <f t="shared" ref="H20" si="34">IF(AND(Q20&gt;0,ROUND(SUM(100*((2*P20+1.96^2)-(1.96*(SQRT(1.96^2+4*P20*(1-(P20/Q20))))))/(2*(Q20+1.96^2))),0)&lt;0),CONCATENATE(SUM(1*0)," - ",ROUND(SUM(100*((2*P20+1.96^2)+(1.96*(SQRT(1.96^2+4*P20*(1-(P20/Q20))))))/(2*(Q20+1.96^2))),0)),IF(AND(Q20&gt;0,ROUND(SUM(100*((2*P20+1.96^2)-(1.96*(SQRT(1.96^2+4*P20*(1-(P20/Q20))))))/(2*(Q20+1.96^2))),0)&gt;=0),CONCATENATE(ROUND(SUM(100*((2*P20+1.96^2)-(1.96*(SQRT(1.96^2+4*P20*(1-(P20/Q20))))))/(2*(Q20+1.96^2))),0)," - ",ROUND(SUM(100*((2*P20+1.96^2)+(1.96*(SQRT(1.96^2+4*P20*(1-(P20/Q20))))))/(2*(Q20+1.96^2))),0)),""))</f>
        <v>61 - 63</v>
      </c>
      <c r="I20" s="310" t="str">
        <f t="shared" ref="I20" si="35">IF(AND(S20&gt;0,ROUND(SUM(100*((2*R20+1.96^2)-(1.96*(SQRT(1.96^2+4*R20*(1-(R20/S20))))))/(2*(S20+1.96^2))),0)&lt;0),CONCATENATE(SUM(1*0)," - ",ROUND(SUM(100*((2*R20+1.96^2)+(1.96*(SQRT(1.96^2+4*R20*(1-(R20/S20))))))/(2*(S20+1.96^2))),0)),IF(AND(S20&gt;0,ROUND(SUM(100*((2*R20+1.96^2)-(1.96*(SQRT(1.96^2+4*R20*(1-(R20/S20))))))/(2*(S20+1.96^2))),0)&gt;=0),CONCATENATE(ROUND(SUM(100*((2*R20+1.96^2)-(1.96*(SQRT(1.96^2+4*R20*(1-(R20/S20))))))/(2*(S20+1.96^2))),0)," - ",ROUND(SUM(100*((2*R20+1.96^2)+(1.96*(SQRT(1.96^2+4*R20*(1-(R20/S20))))))/(2*(S20+1.96^2))),0)),""))</f>
        <v>63 - 65</v>
      </c>
      <c r="J20" s="311">
        <f t="shared" ref="J20" si="36">C20-B20</f>
        <v>1.8175222617473139</v>
      </c>
      <c r="K20" s="312">
        <f t="shared" ref="K20" si="37">((R20/S20)-(P20/Q20))-(NORMSINV(1-(0.05/COUNTA($N$3:$N$34)))*(SQRT((((P20/Q20)*(1-(P20/Q20)))/Q20)+(((R20/S20)*(1-(R20/S20)))/S20))))</f>
        <v>-3.256211117969577E-3</v>
      </c>
      <c r="L20" s="312">
        <f t="shared" ref="L20" si="38">((R20/S20)-(P20/Q20))+(NORMSINV(1-(0.05/COUNTA($N$3:$N$34)))*(SQRT((((P20/Q20)*(1-(P20/Q20)))/Q20)+(((R20/S20)*(1-(R20/S20)))/S20))))</f>
        <v>3.9606656352915923E-2</v>
      </c>
      <c r="M20" s="313">
        <f t="shared" ref="M20" si="39">IF(ISERR(IF(AND(((R20/S20)-(P20/Q20))-(NORMSINV(1-(0.05/COUNTA($O$3:$O$17)))*(SQRT((((P20/Q20)*(1-(P20/Q20)))/Q20)+(((R20/S20)*(1-(R20/S20)))/S20))))&gt;0,((R20/S20)-(P20/Q20))+(NORMSINV(1-(0.05/COUNTA($O$3:$O$17)))*(SQRT((((P20/Q20)*(1-(P20/Q20)))/Q20)+(((R20/S20)*(1-(R20/S20)))/S20))))&gt;0),1,IF(AND(((R20/S20)-(P20/Q20))-(NORMSINV(1-(0.05/COUNTA($O$3:$O$17)))*(SQRT((((P20/Q20)*(1-(P20/Q20)))/Q20)+(((R20/S20)*(1-(R20/S20)))/S20))))&lt;0,((R20/S20)-(P20/Q20))+(NORMSINV(1-(0.05/COUNTA($O$3:$O$17)))*(SQRT((((P20/Q20)*(1-(P20/Q20)))/Q20)+(((R20/S20)*(1-(R20/S20)))/S20))))&lt;0),-1,0))),"",IF(AND(((R20/S20)-(P20/Q20))-(NORMSINV(1-(0.05/COUNTA($O$3:$O$17)))*(SQRT((((P20/Q20)*(1-(P20/Q20)))/Q20)+(((R20/S20)*(1-(R20/S20)))/S20))))&gt;0,((R20/S20)-(P20/Q20))+(NORMSINV(1-(0.05/COUNTA($O$3:$O$17)))*(SQRT((((P20/Q20)*(1-(P20/Q20)))/Q20)+(((R20/S20)*(1-(R20/S20)))/S20))))&gt;0),1,IF(AND(((R20/S20)-(P20/Q20))-(NORMSINV(1-(0.05/COUNTA($O$3:$O$17)))*(SQRT((((P20/Q20)*(1-(P20/Q20)))/Q20)+(((R20/S20)*(1-(R20/S20)))/S20))))&lt;0,((R20/S20)-(P20/Q20))+(NORMSINV(1-(0.05/COUNTA($O$3:$O$17)))*(SQRT((((P20/Q20)*(1-(P20/Q20)))/Q20)+(((R20/S20)*(1-(R20/S20)))/S20))))&lt;0),-1,0)))</f>
        <v>0</v>
      </c>
      <c r="N20" s="306" t="s">
        <v>137</v>
      </c>
      <c r="O20" s="306" t="s">
        <v>286</v>
      </c>
      <c r="P20" s="425">
        <f>SUM(P21:P34)</f>
        <v>5410</v>
      </c>
      <c r="Q20" s="425">
        <f t="shared" ref="Q20:S20" si="40">SUM(Q21:Q34)</f>
        <v>8737</v>
      </c>
      <c r="R20" s="425">
        <f t="shared" si="40"/>
        <v>5753</v>
      </c>
      <c r="S20" s="425">
        <f t="shared" si="40"/>
        <v>9026</v>
      </c>
      <c r="T20" s="506" t="s">
        <v>404</v>
      </c>
    </row>
    <row r="21" spans="1:20">
      <c r="A21" s="306" t="str">
        <f t="shared" ref="A21:A34" si="41">IF(OR(O21="Western Isles",O21="Dumfries &amp; Galloway",O21="Shetland",O21="Highland",O21="Orkney"),CONCATENATE(O21,"*"),O21)</f>
        <v>Borders</v>
      </c>
      <c r="B21" s="307">
        <f t="shared" ref="B21:B34" si="42">P21/Q21*100</f>
        <v>85.436893203883486</v>
      </c>
      <c r="C21" s="307">
        <f t="shared" ref="C21:C34" si="43">R21/S21*100</f>
        <v>78.995433789954333</v>
      </c>
      <c r="D21" s="308">
        <f t="shared" ref="D21:D34" si="44">SUM(1*MID(H21,1,FIND(" - ",H21)-1))</f>
        <v>80</v>
      </c>
      <c r="E21" s="308">
        <f t="shared" ref="E21:E34" si="45">SUM(1*MID(H21,FIND(" - ",H21)+2,LEN(H21)))</f>
        <v>90</v>
      </c>
      <c r="F21" s="308">
        <f t="shared" ref="F21:F34" si="46">SUM(1*MID(I21,1,FIND(" - ",I21)-1))</f>
        <v>73</v>
      </c>
      <c r="G21" s="308">
        <f t="shared" ref="G21:G34" si="47">SUM(1*MID(I21,FIND(" - ",I21)+2,LEN(I21)))</f>
        <v>84</v>
      </c>
      <c r="H21" s="314" t="str">
        <f t="shared" ref="H21:H34" si="48">IF(AND(Q21&gt;0,ROUND(SUM(100*((2*P21+1.96^2)-(1.96*(SQRT(1.96^2+4*P21*(1-(P21/Q21))))))/(2*(Q21+1.96^2))),0)&lt;0),CONCATENATE(SUM(1*0)," - ",ROUND(SUM(100*((2*P21+1.96^2)+(1.96*(SQRT(1.96^2+4*P21*(1-(P21/Q21))))))/(2*(Q21+1.96^2))),0)),IF(AND(Q21&gt;0,ROUND(SUM(100*((2*P21+1.96^2)-(1.96*(SQRT(1.96^2+4*P21*(1-(P21/Q21))))))/(2*(Q21+1.96^2))),0)&gt;=0),CONCATENATE(ROUND(SUM(100*((2*P21+1.96^2)-(1.96*(SQRT(1.96^2+4*P21*(1-(P21/Q21))))))/(2*(Q21+1.96^2))),0)," - ",ROUND(SUM(100*((2*P21+1.96^2)+(1.96*(SQRT(1.96^2+4*P21*(1-(P21/Q21))))))/(2*(Q21+1.96^2))),0)),""))</f>
        <v>80 - 90</v>
      </c>
      <c r="I21" s="310" t="str">
        <f t="shared" ref="I21:I34" si="49">IF(AND(S21&gt;0,ROUND(SUM(100*((2*R21+1.96^2)-(1.96*(SQRT(1.96^2+4*R21*(1-(R21/S21))))))/(2*(S21+1.96^2))),0)&lt;0),CONCATENATE(SUM(1*0)," - ",ROUND(SUM(100*((2*R21+1.96^2)+(1.96*(SQRT(1.96^2+4*R21*(1-(R21/S21))))))/(2*(S21+1.96^2))),0)),IF(AND(S21&gt;0,ROUND(SUM(100*((2*R21+1.96^2)-(1.96*(SQRT(1.96^2+4*R21*(1-(R21/S21))))))/(2*(S21+1.96^2))),0)&gt;=0),CONCATENATE(ROUND(SUM(100*((2*R21+1.96^2)-(1.96*(SQRT(1.96^2+4*R21*(1-(R21/S21))))))/(2*(S21+1.96^2))),0)," - ",ROUND(SUM(100*((2*R21+1.96^2)+(1.96*(SQRT(1.96^2+4*R21*(1-(R21/S21))))))/(2*(S21+1.96^2))),0)),""))</f>
        <v>73 - 84</v>
      </c>
      <c r="J21" s="311">
        <f t="shared" ref="J21:J34" si="50">C21-B21</f>
        <v>-6.4414594139291523</v>
      </c>
      <c r="K21" s="312">
        <f t="shared" ref="K21:K34" si="51">((R21/S21)-(P21/Q21))-(NORMSINV(1-(0.05/COUNTA($N$3:$N$34)))*(SQRT((((P21/Q21)*(1-(P21/Q21)))/Q21)+(((R21/S21)*(1-(R21/S21)))/S21))))</f>
        <v>-0.17346179901280279</v>
      </c>
      <c r="L21" s="312">
        <f t="shared" ref="L21:L34" si="52">((R21/S21)-(P21/Q21))+(NORMSINV(1-(0.05/COUNTA($N$3:$N$34)))*(SQRT((((P21/Q21)*(1-(P21/Q21)))/Q21)+(((R21/S21)*(1-(R21/S21)))/S21))))</f>
        <v>4.4632610734219744E-2</v>
      </c>
      <c r="M21" s="313">
        <f t="shared" ref="M21:M34" si="53">IF(ISERR(IF(AND(((R21/S21)-(P21/Q21))-(NORMSINV(1-(0.05/COUNTA($O$3:$O$17)))*(SQRT((((P21/Q21)*(1-(P21/Q21)))/Q21)+(((R21/S21)*(1-(R21/S21)))/S21))))&gt;0,((R21/S21)-(P21/Q21))+(NORMSINV(1-(0.05/COUNTA($O$3:$O$17)))*(SQRT((((P21/Q21)*(1-(P21/Q21)))/Q21)+(((R21/S21)*(1-(R21/S21)))/S21))))&gt;0),1,IF(AND(((R21/S21)-(P21/Q21))-(NORMSINV(1-(0.05/COUNTA($O$3:$O$17)))*(SQRT((((P21/Q21)*(1-(P21/Q21)))/Q21)+(((R21/S21)*(1-(R21/S21)))/S21))))&lt;0,((R21/S21)-(P21/Q21))+(NORMSINV(1-(0.05/COUNTA($O$3:$O$17)))*(SQRT((((P21/Q21)*(1-(P21/Q21)))/Q21)+(((R21/S21)*(1-(R21/S21)))/S21))))&lt;0),-1,0))),"",IF(AND(((R21/S21)-(P21/Q21))-(NORMSINV(1-(0.05/COUNTA($O$3:$O$17)))*(SQRT((((P21/Q21)*(1-(P21/Q21)))/Q21)+(((R21/S21)*(1-(R21/S21)))/S21))))&gt;0,((R21/S21)-(P21/Q21))+(NORMSINV(1-(0.05/COUNTA($O$3:$O$17)))*(SQRT((((P21/Q21)*(1-(P21/Q21)))/Q21)+(((R21/S21)*(1-(R21/S21)))/S21))))&gt;0),1,IF(AND(((R21/S21)-(P21/Q21))-(NORMSINV(1-(0.05/COUNTA($O$3:$O$17)))*(SQRT((((P21/Q21)*(1-(P21/Q21)))/Q21)+(((R21/S21)*(1-(R21/S21)))/S21))))&lt;0,((R21/S21)-(P21/Q21))+(NORMSINV(1-(0.05/COUNTA($O$3:$O$17)))*(SQRT((((P21/Q21)*(1-(P21/Q21)))/Q21)+(((R21/S21)*(1-(R21/S21)))/S21))))&lt;0),-1,0)))</f>
        <v>0</v>
      </c>
      <c r="N21" s="306" t="str">
        <f t="shared" ref="N21:N34" si="54">O21</f>
        <v>Borders</v>
      </c>
      <c r="O21" s="306" t="s">
        <v>30</v>
      </c>
      <c r="P21" s="425">
        <f>VLOOKUP($O21,'Chart 1b DATA (final diag)'!$P$4:$T$17,2,FALSE)</f>
        <v>176</v>
      </c>
      <c r="Q21" s="425">
        <f>VLOOKUP($O21,'Chart 1b DATA (final diag)'!$P$4:$T$17,3,FALSE)</f>
        <v>206</v>
      </c>
      <c r="R21" s="425">
        <f>VLOOKUP($O21,'Chart 1b DATA (final diag)'!$P$4:$T$17,4,FALSE)</f>
        <v>173</v>
      </c>
      <c r="S21" s="425">
        <f>VLOOKUP($O21,'Chart 1b DATA (final diag)'!$P$4:$T$17,5,FALSE)</f>
        <v>219</v>
      </c>
      <c r="T21" s="506">
        <f t="shared" ref="T21:T34" si="55">VLOOKUP(O21,$O$38:$T$51,6,FALSE)</f>
        <v>1</v>
      </c>
    </row>
    <row r="22" spans="1:20">
      <c r="A22" s="306" t="str">
        <f t="shared" si="41"/>
        <v>Dumfries &amp; Galloway*</v>
      </c>
      <c r="B22" s="307">
        <f t="shared" si="42"/>
        <v>71.134020618556704</v>
      </c>
      <c r="C22" s="307">
        <f t="shared" si="43"/>
        <v>71.378091872791515</v>
      </c>
      <c r="D22" s="308">
        <f t="shared" si="44"/>
        <v>66</v>
      </c>
      <c r="E22" s="308">
        <f t="shared" si="45"/>
        <v>76</v>
      </c>
      <c r="F22" s="308">
        <f t="shared" si="46"/>
        <v>66</v>
      </c>
      <c r="G22" s="308">
        <f t="shared" si="47"/>
        <v>76</v>
      </c>
      <c r="H22" s="314" t="str">
        <f t="shared" si="48"/>
        <v>66 - 76</v>
      </c>
      <c r="I22" s="310" t="str">
        <f t="shared" si="49"/>
        <v>66 - 76</v>
      </c>
      <c r="J22" s="311">
        <f t="shared" si="50"/>
        <v>0.24407125423481091</v>
      </c>
      <c r="K22" s="312">
        <f t="shared" si="51"/>
        <v>-0.10921297300692547</v>
      </c>
      <c r="L22" s="312">
        <f t="shared" si="52"/>
        <v>0.11409439809162171</v>
      </c>
      <c r="M22" s="313">
        <f t="shared" si="53"/>
        <v>0</v>
      </c>
      <c r="N22" s="306" t="str">
        <f t="shared" si="54"/>
        <v>Dumfries &amp; Galloway</v>
      </c>
      <c r="O22" s="306" t="s">
        <v>33</v>
      </c>
      <c r="P22" s="425">
        <f>VLOOKUP($O22,'Chart 1b DATA (final diag)'!$P$4:$T$17,2,FALSE)</f>
        <v>207</v>
      </c>
      <c r="Q22" s="425">
        <f>VLOOKUP($O22,'Chart 1b DATA (final diag)'!$P$4:$T$17,3,FALSE)</f>
        <v>291</v>
      </c>
      <c r="R22" s="425">
        <f>VLOOKUP($O22,'Chart 1b DATA (final diag)'!$P$4:$T$17,4,FALSE)</f>
        <v>202</v>
      </c>
      <c r="S22" s="425">
        <f>VLOOKUP($O22,'Chart 1b DATA (final diag)'!$P$4:$T$17,5,FALSE)</f>
        <v>283</v>
      </c>
      <c r="T22" s="506">
        <f t="shared" si="55"/>
        <v>2</v>
      </c>
    </row>
    <row r="23" spans="1:20">
      <c r="A23" s="306" t="str">
        <f t="shared" si="41"/>
        <v>Fife</v>
      </c>
      <c r="B23" s="307">
        <f t="shared" si="42"/>
        <v>70.588235294117652</v>
      </c>
      <c r="C23" s="307">
        <f t="shared" si="43"/>
        <v>73.65930599369085</v>
      </c>
      <c r="D23" s="308">
        <f t="shared" si="44"/>
        <v>67</v>
      </c>
      <c r="E23" s="308">
        <f t="shared" si="45"/>
        <v>74</v>
      </c>
      <c r="F23" s="308">
        <f t="shared" si="46"/>
        <v>70</v>
      </c>
      <c r="G23" s="308">
        <f t="shared" si="47"/>
        <v>77</v>
      </c>
      <c r="H23" s="314" t="str">
        <f t="shared" si="48"/>
        <v>67 - 74</v>
      </c>
      <c r="I23" s="310" t="str">
        <f t="shared" si="49"/>
        <v>70 - 77</v>
      </c>
      <c r="J23" s="311">
        <f t="shared" si="50"/>
        <v>3.0710706995731982</v>
      </c>
      <c r="K23" s="312">
        <f t="shared" si="51"/>
        <v>-4.3821542484748455E-2</v>
      </c>
      <c r="L23" s="312">
        <f t="shared" si="52"/>
        <v>0.1052429564762124</v>
      </c>
      <c r="M23" s="313">
        <f t="shared" si="53"/>
        <v>0</v>
      </c>
      <c r="N23" s="306" t="str">
        <f t="shared" si="54"/>
        <v>Fife</v>
      </c>
      <c r="O23" s="306" t="s">
        <v>32</v>
      </c>
      <c r="P23" s="425">
        <f>VLOOKUP($O23,'Chart 1b DATA (final diag)'!$P$4:$T$17,2,FALSE)</f>
        <v>444</v>
      </c>
      <c r="Q23" s="425">
        <f>VLOOKUP($O23,'Chart 1b DATA (final diag)'!$P$4:$T$17,3,FALSE)</f>
        <v>629</v>
      </c>
      <c r="R23" s="425">
        <f>VLOOKUP($O23,'Chart 1b DATA (final diag)'!$P$4:$T$17,4,FALSE)</f>
        <v>467</v>
      </c>
      <c r="S23" s="425">
        <f>VLOOKUP($O23,'Chart 1b DATA (final diag)'!$P$4:$T$17,5,FALSE)</f>
        <v>634</v>
      </c>
      <c r="T23" s="506">
        <f t="shared" si="55"/>
        <v>3</v>
      </c>
    </row>
    <row r="24" spans="1:20">
      <c r="A24" s="306" t="str">
        <f t="shared" si="41"/>
        <v>Shetland*</v>
      </c>
      <c r="B24" s="307">
        <f t="shared" si="42"/>
        <v>68.571428571428569</v>
      </c>
      <c r="C24" s="307">
        <f t="shared" si="43"/>
        <v>77.142857142857153</v>
      </c>
      <c r="D24" s="308">
        <f t="shared" si="44"/>
        <v>52</v>
      </c>
      <c r="E24" s="308">
        <f t="shared" si="45"/>
        <v>81</v>
      </c>
      <c r="F24" s="308">
        <f t="shared" si="46"/>
        <v>61</v>
      </c>
      <c r="G24" s="308">
        <f t="shared" si="47"/>
        <v>88</v>
      </c>
      <c r="H24" s="314" t="str">
        <f t="shared" si="48"/>
        <v>52 - 81</v>
      </c>
      <c r="I24" s="310" t="str">
        <f t="shared" si="49"/>
        <v>61 - 88</v>
      </c>
      <c r="J24" s="311">
        <f t="shared" si="50"/>
        <v>8.5714285714285836</v>
      </c>
      <c r="K24" s="312">
        <f t="shared" si="51"/>
        <v>-0.22696604178228386</v>
      </c>
      <c r="L24" s="312">
        <f t="shared" si="52"/>
        <v>0.39839461321085534</v>
      </c>
      <c r="M24" s="313">
        <f t="shared" si="53"/>
        <v>0</v>
      </c>
      <c r="N24" s="306" t="str">
        <f t="shared" si="54"/>
        <v>Shetland</v>
      </c>
      <c r="O24" s="306" t="s">
        <v>41</v>
      </c>
      <c r="P24" s="425">
        <f>VLOOKUP($O24,'Chart 1b DATA (final diag)'!$P$4:$T$17,2,FALSE)</f>
        <v>24</v>
      </c>
      <c r="Q24" s="425">
        <f>VLOOKUP($O24,'Chart 1b DATA (final diag)'!$P$4:$T$17,3,FALSE)</f>
        <v>35</v>
      </c>
      <c r="R24" s="425">
        <f>VLOOKUP($O24,'Chart 1b DATA (final diag)'!$P$4:$T$17,4,FALSE)</f>
        <v>27</v>
      </c>
      <c r="S24" s="425">
        <f>VLOOKUP($O24,'Chart 1b DATA (final diag)'!$P$4:$T$17,5,FALSE)</f>
        <v>35</v>
      </c>
      <c r="T24" s="506">
        <f t="shared" si="55"/>
        <v>4</v>
      </c>
    </row>
    <row r="25" spans="1:20">
      <c r="A25" s="306" t="str">
        <f t="shared" si="41"/>
        <v>Lanarkshire</v>
      </c>
      <c r="B25" s="307">
        <f t="shared" si="42"/>
        <v>76.19047619047619</v>
      </c>
      <c r="C25" s="307">
        <f t="shared" si="43"/>
        <v>68.795811518324612</v>
      </c>
      <c r="D25" s="308">
        <f t="shared" si="44"/>
        <v>73</v>
      </c>
      <c r="E25" s="308">
        <f t="shared" si="45"/>
        <v>79</v>
      </c>
      <c r="F25" s="308">
        <f t="shared" si="46"/>
        <v>66</v>
      </c>
      <c r="G25" s="308">
        <f t="shared" si="47"/>
        <v>72</v>
      </c>
      <c r="H25" s="314" t="str">
        <f t="shared" si="48"/>
        <v>73 - 79</v>
      </c>
      <c r="I25" s="310" t="str">
        <f t="shared" si="49"/>
        <v>66 - 72</v>
      </c>
      <c r="J25" s="311">
        <f t="shared" si="50"/>
        <v>-7.3946646721515776</v>
      </c>
      <c r="K25" s="312">
        <f t="shared" si="51"/>
        <v>-0.1345898024037584</v>
      </c>
      <c r="L25" s="312">
        <f t="shared" si="52"/>
        <v>-1.3303491039273092E-2</v>
      </c>
      <c r="M25" s="313">
        <f t="shared" si="53"/>
        <v>-1</v>
      </c>
      <c r="N25" s="306" t="str">
        <f t="shared" si="54"/>
        <v>Lanarkshire</v>
      </c>
      <c r="O25" s="306" t="s">
        <v>31</v>
      </c>
      <c r="P25" s="425">
        <f>VLOOKUP($O25,'Chart 1b DATA (final diag)'!$P$4:$T$17,2,FALSE)</f>
        <v>704</v>
      </c>
      <c r="Q25" s="425">
        <f>VLOOKUP($O25,'Chart 1b DATA (final diag)'!$P$4:$T$17,3,FALSE)</f>
        <v>924</v>
      </c>
      <c r="R25" s="425">
        <f>VLOOKUP($O25,'Chart 1b DATA (final diag)'!$P$4:$T$17,4,FALSE)</f>
        <v>657</v>
      </c>
      <c r="S25" s="425">
        <f>VLOOKUP($O25,'Chart 1b DATA (final diag)'!$P$4:$T$17,5,FALSE)</f>
        <v>955</v>
      </c>
      <c r="T25" s="506">
        <f t="shared" si="55"/>
        <v>5</v>
      </c>
    </row>
    <row r="26" spans="1:20">
      <c r="A26" s="306" t="str">
        <f t="shared" si="41"/>
        <v>Western Isles*</v>
      </c>
      <c r="B26" s="307">
        <f t="shared" si="42"/>
        <v>81.818181818181827</v>
      </c>
      <c r="C26" s="307">
        <f t="shared" si="43"/>
        <v>80</v>
      </c>
      <c r="D26" s="308">
        <f t="shared" si="44"/>
        <v>61</v>
      </c>
      <c r="E26" s="308">
        <f t="shared" si="45"/>
        <v>93</v>
      </c>
      <c r="F26" s="308">
        <f t="shared" si="46"/>
        <v>64</v>
      </c>
      <c r="G26" s="308">
        <f t="shared" si="47"/>
        <v>90</v>
      </c>
      <c r="H26" s="314" t="str">
        <f t="shared" si="48"/>
        <v>61 - 93</v>
      </c>
      <c r="I26" s="310" t="str">
        <f t="shared" si="49"/>
        <v>64 - 90</v>
      </c>
      <c r="J26" s="311">
        <f t="shared" si="50"/>
        <v>-1.8181818181818272</v>
      </c>
      <c r="K26" s="312">
        <f t="shared" si="51"/>
        <v>-0.33278235995003652</v>
      </c>
      <c r="L26" s="312">
        <f t="shared" si="52"/>
        <v>0.29641872358640015</v>
      </c>
      <c r="M26" s="313">
        <f t="shared" si="53"/>
        <v>0</v>
      </c>
      <c r="N26" s="306" t="str">
        <f t="shared" si="54"/>
        <v>Western Isles</v>
      </c>
      <c r="O26" s="306" t="s">
        <v>39</v>
      </c>
      <c r="P26" s="425">
        <f>VLOOKUP($O26,'Chart 1b DATA (final diag)'!$P$4:$T$17,2,FALSE)</f>
        <v>18</v>
      </c>
      <c r="Q26" s="425">
        <f>VLOOKUP($O26,'Chart 1b DATA (final diag)'!$P$4:$T$17,3,FALSE)</f>
        <v>22</v>
      </c>
      <c r="R26" s="425">
        <f>VLOOKUP($O26,'Chart 1b DATA (final diag)'!$P$4:$T$17,4,FALSE)</f>
        <v>28</v>
      </c>
      <c r="S26" s="425">
        <f>VLOOKUP($O26,'Chart 1b DATA (final diag)'!$P$4:$T$17,5,FALSE)</f>
        <v>35</v>
      </c>
      <c r="T26" s="506">
        <f t="shared" si="55"/>
        <v>6</v>
      </c>
    </row>
    <row r="27" spans="1:20">
      <c r="A27" s="306" t="str">
        <f t="shared" si="41"/>
        <v>Forth Valley</v>
      </c>
      <c r="B27" s="307">
        <f t="shared" si="42"/>
        <v>67.786561264822126</v>
      </c>
      <c r="C27" s="307">
        <f t="shared" si="43"/>
        <v>67.095588235294116</v>
      </c>
      <c r="D27" s="308">
        <f t="shared" si="44"/>
        <v>64</v>
      </c>
      <c r="E27" s="308">
        <f t="shared" si="45"/>
        <v>72</v>
      </c>
      <c r="F27" s="308">
        <f t="shared" si="46"/>
        <v>63</v>
      </c>
      <c r="G27" s="308">
        <f t="shared" si="47"/>
        <v>71</v>
      </c>
      <c r="H27" s="314" t="str">
        <f t="shared" si="48"/>
        <v>64 - 72</v>
      </c>
      <c r="I27" s="310" t="str">
        <f t="shared" si="49"/>
        <v>63 - 71</v>
      </c>
      <c r="J27" s="311">
        <f t="shared" si="50"/>
        <v>-0.69097302952800987</v>
      </c>
      <c r="K27" s="312">
        <f t="shared" si="51"/>
        <v>-9.2425119620583446E-2</v>
      </c>
      <c r="L27" s="312">
        <f t="shared" si="52"/>
        <v>7.8605659030023062E-2</v>
      </c>
      <c r="M27" s="313">
        <f t="shared" si="53"/>
        <v>0</v>
      </c>
      <c r="N27" s="306" t="str">
        <f t="shared" si="54"/>
        <v>Forth Valley</v>
      </c>
      <c r="O27" s="306" t="s">
        <v>37</v>
      </c>
      <c r="P27" s="425">
        <f>VLOOKUP($O27,'Chart 1b DATA (final diag)'!$P$4:$T$17,2,FALSE)</f>
        <v>343</v>
      </c>
      <c r="Q27" s="425">
        <f>VLOOKUP($O27,'Chart 1b DATA (final diag)'!$P$4:$T$17,3,FALSE)</f>
        <v>506</v>
      </c>
      <c r="R27" s="425">
        <f>VLOOKUP($O27,'Chart 1b DATA (final diag)'!$P$4:$T$17,4,FALSE)</f>
        <v>365</v>
      </c>
      <c r="S27" s="425">
        <f>VLOOKUP($O27,'Chart 1b DATA (final diag)'!$P$4:$T$17,5,FALSE)</f>
        <v>544</v>
      </c>
      <c r="T27" s="506">
        <f t="shared" si="55"/>
        <v>7</v>
      </c>
    </row>
    <row r="28" spans="1:20">
      <c r="A28" s="306" t="str">
        <f t="shared" si="41"/>
        <v>Ayrshire &amp; Arran</v>
      </c>
      <c r="B28" s="307">
        <f t="shared" si="42"/>
        <v>62.677165354330711</v>
      </c>
      <c r="C28" s="307">
        <f t="shared" si="43"/>
        <v>64.769230769230774</v>
      </c>
      <c r="D28" s="308">
        <f t="shared" si="44"/>
        <v>59</v>
      </c>
      <c r="E28" s="308">
        <f t="shared" si="45"/>
        <v>66</v>
      </c>
      <c r="F28" s="308">
        <f t="shared" si="46"/>
        <v>61</v>
      </c>
      <c r="G28" s="308">
        <f t="shared" si="47"/>
        <v>68</v>
      </c>
      <c r="H28" s="314" t="str">
        <f t="shared" si="48"/>
        <v>59 - 66</v>
      </c>
      <c r="I28" s="310" t="str">
        <f t="shared" si="49"/>
        <v>61 - 68</v>
      </c>
      <c r="J28" s="311">
        <f t="shared" si="50"/>
        <v>2.0920654149000626</v>
      </c>
      <c r="K28" s="312">
        <f t="shared" si="51"/>
        <v>-5.8344442667044569E-2</v>
      </c>
      <c r="L28" s="312">
        <f t="shared" si="52"/>
        <v>0.10018575096504571</v>
      </c>
      <c r="M28" s="313">
        <f t="shared" si="53"/>
        <v>0</v>
      </c>
      <c r="N28" s="306" t="str">
        <f t="shared" si="54"/>
        <v>Ayrshire &amp; Arran</v>
      </c>
      <c r="O28" s="306" t="s">
        <v>35</v>
      </c>
      <c r="P28" s="425">
        <f>VLOOKUP($O28,'Chart 1b DATA (final diag)'!$P$4:$T$17,2,FALSE)</f>
        <v>398</v>
      </c>
      <c r="Q28" s="425">
        <f>VLOOKUP($O28,'Chart 1b DATA (final diag)'!$P$4:$T$17,3,FALSE)</f>
        <v>635</v>
      </c>
      <c r="R28" s="425">
        <f>VLOOKUP($O28,'Chart 1b DATA (final diag)'!$P$4:$T$17,4,FALSE)</f>
        <v>421</v>
      </c>
      <c r="S28" s="425">
        <f>VLOOKUP($O28,'Chart 1b DATA (final diag)'!$P$4:$T$17,5,FALSE)</f>
        <v>650</v>
      </c>
      <c r="T28" s="506">
        <f t="shared" si="55"/>
        <v>8</v>
      </c>
    </row>
    <row r="29" spans="1:20">
      <c r="A29" s="306" t="str">
        <f t="shared" si="41"/>
        <v>Grampian</v>
      </c>
      <c r="B29" s="307">
        <f t="shared" si="42"/>
        <v>61.294765840220386</v>
      </c>
      <c r="C29" s="307">
        <f t="shared" si="43"/>
        <v>64.277035236938033</v>
      </c>
      <c r="D29" s="308">
        <f t="shared" si="44"/>
        <v>58</v>
      </c>
      <c r="E29" s="308">
        <f t="shared" si="45"/>
        <v>65</v>
      </c>
      <c r="F29" s="308">
        <f t="shared" si="46"/>
        <v>61</v>
      </c>
      <c r="G29" s="308">
        <f t="shared" si="47"/>
        <v>67</v>
      </c>
      <c r="H29" s="314" t="str">
        <f t="shared" si="48"/>
        <v>58 - 65</v>
      </c>
      <c r="I29" s="310" t="str">
        <f t="shared" si="49"/>
        <v>61 - 67</v>
      </c>
      <c r="J29" s="311">
        <f t="shared" si="50"/>
        <v>2.9822693967176477</v>
      </c>
      <c r="K29" s="312">
        <f t="shared" si="51"/>
        <v>-4.2911658796660312E-2</v>
      </c>
      <c r="L29" s="312">
        <f t="shared" si="52"/>
        <v>0.10255704673101312</v>
      </c>
      <c r="M29" s="313">
        <f t="shared" si="53"/>
        <v>0</v>
      </c>
      <c r="N29" s="306" t="str">
        <f t="shared" si="54"/>
        <v>Grampian</v>
      </c>
      <c r="O29" s="306" t="s">
        <v>36</v>
      </c>
      <c r="P29" s="425">
        <f>VLOOKUP($O29,'Chart 1b DATA (final diag)'!$P$4:$T$17,2,FALSE)</f>
        <v>445</v>
      </c>
      <c r="Q29" s="425">
        <f>VLOOKUP($O29,'Chart 1b DATA (final diag)'!$P$4:$T$17,3,FALSE)</f>
        <v>726</v>
      </c>
      <c r="R29" s="425">
        <f>VLOOKUP($O29,'Chart 1b DATA (final diag)'!$P$4:$T$17,4,FALSE)</f>
        <v>529</v>
      </c>
      <c r="S29" s="425">
        <f>VLOOKUP($O29,'Chart 1b DATA (final diag)'!$P$4:$T$17,5,FALSE)</f>
        <v>823</v>
      </c>
      <c r="T29" s="506">
        <f t="shared" si="55"/>
        <v>9</v>
      </c>
    </row>
    <row r="30" spans="1:20">
      <c r="A30" s="306" t="str">
        <f t="shared" si="41"/>
        <v>Greater Glasgow &amp; Clyde</v>
      </c>
      <c r="B30" s="307">
        <f t="shared" si="42"/>
        <v>57.104795737122558</v>
      </c>
      <c r="C30" s="307">
        <f t="shared" si="43"/>
        <v>64.055505819158469</v>
      </c>
      <c r="D30" s="308">
        <f t="shared" si="44"/>
        <v>55</v>
      </c>
      <c r="E30" s="308">
        <f t="shared" si="45"/>
        <v>59</v>
      </c>
      <c r="F30" s="308">
        <f t="shared" si="46"/>
        <v>62</v>
      </c>
      <c r="G30" s="308">
        <f t="shared" si="47"/>
        <v>66</v>
      </c>
      <c r="H30" s="314" t="str">
        <f t="shared" si="48"/>
        <v>55 - 59</v>
      </c>
      <c r="I30" s="310" t="str">
        <f t="shared" si="49"/>
        <v>62 - 66</v>
      </c>
      <c r="J30" s="311">
        <f t="shared" si="50"/>
        <v>6.9507100820359113</v>
      </c>
      <c r="K30" s="312">
        <f t="shared" si="51"/>
        <v>2.6496006164596915E-2</v>
      </c>
      <c r="L30" s="312">
        <f t="shared" si="52"/>
        <v>0.11251819547612119</v>
      </c>
      <c r="M30" s="313">
        <f t="shared" si="53"/>
        <v>1</v>
      </c>
      <c r="N30" s="306" t="str">
        <f t="shared" si="54"/>
        <v>Greater Glasgow &amp; Clyde</v>
      </c>
      <c r="O30" s="306" t="s">
        <v>42</v>
      </c>
      <c r="P30" s="425">
        <f>VLOOKUP($O30,'Chart 1b DATA (final diag)'!$P$4:$T$17,2,FALSE)</f>
        <v>1286</v>
      </c>
      <c r="Q30" s="425">
        <f>VLOOKUP($O30,'Chart 1b DATA (final diag)'!$P$4:$T$17,3,FALSE)</f>
        <v>2252</v>
      </c>
      <c r="R30" s="425">
        <f>VLOOKUP($O30,'Chart 1b DATA (final diag)'!$P$4:$T$17,4,FALSE)</f>
        <v>1431</v>
      </c>
      <c r="S30" s="425">
        <f>VLOOKUP($O30,'Chart 1b DATA (final diag)'!$P$4:$T$17,5,FALSE)</f>
        <v>2234</v>
      </c>
      <c r="T30" s="506">
        <f t="shared" si="55"/>
        <v>10</v>
      </c>
    </row>
    <row r="31" spans="1:20">
      <c r="A31" s="306" t="str">
        <f t="shared" si="41"/>
        <v>Tayside</v>
      </c>
      <c r="B31" s="307">
        <f t="shared" si="42"/>
        <v>64.137931034482747</v>
      </c>
      <c r="C31" s="307">
        <f t="shared" si="43"/>
        <v>59.905660377358494</v>
      </c>
      <c r="D31" s="308">
        <f t="shared" si="44"/>
        <v>60</v>
      </c>
      <c r="E31" s="308">
        <f t="shared" si="45"/>
        <v>68</v>
      </c>
      <c r="F31" s="308">
        <f t="shared" si="46"/>
        <v>56</v>
      </c>
      <c r="G31" s="308">
        <f t="shared" si="47"/>
        <v>64</v>
      </c>
      <c r="H31" s="314" t="str">
        <f t="shared" si="48"/>
        <v>60 - 68</v>
      </c>
      <c r="I31" s="310" t="str">
        <f t="shared" si="49"/>
        <v>56 - 64</v>
      </c>
      <c r="J31" s="311">
        <f t="shared" si="50"/>
        <v>-4.2322706571242534</v>
      </c>
      <c r="K31" s="312">
        <f t="shared" si="51"/>
        <v>-0.12454997753931224</v>
      </c>
      <c r="L31" s="312">
        <f t="shared" si="52"/>
        <v>3.9904564396827047E-2</v>
      </c>
      <c r="M31" s="313">
        <f t="shared" si="53"/>
        <v>0</v>
      </c>
      <c r="N31" s="306" t="str">
        <f t="shared" si="54"/>
        <v>Tayside</v>
      </c>
      <c r="O31" s="306" t="s">
        <v>34</v>
      </c>
      <c r="P31" s="425">
        <f>VLOOKUP($O31,'Chart 1b DATA (final diag)'!$P$4:$T$17,2,FALSE)</f>
        <v>372</v>
      </c>
      <c r="Q31" s="425">
        <f>VLOOKUP($O31,'Chart 1b DATA (final diag)'!$P$4:$T$17,3,FALSE)</f>
        <v>580</v>
      </c>
      <c r="R31" s="425">
        <f>VLOOKUP($O31,'Chart 1b DATA (final diag)'!$P$4:$T$17,4,FALSE)</f>
        <v>381</v>
      </c>
      <c r="S31" s="425">
        <f>VLOOKUP($O31,'Chart 1b DATA (final diag)'!$P$4:$T$17,5,FALSE)</f>
        <v>636</v>
      </c>
      <c r="T31" s="506">
        <f t="shared" si="55"/>
        <v>11</v>
      </c>
    </row>
    <row r="32" spans="1:20">
      <c r="A32" s="306" t="str">
        <f t="shared" si="41"/>
        <v>Lothian</v>
      </c>
      <c r="B32" s="307">
        <f t="shared" si="42"/>
        <v>48.525280898876403</v>
      </c>
      <c r="C32" s="307">
        <f t="shared" si="43"/>
        <v>53.995830437804024</v>
      </c>
      <c r="D32" s="308">
        <f t="shared" si="44"/>
        <v>46</v>
      </c>
      <c r="E32" s="308">
        <f t="shared" si="45"/>
        <v>51</v>
      </c>
      <c r="F32" s="308">
        <f t="shared" si="46"/>
        <v>51</v>
      </c>
      <c r="G32" s="308">
        <f t="shared" si="47"/>
        <v>57</v>
      </c>
      <c r="H32" s="314" t="str">
        <f t="shared" si="48"/>
        <v>46 - 51</v>
      </c>
      <c r="I32" s="310" t="str">
        <f t="shared" si="49"/>
        <v>51 - 57</v>
      </c>
      <c r="J32" s="311">
        <f t="shared" si="50"/>
        <v>5.4705495389276209</v>
      </c>
      <c r="K32" s="312">
        <f t="shared" si="51"/>
        <v>-4.2490366052543721E-4</v>
      </c>
      <c r="L32" s="312">
        <f t="shared" si="52"/>
        <v>0.10983589443907787</v>
      </c>
      <c r="M32" s="313">
        <f t="shared" si="53"/>
        <v>1</v>
      </c>
      <c r="N32" s="306" t="str">
        <f t="shared" si="54"/>
        <v>Lothian</v>
      </c>
      <c r="O32" s="306" t="s">
        <v>40</v>
      </c>
      <c r="P32" s="425">
        <f>VLOOKUP($O32,'Chart 1b DATA (final diag)'!$P$4:$T$17,2,FALSE)</f>
        <v>691</v>
      </c>
      <c r="Q32" s="425">
        <f>VLOOKUP($O32,'Chart 1b DATA (final diag)'!$P$4:$T$17,3,FALSE)</f>
        <v>1424</v>
      </c>
      <c r="R32" s="425">
        <f>VLOOKUP($O32,'Chart 1b DATA (final diag)'!$P$4:$T$17,4,FALSE)</f>
        <v>777</v>
      </c>
      <c r="S32" s="425">
        <f>VLOOKUP($O32,'Chart 1b DATA (final diag)'!$P$4:$T$17,5,FALSE)</f>
        <v>1439</v>
      </c>
      <c r="T32" s="506">
        <f t="shared" si="55"/>
        <v>12</v>
      </c>
    </row>
    <row r="33" spans="1:20">
      <c r="A33" s="306" t="str">
        <f t="shared" si="41"/>
        <v>Highland*</v>
      </c>
      <c r="B33" s="307">
        <f t="shared" si="42"/>
        <v>63.16916488222698</v>
      </c>
      <c r="C33" s="307">
        <f t="shared" si="43"/>
        <v>55.511022044088179</v>
      </c>
      <c r="D33" s="308">
        <f t="shared" si="44"/>
        <v>59</v>
      </c>
      <c r="E33" s="308">
        <f t="shared" si="45"/>
        <v>67</v>
      </c>
      <c r="F33" s="308">
        <f t="shared" si="46"/>
        <v>51</v>
      </c>
      <c r="G33" s="308">
        <f t="shared" si="47"/>
        <v>60</v>
      </c>
      <c r="H33" s="314" t="str">
        <f t="shared" si="48"/>
        <v>59 - 67</v>
      </c>
      <c r="I33" s="310" t="str">
        <f t="shared" si="49"/>
        <v>51 - 60</v>
      </c>
      <c r="J33" s="311">
        <f t="shared" si="50"/>
        <v>-7.6581428381388008</v>
      </c>
      <c r="K33" s="312">
        <f t="shared" si="51"/>
        <v>-0.16970956645243618</v>
      </c>
      <c r="L33" s="312">
        <f t="shared" si="52"/>
        <v>1.65467096896601E-2</v>
      </c>
      <c r="M33" s="313">
        <f t="shared" si="53"/>
        <v>0</v>
      </c>
      <c r="N33" s="306" t="str">
        <f t="shared" si="54"/>
        <v>Highland</v>
      </c>
      <c r="O33" s="306" t="s">
        <v>38</v>
      </c>
      <c r="P33" s="425">
        <f>VLOOKUP($O33,'Chart 1b DATA (final diag)'!$P$4:$T$17,2,FALSE)</f>
        <v>295</v>
      </c>
      <c r="Q33" s="425">
        <f>VLOOKUP($O33,'Chart 1b DATA (final diag)'!$P$4:$T$17,3,FALSE)</f>
        <v>467</v>
      </c>
      <c r="R33" s="425">
        <f>VLOOKUP($O33,'Chart 1b DATA (final diag)'!$P$4:$T$17,4,FALSE)</f>
        <v>277</v>
      </c>
      <c r="S33" s="425">
        <f>VLOOKUP($O33,'Chart 1b DATA (final diag)'!$P$4:$T$17,5,FALSE)</f>
        <v>499</v>
      </c>
      <c r="T33" s="506">
        <f t="shared" si="55"/>
        <v>13</v>
      </c>
    </row>
    <row r="34" spans="1:20">
      <c r="A34" s="306" t="str">
        <f t="shared" si="41"/>
        <v>Orkney*</v>
      </c>
      <c r="B34" s="307">
        <f t="shared" si="42"/>
        <v>17.5</v>
      </c>
      <c r="C34" s="307">
        <f t="shared" si="43"/>
        <v>45</v>
      </c>
      <c r="D34" s="308">
        <f t="shared" si="44"/>
        <v>9</v>
      </c>
      <c r="E34" s="308">
        <f t="shared" si="45"/>
        <v>32</v>
      </c>
      <c r="F34" s="308">
        <f t="shared" si="46"/>
        <v>31</v>
      </c>
      <c r="G34" s="308">
        <f t="shared" si="47"/>
        <v>60</v>
      </c>
      <c r="H34" s="314" t="str">
        <f t="shared" si="48"/>
        <v>9 - 32</v>
      </c>
      <c r="I34" s="310" t="str">
        <f t="shared" si="49"/>
        <v>31 - 60</v>
      </c>
      <c r="J34" s="311">
        <f t="shared" si="50"/>
        <v>27.5</v>
      </c>
      <c r="K34" s="312">
        <f t="shared" si="51"/>
        <v>-1.7499945447031262E-2</v>
      </c>
      <c r="L34" s="312">
        <f t="shared" si="52"/>
        <v>0.56749994544703131</v>
      </c>
      <c r="M34" s="313">
        <f t="shared" si="53"/>
        <v>1</v>
      </c>
      <c r="N34" s="306" t="str">
        <f t="shared" si="54"/>
        <v>Orkney</v>
      </c>
      <c r="O34" s="306" t="s">
        <v>43</v>
      </c>
      <c r="P34" s="425">
        <f>VLOOKUP($O34,'Chart 1b DATA (final diag)'!$P$4:$T$17,2,FALSE)</f>
        <v>7</v>
      </c>
      <c r="Q34" s="425">
        <f>VLOOKUP($O34,'Chart 1b DATA (final diag)'!$P$4:$T$17,3,FALSE)</f>
        <v>40</v>
      </c>
      <c r="R34" s="425">
        <f>VLOOKUP($O34,'Chart 1b DATA (final diag)'!$P$4:$T$17,4,FALSE)</f>
        <v>18</v>
      </c>
      <c r="S34" s="425">
        <f>VLOOKUP($O34,'Chart 1b DATA (final diag)'!$P$4:$T$17,5,FALSE)</f>
        <v>40</v>
      </c>
      <c r="T34" s="506">
        <f t="shared" si="55"/>
        <v>14</v>
      </c>
    </row>
    <row r="35" spans="1:20" ht="30" customHeight="1">
      <c r="A35" s="417" t="s">
        <v>19</v>
      </c>
      <c r="B35" s="813" t="s">
        <v>585</v>
      </c>
      <c r="C35" s="814"/>
      <c r="D35" s="814"/>
      <c r="E35" s="814"/>
      <c r="F35" s="814"/>
      <c r="G35" s="814"/>
      <c r="H35" s="295"/>
      <c r="I35" s="296"/>
      <c r="J35" s="296"/>
      <c r="K35" s="296"/>
      <c r="L35" s="296"/>
      <c r="M35" s="296"/>
      <c r="N35" s="815" t="s">
        <v>20</v>
      </c>
      <c r="O35" s="816"/>
      <c r="P35" s="815">
        <v>2014</v>
      </c>
      <c r="Q35" s="815"/>
      <c r="R35" s="815">
        <v>2015</v>
      </c>
      <c r="S35" s="815"/>
    </row>
    <row r="36" spans="1:20" ht="23.25" customHeight="1">
      <c r="A36" s="419" t="s">
        <v>407</v>
      </c>
      <c r="B36" s="297" t="s">
        <v>298</v>
      </c>
      <c r="C36" s="297" t="s">
        <v>491</v>
      </c>
      <c r="D36" s="817" t="s">
        <v>492</v>
      </c>
      <c r="E36" s="817"/>
      <c r="F36" s="817" t="s">
        <v>493</v>
      </c>
      <c r="G36" s="818"/>
      <c r="H36" s="299" t="s">
        <v>23</v>
      </c>
      <c r="I36" s="300" t="s">
        <v>300</v>
      </c>
      <c r="J36" s="301" t="s">
        <v>24</v>
      </c>
      <c r="K36" s="302" t="s">
        <v>16</v>
      </c>
      <c r="L36" s="302" t="s">
        <v>15</v>
      </c>
      <c r="M36" s="303" t="s">
        <v>25</v>
      </c>
      <c r="N36" s="304" t="s">
        <v>26</v>
      </c>
      <c r="O36" s="305" t="s">
        <v>27</v>
      </c>
      <c r="P36" s="305" t="s">
        <v>28</v>
      </c>
      <c r="Q36" s="305" t="s">
        <v>29</v>
      </c>
      <c r="R36" s="305" t="s">
        <v>28</v>
      </c>
      <c r="S36" s="305" t="s">
        <v>29</v>
      </c>
      <c r="T36" s="507" t="s">
        <v>404</v>
      </c>
    </row>
    <row r="37" spans="1:20">
      <c r="A37" s="306" t="s">
        <v>137</v>
      </c>
      <c r="B37" s="307">
        <f t="shared" ref="B37:B51" si="56">P37/Q37*100</f>
        <v>66.979051819184122</v>
      </c>
      <c r="C37" s="307">
        <f t="shared" ref="C37:C51" si="57">R37/S37*100</f>
        <v>68.413372247280449</v>
      </c>
      <c r="D37" s="16">
        <f t="shared" ref="D37:D51" si="58">SUM(1*MID(H37,1,FIND(" - ",H37)-1))</f>
        <v>66</v>
      </c>
      <c r="E37" s="308">
        <f t="shared" ref="E37:E51" si="59">SUM(1*MID(H37,FIND(" - ",H37)+2,LEN(H37)))</f>
        <v>68</v>
      </c>
      <c r="F37" s="308">
        <f t="shared" ref="F37:F51" si="60">SUM(1*MID(I37,1,FIND(" - ",I37)-1))</f>
        <v>67</v>
      </c>
      <c r="G37" s="308">
        <f t="shared" ref="G37:G51" si="61">SUM(1*MID(I37,FIND(" - ",I37)+2,LEN(I37)))</f>
        <v>69</v>
      </c>
      <c r="H37" s="309" t="str">
        <f t="shared" ref="H37:H51" si="62">IF(AND(Q37&gt;0,ROUND(SUM(100*((2*P37+1.96^2)-(1.96*(SQRT(1.96^2+4*P37*(1-(P37/Q37))))))/(2*(Q37+1.96^2))),0)&lt;0),CONCATENATE(SUM(1*0)," - ",ROUND(SUM(100*((2*P37+1.96^2)+(1.96*(SQRT(1.96^2+4*P37*(1-(P37/Q37))))))/(2*(Q37+1.96^2))),0)),IF(AND(Q37&gt;0,ROUND(SUM(100*((2*P37+1.96^2)-(1.96*(SQRT(1.96^2+4*P37*(1-(P37/Q37))))))/(2*(Q37+1.96^2))),0)&gt;=0),CONCATENATE(ROUND(SUM(100*((2*P37+1.96^2)-(1.96*(SQRT(1.96^2+4*P37*(1-(P37/Q37))))))/(2*(Q37+1.96^2))),0)," - ",ROUND(SUM(100*((2*P37+1.96^2)+(1.96*(SQRT(1.96^2+4*P37*(1-(P37/Q37))))))/(2*(Q37+1.96^2))),0)),""))</f>
        <v>66 - 68</v>
      </c>
      <c r="I37" s="310" t="str">
        <f t="shared" ref="I37:I51" si="63">IF(AND(S37&gt;0,ROUND(SUM(100*((2*R37+1.96^2)-(1.96*(SQRT(1.96^2+4*R37*(1-(R37/S37))))))/(2*(S37+1.96^2))),0)&lt;0),CONCATENATE(SUM(1*0)," - ",ROUND(SUM(100*((2*R37+1.96^2)+(1.96*(SQRT(1.96^2+4*R37*(1-(R37/S37))))))/(2*(S37+1.96^2))),0)),IF(AND(S37&gt;0,ROUND(SUM(100*((2*R37+1.96^2)-(1.96*(SQRT(1.96^2+4*R37*(1-(R37/S37))))))/(2*(S37+1.96^2))),0)&gt;=0),CONCATENATE(ROUND(SUM(100*((2*R37+1.96^2)-(1.96*(SQRT(1.96^2+4*R37*(1-(R37/S37))))))/(2*(S37+1.96^2))),0)," - ",ROUND(SUM(100*((2*R37+1.96^2)+(1.96*(SQRT(1.96^2+4*R37*(1-(R37/S37))))))/(2*(S37+1.96^2))),0)),""))</f>
        <v>67 - 69</v>
      </c>
      <c r="J37" s="311">
        <f t="shared" ref="J37:J51" si="64">C37-B37</f>
        <v>1.4343204280963278</v>
      </c>
      <c r="K37" s="312">
        <f t="shared" ref="K37:K51" si="65">((R37/S37)-(P37/Q37))-(NORMSINV(1-(0.05/COUNTA($N$3:$N$34)))*(SQRT((((P37/Q37)*(1-(P37/Q37)))/Q37)+(((R37/S37)*(1-(R37/S37)))/S37))))</f>
        <v>-8.3844173922763415E-3</v>
      </c>
      <c r="L37" s="312">
        <f t="shared" ref="L37:L51" si="66">((R37/S37)-(P37/Q37))+(NORMSINV(1-(0.05/COUNTA($N$3:$N$34)))*(SQRT((((P37/Q37)*(1-(P37/Q37)))/Q37)+(((R37/S37)*(1-(R37/S37)))/S37))))</f>
        <v>3.7070825954202843E-2</v>
      </c>
      <c r="M37" s="313">
        <f t="shared" ref="M37:M51" si="67">IF(ISERR(IF(AND(((R37/S37)-(P37/Q37))-(NORMSINV(1-(0.05/COUNTA($O$3:$O$17)))*(SQRT((((P37/Q37)*(1-(P37/Q37)))/Q37)+(((R37/S37)*(1-(R37/S37)))/S37))))&gt;0,((R37/S37)-(P37/Q37))+(NORMSINV(1-(0.05/COUNTA($O$3:$O$17)))*(SQRT((((P37/Q37)*(1-(P37/Q37)))/Q37)+(((R37/S37)*(1-(R37/S37)))/S37))))&gt;0),1,IF(AND(((R37/S37)-(P37/Q37))-(NORMSINV(1-(0.05/COUNTA($O$3:$O$17)))*(SQRT((((P37/Q37)*(1-(P37/Q37)))/Q37)+(((R37/S37)*(1-(R37/S37)))/S37))))&lt;0,((R37/S37)-(P37/Q37))+(NORMSINV(1-(0.05/COUNTA($O$3:$O$17)))*(SQRT((((P37/Q37)*(1-(P37/Q37)))/Q37)+(((R37/S37)*(1-(R37/S37)))/S37))))&lt;0),-1,0))),"",IF(AND(((R37/S37)-(P37/Q37))-(NORMSINV(1-(0.05/COUNTA($O$3:$O$17)))*(SQRT((((P37/Q37)*(1-(P37/Q37)))/Q37)+(((R37/S37)*(1-(R37/S37)))/S37))))&gt;0,((R37/S37)-(P37/Q37))+(NORMSINV(1-(0.05/COUNTA($O$3:$O$17)))*(SQRT((((P37/Q37)*(1-(P37/Q37)))/Q37)+(((R37/S37)*(1-(R37/S37)))/S37))))&gt;0),1,IF(AND(((R37/S37)-(P37/Q37))-(NORMSINV(1-(0.05/COUNTA($O$3:$O$17)))*(SQRT((((P37/Q37)*(1-(P37/Q37)))/Q37)+(((R37/S37)*(1-(R37/S37)))/S37))))&lt;0,((R37/S37)-(P37/Q37))+(NORMSINV(1-(0.05/COUNTA($O$3:$O$17)))*(SQRT((((P37/Q37)*(1-(P37/Q37)))/Q37)+(((R37/S37)*(1-(R37/S37)))/S37))))&lt;0),-1,0)))</f>
        <v>0</v>
      </c>
      <c r="N37" s="306" t="s">
        <v>137</v>
      </c>
      <c r="O37" s="306" t="s">
        <v>286</v>
      </c>
      <c r="P37" s="425">
        <f>SUM(P38:P51)</f>
        <v>4860</v>
      </c>
      <c r="Q37" s="425">
        <f>SUM(Q38:Q51)</f>
        <v>7256</v>
      </c>
      <c r="R37" s="425">
        <f>SUM(R38:R51)</f>
        <v>5157</v>
      </c>
      <c r="S37" s="425">
        <f>SUM(S38:S51)</f>
        <v>7538</v>
      </c>
      <c r="T37" s="507"/>
    </row>
    <row r="38" spans="1:20">
      <c r="A38" s="306" t="str">
        <f t="shared" ref="A38:A51" si="68">IF(OR(O38="Western Isles",O38="Dumfries &amp; Galloway",O38="Shetland",O38="Highland",O38="Orkney"),CONCATENATE(O38,"*"),O38)</f>
        <v>Borders</v>
      </c>
      <c r="B38" s="307">
        <f t="shared" si="56"/>
        <v>89.189189189189193</v>
      </c>
      <c r="C38" s="307">
        <f t="shared" si="57"/>
        <v>81.818181818181827</v>
      </c>
      <c r="D38" s="308">
        <f t="shared" si="58"/>
        <v>84</v>
      </c>
      <c r="E38" s="308">
        <f t="shared" si="59"/>
        <v>93</v>
      </c>
      <c r="F38" s="308">
        <f t="shared" si="60"/>
        <v>76</v>
      </c>
      <c r="G38" s="308">
        <f t="shared" si="61"/>
        <v>87</v>
      </c>
      <c r="H38" s="314" t="str">
        <f t="shared" si="62"/>
        <v>84 - 93</v>
      </c>
      <c r="I38" s="310" t="str">
        <f t="shared" si="63"/>
        <v>76 - 87</v>
      </c>
      <c r="J38" s="311">
        <f t="shared" si="64"/>
        <v>-7.3710073710073658</v>
      </c>
      <c r="K38" s="312">
        <f t="shared" si="65"/>
        <v>-0.1809424473681652</v>
      </c>
      <c r="L38" s="312">
        <f t="shared" si="66"/>
        <v>3.3522299948017892E-2</v>
      </c>
      <c r="M38" s="313">
        <f t="shared" si="67"/>
        <v>0</v>
      </c>
      <c r="N38" s="306" t="str">
        <f t="shared" ref="N38:N51" si="69">O38</f>
        <v>Borders</v>
      </c>
      <c r="O38" s="306" t="s">
        <v>30</v>
      </c>
      <c r="P38" s="425">
        <v>165</v>
      </c>
      <c r="Q38" s="425">
        <v>185</v>
      </c>
      <c r="R38" s="425">
        <v>153</v>
      </c>
      <c r="S38" s="425">
        <v>187</v>
      </c>
      <c r="T38" s="507">
        <v>1</v>
      </c>
    </row>
    <row r="39" spans="1:20">
      <c r="A39" s="306" t="str">
        <f t="shared" si="68"/>
        <v>Dumfries &amp; Galloway*</v>
      </c>
      <c r="B39" s="307">
        <f t="shared" si="56"/>
        <v>76.470588235294116</v>
      </c>
      <c r="C39" s="307">
        <f t="shared" si="57"/>
        <v>80.1762114537445</v>
      </c>
      <c r="D39" s="308">
        <f t="shared" si="58"/>
        <v>71</v>
      </c>
      <c r="E39" s="308">
        <f t="shared" si="59"/>
        <v>81</v>
      </c>
      <c r="F39" s="308">
        <f t="shared" si="60"/>
        <v>75</v>
      </c>
      <c r="G39" s="308">
        <f t="shared" si="61"/>
        <v>85</v>
      </c>
      <c r="H39" s="314" t="str">
        <f t="shared" si="62"/>
        <v>71 - 81</v>
      </c>
      <c r="I39" s="310" t="str">
        <f t="shared" si="63"/>
        <v>75 - 85</v>
      </c>
      <c r="J39" s="311">
        <f t="shared" si="64"/>
        <v>3.7056232184503841</v>
      </c>
      <c r="K39" s="312">
        <f t="shared" si="65"/>
        <v>-7.5712962290940114E-2</v>
      </c>
      <c r="L39" s="312">
        <f t="shared" si="66"/>
        <v>0.14982542665994775</v>
      </c>
      <c r="M39" s="313">
        <f t="shared" si="67"/>
        <v>0</v>
      </c>
      <c r="N39" s="306" t="str">
        <f t="shared" si="69"/>
        <v>Dumfries &amp; Galloway</v>
      </c>
      <c r="O39" s="306" t="s">
        <v>33</v>
      </c>
      <c r="P39" s="425">
        <v>182</v>
      </c>
      <c r="Q39" s="425">
        <v>238</v>
      </c>
      <c r="R39" s="425">
        <v>182</v>
      </c>
      <c r="S39" s="425">
        <v>227</v>
      </c>
      <c r="T39" s="507">
        <v>2</v>
      </c>
    </row>
    <row r="40" spans="1:20">
      <c r="A40" s="306" t="str">
        <f t="shared" si="68"/>
        <v>Fife</v>
      </c>
      <c r="B40" s="307">
        <f t="shared" si="56"/>
        <v>77.22960151802657</v>
      </c>
      <c r="C40" s="307">
        <f t="shared" si="57"/>
        <v>78.290598290598297</v>
      </c>
      <c r="D40" s="308">
        <f t="shared" si="58"/>
        <v>73</v>
      </c>
      <c r="E40" s="308">
        <f t="shared" si="59"/>
        <v>81</v>
      </c>
      <c r="F40" s="308">
        <f t="shared" si="60"/>
        <v>75</v>
      </c>
      <c r="G40" s="308">
        <f t="shared" si="61"/>
        <v>81</v>
      </c>
      <c r="H40" s="314" t="str">
        <f t="shared" si="62"/>
        <v>73 - 81</v>
      </c>
      <c r="I40" s="310" t="str">
        <f t="shared" si="63"/>
        <v>75 - 81</v>
      </c>
      <c r="J40" s="311">
        <f t="shared" si="64"/>
        <v>1.0609967725717269</v>
      </c>
      <c r="K40" s="312">
        <f t="shared" si="65"/>
        <v>-6.3223536564300978E-2</v>
      </c>
      <c r="L40" s="312">
        <f t="shared" si="66"/>
        <v>8.4443472015735391E-2</v>
      </c>
      <c r="M40" s="313">
        <f t="shared" si="67"/>
        <v>0</v>
      </c>
      <c r="N40" s="306" t="str">
        <f t="shared" si="69"/>
        <v>Fife</v>
      </c>
      <c r="O40" s="306" t="s">
        <v>32</v>
      </c>
      <c r="P40" s="425">
        <v>407</v>
      </c>
      <c r="Q40" s="425">
        <v>527</v>
      </c>
      <c r="R40" s="425">
        <v>458</v>
      </c>
      <c r="S40" s="425">
        <v>585</v>
      </c>
      <c r="T40" s="507">
        <v>3</v>
      </c>
    </row>
    <row r="41" spans="1:20">
      <c r="A41" s="306" t="str">
        <f t="shared" si="68"/>
        <v>Shetland*</v>
      </c>
      <c r="B41" s="307">
        <f t="shared" si="56"/>
        <v>71.875</v>
      </c>
      <c r="C41" s="307">
        <f t="shared" si="57"/>
        <v>78.125</v>
      </c>
      <c r="D41" s="308">
        <f t="shared" si="58"/>
        <v>55</v>
      </c>
      <c r="E41" s="308">
        <f t="shared" si="59"/>
        <v>84</v>
      </c>
      <c r="F41" s="308">
        <f t="shared" si="60"/>
        <v>61</v>
      </c>
      <c r="G41" s="308">
        <f t="shared" si="61"/>
        <v>89</v>
      </c>
      <c r="H41" s="314" t="str">
        <f t="shared" si="62"/>
        <v>55 - 84</v>
      </c>
      <c r="I41" s="310" t="str">
        <f t="shared" si="63"/>
        <v>61 - 89</v>
      </c>
      <c r="J41" s="311">
        <f t="shared" si="64"/>
        <v>6.25</v>
      </c>
      <c r="K41" s="312">
        <f t="shared" si="65"/>
        <v>-0.25657201865862195</v>
      </c>
      <c r="L41" s="312">
        <f t="shared" si="66"/>
        <v>0.38157201865862195</v>
      </c>
      <c r="M41" s="313">
        <f t="shared" si="67"/>
        <v>0</v>
      </c>
      <c r="N41" s="306" t="str">
        <f t="shared" si="69"/>
        <v>Shetland</v>
      </c>
      <c r="O41" s="306" t="s">
        <v>41</v>
      </c>
      <c r="P41" s="425">
        <v>23</v>
      </c>
      <c r="Q41" s="425">
        <v>32</v>
      </c>
      <c r="R41" s="425">
        <v>25</v>
      </c>
      <c r="S41" s="425">
        <v>32</v>
      </c>
      <c r="T41" s="507">
        <v>4</v>
      </c>
    </row>
    <row r="42" spans="1:20">
      <c r="A42" s="306" t="str">
        <f t="shared" si="68"/>
        <v>Lanarkshire</v>
      </c>
      <c r="B42" s="307">
        <f t="shared" si="56"/>
        <v>83.074753173483785</v>
      </c>
      <c r="C42" s="307">
        <f t="shared" si="57"/>
        <v>77.340569877883311</v>
      </c>
      <c r="D42" s="308">
        <f t="shared" si="58"/>
        <v>80</v>
      </c>
      <c r="E42" s="308">
        <f t="shared" si="59"/>
        <v>86</v>
      </c>
      <c r="F42" s="308">
        <f t="shared" si="60"/>
        <v>74</v>
      </c>
      <c r="G42" s="308">
        <f t="shared" si="61"/>
        <v>80</v>
      </c>
      <c r="H42" s="314" t="str">
        <f t="shared" si="62"/>
        <v>80 - 86</v>
      </c>
      <c r="I42" s="310" t="str">
        <f t="shared" si="63"/>
        <v>74 - 80</v>
      </c>
      <c r="J42" s="311">
        <f t="shared" si="64"/>
        <v>-5.7341832956004737</v>
      </c>
      <c r="K42" s="312">
        <f t="shared" si="65"/>
        <v>-0.11905484839177882</v>
      </c>
      <c r="L42" s="312">
        <f t="shared" si="66"/>
        <v>4.3711824797694199E-3</v>
      </c>
      <c r="M42" s="313">
        <f t="shared" si="67"/>
        <v>-1</v>
      </c>
      <c r="N42" s="306" t="str">
        <f t="shared" si="69"/>
        <v>Lanarkshire</v>
      </c>
      <c r="O42" s="306" t="s">
        <v>31</v>
      </c>
      <c r="P42" s="425">
        <v>589</v>
      </c>
      <c r="Q42" s="425">
        <v>709</v>
      </c>
      <c r="R42" s="425">
        <v>570</v>
      </c>
      <c r="S42" s="425">
        <v>737</v>
      </c>
      <c r="T42" s="507">
        <v>5</v>
      </c>
    </row>
    <row r="43" spans="1:20">
      <c r="A43" s="306" t="str">
        <f t="shared" si="68"/>
        <v>Western Isles*</v>
      </c>
      <c r="B43" s="307">
        <f t="shared" si="56"/>
        <v>76.19047619047619</v>
      </c>
      <c r="C43" s="307">
        <f t="shared" si="57"/>
        <v>73.529411764705884</v>
      </c>
      <c r="D43" s="308">
        <f t="shared" si="58"/>
        <v>55</v>
      </c>
      <c r="E43" s="308">
        <f t="shared" si="59"/>
        <v>89</v>
      </c>
      <c r="F43" s="308">
        <f t="shared" si="60"/>
        <v>57</v>
      </c>
      <c r="G43" s="308">
        <f t="shared" si="61"/>
        <v>85</v>
      </c>
      <c r="H43" s="314" t="str">
        <f t="shared" si="62"/>
        <v>55 - 89</v>
      </c>
      <c r="I43" s="310" t="str">
        <f t="shared" si="63"/>
        <v>57 - 85</v>
      </c>
      <c r="J43" s="311">
        <f t="shared" si="64"/>
        <v>-2.6610644257703058</v>
      </c>
      <c r="K43" s="312">
        <f t="shared" si="65"/>
        <v>-0.3807745895090458</v>
      </c>
      <c r="L43" s="312">
        <f t="shared" si="66"/>
        <v>0.32755330099363983</v>
      </c>
      <c r="M43" s="313">
        <f t="shared" si="67"/>
        <v>0</v>
      </c>
      <c r="N43" s="306" t="str">
        <f t="shared" si="69"/>
        <v>Western Isles</v>
      </c>
      <c r="O43" s="306" t="s">
        <v>39</v>
      </c>
      <c r="P43" s="425">
        <v>16</v>
      </c>
      <c r="Q43" s="425">
        <v>21</v>
      </c>
      <c r="R43" s="425">
        <v>25</v>
      </c>
      <c r="S43" s="425">
        <v>34</v>
      </c>
      <c r="T43" s="507">
        <v>6</v>
      </c>
    </row>
    <row r="44" spans="1:20">
      <c r="A44" s="306" t="str">
        <f t="shared" si="68"/>
        <v>Forth Valley</v>
      </c>
      <c r="B44" s="307">
        <f t="shared" si="56"/>
        <v>75.447570332480822</v>
      </c>
      <c r="C44" s="307">
        <f t="shared" si="57"/>
        <v>71.853546910755156</v>
      </c>
      <c r="D44" s="308">
        <f t="shared" si="58"/>
        <v>71</v>
      </c>
      <c r="E44" s="308">
        <f t="shared" si="59"/>
        <v>79</v>
      </c>
      <c r="F44" s="308">
        <f t="shared" si="60"/>
        <v>67</v>
      </c>
      <c r="G44" s="308">
        <f t="shared" si="61"/>
        <v>76</v>
      </c>
      <c r="H44" s="314" t="str">
        <f t="shared" si="62"/>
        <v>71 - 79</v>
      </c>
      <c r="I44" s="310" t="str">
        <f t="shared" si="63"/>
        <v>67 - 76</v>
      </c>
      <c r="J44" s="311">
        <f t="shared" si="64"/>
        <v>-3.5940234217256659</v>
      </c>
      <c r="K44" s="312">
        <f t="shared" si="65"/>
        <v>-0.12637808893388802</v>
      </c>
      <c r="L44" s="312">
        <f t="shared" si="66"/>
        <v>5.4497620499374663E-2</v>
      </c>
      <c r="M44" s="313">
        <f t="shared" si="67"/>
        <v>0</v>
      </c>
      <c r="N44" s="306" t="str">
        <f t="shared" si="69"/>
        <v>Forth Valley</v>
      </c>
      <c r="O44" s="306" t="s">
        <v>37</v>
      </c>
      <c r="P44" s="425">
        <v>295</v>
      </c>
      <c r="Q44" s="425">
        <v>391</v>
      </c>
      <c r="R44" s="425">
        <v>314</v>
      </c>
      <c r="S44" s="425">
        <v>437</v>
      </c>
      <c r="T44" s="507">
        <v>7</v>
      </c>
    </row>
    <row r="45" spans="1:20">
      <c r="A45" s="306" t="str">
        <f t="shared" si="68"/>
        <v>Ayrshire &amp; Arran</v>
      </c>
      <c r="B45" s="307">
        <f t="shared" si="56"/>
        <v>70.099009900990097</v>
      </c>
      <c r="C45" s="307">
        <f t="shared" si="57"/>
        <v>70.88122605363985</v>
      </c>
      <c r="D45" s="308">
        <f t="shared" si="58"/>
        <v>66</v>
      </c>
      <c r="E45" s="308">
        <f t="shared" si="59"/>
        <v>74</v>
      </c>
      <c r="F45" s="308">
        <f t="shared" si="60"/>
        <v>67</v>
      </c>
      <c r="G45" s="308">
        <f t="shared" si="61"/>
        <v>75</v>
      </c>
      <c r="H45" s="314" t="str">
        <f t="shared" si="62"/>
        <v>66 - 74</v>
      </c>
      <c r="I45" s="310" t="str">
        <f t="shared" si="63"/>
        <v>67 - 75</v>
      </c>
      <c r="J45" s="311">
        <f t="shared" si="64"/>
        <v>0.78221615264975242</v>
      </c>
      <c r="K45" s="312">
        <f t="shared" si="65"/>
        <v>-7.6306866162404799E-2</v>
      </c>
      <c r="L45" s="312">
        <f t="shared" si="66"/>
        <v>9.1951189215399812E-2</v>
      </c>
      <c r="M45" s="313">
        <f t="shared" si="67"/>
        <v>0</v>
      </c>
      <c r="N45" s="306" t="str">
        <f t="shared" si="69"/>
        <v>Ayrshire &amp; Arran</v>
      </c>
      <c r="O45" s="306" t="s">
        <v>35</v>
      </c>
      <c r="P45" s="425">
        <v>354</v>
      </c>
      <c r="Q45" s="425">
        <v>505</v>
      </c>
      <c r="R45" s="425">
        <v>370</v>
      </c>
      <c r="S45" s="425">
        <v>522</v>
      </c>
      <c r="T45" s="507">
        <v>8</v>
      </c>
    </row>
    <row r="46" spans="1:20">
      <c r="A46" s="306" t="str">
        <f t="shared" si="68"/>
        <v>Grampian</v>
      </c>
      <c r="B46" s="307">
        <f t="shared" si="56"/>
        <v>69.150779896013873</v>
      </c>
      <c r="C46" s="307">
        <f t="shared" si="57"/>
        <v>70.820668693009111</v>
      </c>
      <c r="D46" s="308">
        <f t="shared" si="58"/>
        <v>65</v>
      </c>
      <c r="E46" s="308">
        <f t="shared" si="59"/>
        <v>73</v>
      </c>
      <c r="F46" s="308">
        <f t="shared" si="60"/>
        <v>67</v>
      </c>
      <c r="G46" s="308">
        <f t="shared" si="61"/>
        <v>74</v>
      </c>
      <c r="H46" s="314" t="str">
        <f t="shared" si="62"/>
        <v>65 - 73</v>
      </c>
      <c r="I46" s="310" t="str">
        <f t="shared" si="63"/>
        <v>67 - 74</v>
      </c>
      <c r="J46" s="311">
        <f t="shared" si="64"/>
        <v>1.6698887969952381</v>
      </c>
      <c r="K46" s="312">
        <f t="shared" si="65"/>
        <v>-6.0575834332665973E-2</v>
      </c>
      <c r="L46" s="312">
        <f t="shared" si="66"/>
        <v>9.3973610272570868E-2</v>
      </c>
      <c r="M46" s="313">
        <f t="shared" si="67"/>
        <v>0</v>
      </c>
      <c r="N46" s="306" t="str">
        <f t="shared" si="69"/>
        <v>Grampian</v>
      </c>
      <c r="O46" s="306" t="s">
        <v>36</v>
      </c>
      <c r="P46" s="425">
        <v>399</v>
      </c>
      <c r="Q46" s="425">
        <v>577</v>
      </c>
      <c r="R46" s="425">
        <v>466</v>
      </c>
      <c r="S46" s="425">
        <v>658</v>
      </c>
      <c r="T46" s="507">
        <v>9</v>
      </c>
    </row>
    <row r="47" spans="1:20">
      <c r="A47" s="306" t="str">
        <f t="shared" si="68"/>
        <v>Greater Glasgow &amp; Clyde</v>
      </c>
      <c r="B47" s="307">
        <f t="shared" si="56"/>
        <v>60.698027314112288</v>
      </c>
      <c r="C47" s="307">
        <f t="shared" si="57"/>
        <v>66.430020283975651</v>
      </c>
      <c r="D47" s="308">
        <f t="shared" si="58"/>
        <v>59</v>
      </c>
      <c r="E47" s="308">
        <f t="shared" si="59"/>
        <v>63</v>
      </c>
      <c r="F47" s="308">
        <f t="shared" si="60"/>
        <v>64</v>
      </c>
      <c r="G47" s="308">
        <f t="shared" si="61"/>
        <v>68</v>
      </c>
      <c r="H47" s="314" t="str">
        <f t="shared" si="62"/>
        <v>59 - 63</v>
      </c>
      <c r="I47" s="310" t="str">
        <f t="shared" si="63"/>
        <v>64 - 68</v>
      </c>
      <c r="J47" s="311">
        <f t="shared" si="64"/>
        <v>5.7319929698633629</v>
      </c>
      <c r="K47" s="312">
        <f t="shared" si="65"/>
        <v>1.2138609459530721E-2</v>
      </c>
      <c r="L47" s="312">
        <f t="shared" si="66"/>
        <v>0.10250124993773657</v>
      </c>
      <c r="M47" s="313">
        <f t="shared" si="67"/>
        <v>1</v>
      </c>
      <c r="N47" s="306" t="str">
        <f t="shared" si="69"/>
        <v>Greater Glasgow &amp; Clyde</v>
      </c>
      <c r="O47" s="306" t="s">
        <v>42</v>
      </c>
      <c r="P47" s="425">
        <v>1200</v>
      </c>
      <c r="Q47" s="425">
        <v>1977</v>
      </c>
      <c r="R47" s="425">
        <v>1310</v>
      </c>
      <c r="S47" s="425">
        <v>1972</v>
      </c>
      <c r="T47" s="507">
        <v>10</v>
      </c>
    </row>
    <row r="48" spans="1:20">
      <c r="A48" s="306" t="str">
        <f t="shared" si="68"/>
        <v>Tayside</v>
      </c>
      <c r="B48" s="307">
        <f t="shared" si="56"/>
        <v>68.888888888888886</v>
      </c>
      <c r="C48" s="307">
        <f t="shared" si="57"/>
        <v>64.466019417475735</v>
      </c>
      <c r="D48" s="308">
        <f t="shared" si="58"/>
        <v>65</v>
      </c>
      <c r="E48" s="308">
        <f t="shared" si="59"/>
        <v>73</v>
      </c>
      <c r="F48" s="308">
        <f t="shared" si="60"/>
        <v>60</v>
      </c>
      <c r="G48" s="308">
        <f t="shared" si="61"/>
        <v>68</v>
      </c>
      <c r="H48" s="314" t="str">
        <f t="shared" si="62"/>
        <v>65 - 73</v>
      </c>
      <c r="I48" s="310" t="str">
        <f t="shared" si="63"/>
        <v>60 - 68</v>
      </c>
      <c r="J48" s="311">
        <f t="shared" si="64"/>
        <v>-4.4228694714131507</v>
      </c>
      <c r="K48" s="312">
        <f t="shared" si="65"/>
        <v>-0.13178218777564504</v>
      </c>
      <c r="L48" s="312">
        <f t="shared" si="66"/>
        <v>4.3324798347381843E-2</v>
      </c>
      <c r="M48" s="313">
        <f t="shared" si="67"/>
        <v>0</v>
      </c>
      <c r="N48" s="306" t="str">
        <f t="shared" si="69"/>
        <v>Tayside</v>
      </c>
      <c r="O48" s="306" t="s">
        <v>34</v>
      </c>
      <c r="P48" s="425">
        <v>341</v>
      </c>
      <c r="Q48" s="425">
        <v>495</v>
      </c>
      <c r="R48" s="425">
        <v>332</v>
      </c>
      <c r="S48" s="425">
        <v>515</v>
      </c>
      <c r="T48" s="507">
        <v>11</v>
      </c>
    </row>
    <row r="49" spans="1:20">
      <c r="A49" s="306" t="str">
        <f t="shared" si="68"/>
        <v>Lothian</v>
      </c>
      <c r="B49" s="307">
        <f t="shared" si="56"/>
        <v>53.818827708703374</v>
      </c>
      <c r="C49" s="307">
        <f t="shared" si="57"/>
        <v>60.035682426404989</v>
      </c>
      <c r="D49" s="308">
        <f t="shared" si="58"/>
        <v>51</v>
      </c>
      <c r="E49" s="308">
        <f t="shared" si="59"/>
        <v>57</v>
      </c>
      <c r="F49" s="308">
        <f t="shared" si="60"/>
        <v>57</v>
      </c>
      <c r="G49" s="308">
        <f t="shared" si="61"/>
        <v>63</v>
      </c>
      <c r="H49" s="314" t="str">
        <f t="shared" si="62"/>
        <v>51 - 57</v>
      </c>
      <c r="I49" s="310" t="str">
        <f t="shared" si="63"/>
        <v>57 - 63</v>
      </c>
      <c r="J49" s="311">
        <f t="shared" si="64"/>
        <v>6.2168547177016151</v>
      </c>
      <c r="K49" s="312">
        <f t="shared" si="65"/>
        <v>5.5062587073282515E-4</v>
      </c>
      <c r="L49" s="312">
        <f t="shared" si="66"/>
        <v>0.12378646848329947</v>
      </c>
      <c r="M49" s="313">
        <f t="shared" si="67"/>
        <v>1</v>
      </c>
      <c r="N49" s="306" t="str">
        <f t="shared" si="69"/>
        <v>Lothian</v>
      </c>
      <c r="O49" s="306" t="s">
        <v>40</v>
      </c>
      <c r="P49" s="425">
        <v>606</v>
      </c>
      <c r="Q49" s="425">
        <v>1126</v>
      </c>
      <c r="R49" s="425">
        <v>673</v>
      </c>
      <c r="S49" s="425">
        <v>1121</v>
      </c>
      <c r="T49" s="507">
        <v>12</v>
      </c>
    </row>
    <row r="50" spans="1:20">
      <c r="A50" s="306" t="str">
        <f t="shared" si="68"/>
        <v>Highland*</v>
      </c>
      <c r="B50" s="307">
        <f t="shared" si="56"/>
        <v>63.448275862068968</v>
      </c>
      <c r="C50" s="307">
        <f t="shared" si="57"/>
        <v>55.508474576271183</v>
      </c>
      <c r="D50" s="308">
        <f t="shared" si="58"/>
        <v>59</v>
      </c>
      <c r="E50" s="308">
        <f t="shared" si="59"/>
        <v>68</v>
      </c>
      <c r="F50" s="308">
        <f t="shared" si="60"/>
        <v>51</v>
      </c>
      <c r="G50" s="308">
        <f t="shared" si="61"/>
        <v>60</v>
      </c>
      <c r="H50" s="314" t="str">
        <f t="shared" si="62"/>
        <v>59 - 68</v>
      </c>
      <c r="I50" s="310" t="str">
        <f t="shared" si="63"/>
        <v>51 - 60</v>
      </c>
      <c r="J50" s="311">
        <f t="shared" si="64"/>
        <v>-7.9398012857977847</v>
      </c>
      <c r="K50" s="312">
        <f t="shared" si="65"/>
        <v>-0.17544633987025154</v>
      </c>
      <c r="L50" s="312">
        <f t="shared" si="66"/>
        <v>1.6650314154295784E-2</v>
      </c>
      <c r="M50" s="313">
        <f t="shared" si="67"/>
        <v>0</v>
      </c>
      <c r="N50" s="306" t="str">
        <f t="shared" si="69"/>
        <v>Highland</v>
      </c>
      <c r="O50" s="306" t="s">
        <v>38</v>
      </c>
      <c r="P50" s="425">
        <v>276</v>
      </c>
      <c r="Q50" s="425">
        <v>435</v>
      </c>
      <c r="R50" s="425">
        <v>262</v>
      </c>
      <c r="S50" s="425">
        <v>472</v>
      </c>
      <c r="T50" s="507">
        <v>13</v>
      </c>
    </row>
    <row r="51" spans="1:20">
      <c r="A51" s="306" t="str">
        <f t="shared" si="68"/>
        <v>Orkney*</v>
      </c>
      <c r="B51" s="307">
        <f t="shared" si="56"/>
        <v>18.421052631578945</v>
      </c>
      <c r="C51" s="307">
        <f t="shared" si="57"/>
        <v>43.589743589743591</v>
      </c>
      <c r="D51" s="308">
        <f t="shared" si="58"/>
        <v>9</v>
      </c>
      <c r="E51" s="308">
        <f t="shared" si="59"/>
        <v>33</v>
      </c>
      <c r="F51" s="308">
        <f t="shared" si="60"/>
        <v>29</v>
      </c>
      <c r="G51" s="308">
        <f t="shared" si="61"/>
        <v>59</v>
      </c>
      <c r="H51" s="314" t="str">
        <f t="shared" si="62"/>
        <v>9 - 33</v>
      </c>
      <c r="I51" s="310" t="str">
        <f t="shared" si="63"/>
        <v>29 - 59</v>
      </c>
      <c r="J51" s="311">
        <f t="shared" si="64"/>
        <v>25.168690958164646</v>
      </c>
      <c r="K51" s="312">
        <f t="shared" si="65"/>
        <v>-4.7640305008454509E-2</v>
      </c>
      <c r="L51" s="312">
        <f t="shared" si="66"/>
        <v>0.55101412417174733</v>
      </c>
      <c r="M51" s="313">
        <f t="shared" si="67"/>
        <v>0</v>
      </c>
      <c r="N51" s="306" t="str">
        <f t="shared" si="69"/>
        <v>Orkney</v>
      </c>
      <c r="O51" s="306" t="s">
        <v>43</v>
      </c>
      <c r="P51" s="425">
        <v>7</v>
      </c>
      <c r="Q51" s="425">
        <v>38</v>
      </c>
      <c r="R51" s="425">
        <v>17</v>
      </c>
      <c r="S51" s="425">
        <v>39</v>
      </c>
      <c r="T51" s="507">
        <v>14</v>
      </c>
    </row>
  </sheetData>
  <sheetProtection password="B8D9" sheet="1" objects="1" scenarios="1"/>
  <sortState ref="A21:T34">
    <sortCondition ref="T21:T34"/>
  </sortState>
  <mergeCells count="18">
    <mergeCell ref="B35:G35"/>
    <mergeCell ref="N35:O35"/>
    <mergeCell ref="P35:Q35"/>
    <mergeCell ref="R35:S35"/>
    <mergeCell ref="D36:E36"/>
    <mergeCell ref="F36:G36"/>
    <mergeCell ref="B18:G18"/>
    <mergeCell ref="N18:O18"/>
    <mergeCell ref="P18:Q18"/>
    <mergeCell ref="R18:S18"/>
    <mergeCell ref="D19:E19"/>
    <mergeCell ref="F19:G19"/>
    <mergeCell ref="B1:G1"/>
    <mergeCell ref="N1:O1"/>
    <mergeCell ref="P1:Q1"/>
    <mergeCell ref="R1:S1"/>
    <mergeCell ref="D2:E2"/>
    <mergeCell ref="F2:G2"/>
  </mergeCells>
  <printOptions horizontalCentered="1"/>
  <pageMargins left="0" right="0" top="0.74803149606299213" bottom="0.74803149606299213" header="0.31496062992125984" footer="0.31496062992125984"/>
  <pageSetup paperSize="9" scale="74" orientation="landscape" r:id="rId1"/>
  <headerFooter alignWithMargins="0">
    <oddHeader>&amp;LChart 14b DATA
Percentage of stroke patients receiving an 'appropriate' Stroke Care Bundle (i.e. Stroke Unit admission, swallow screen, brain scan and aspirin), 2015 data (comparing initial diagnosis, final diagnosis and initial &amp; final diagnosis).</oddHeader>
    <oddFooter>&amp;L&amp;8Scottish Stroke Care Audit 2016 National Report
Stroke Services in Scottish Hospitals, Data relating to 2015&amp;R&amp;8© NHS National Services Scotland/Crown Copyright</oddFooter>
  </headerFooter>
</worksheet>
</file>

<file path=xl/worksheets/sheet66.xml><?xml version="1.0" encoding="utf-8"?>
<worksheet xmlns="http://schemas.openxmlformats.org/spreadsheetml/2006/main" xmlns:r="http://schemas.openxmlformats.org/officeDocument/2006/relationships">
  <sheetPr codeName="Sheet79">
    <pageSetUpPr fitToPage="1"/>
  </sheetPr>
  <dimension ref="B1:P74"/>
  <sheetViews>
    <sheetView workbookViewId="0">
      <pane ySplit="5" topLeftCell="A6" activePane="bottomLeft" state="frozen"/>
      <selection pane="bottomLeft" activeCell="A6" sqref="A6"/>
    </sheetView>
  </sheetViews>
  <sheetFormatPr defaultRowHeight="12.75"/>
  <cols>
    <col min="1" max="1" width="1.7109375" style="336" customWidth="1"/>
    <col min="2" max="2" width="16.7109375" style="336" customWidth="1"/>
    <col min="3" max="3" width="40.7109375" style="336" customWidth="1"/>
    <col min="4" max="13" width="10.7109375" style="336" customWidth="1"/>
    <col min="14" max="16384" width="9.140625" style="336"/>
  </cols>
  <sheetData>
    <row r="1" spans="2:12" ht="12.75" customHeight="1">
      <c r="B1" s="761" t="s">
        <v>701</v>
      </c>
      <c r="C1" s="761"/>
      <c r="D1" s="761"/>
      <c r="E1" s="761"/>
      <c r="F1" s="761"/>
      <c r="G1" s="761"/>
      <c r="H1" s="761"/>
      <c r="I1" s="761"/>
      <c r="J1" s="693"/>
      <c r="K1" s="693"/>
      <c r="L1" s="802" t="s">
        <v>48</v>
      </c>
    </row>
    <row r="2" spans="2:12">
      <c r="B2" s="761"/>
      <c r="C2" s="761"/>
      <c r="D2" s="761"/>
      <c r="E2" s="761"/>
      <c r="F2" s="761"/>
      <c r="G2" s="761"/>
      <c r="H2" s="761"/>
      <c r="I2" s="761"/>
      <c r="J2" s="693"/>
      <c r="K2" s="693"/>
      <c r="L2" s="802"/>
    </row>
    <row r="3" spans="2:12" ht="12.75" customHeight="1">
      <c r="B3" s="836" t="s">
        <v>413</v>
      </c>
      <c r="C3" s="836"/>
      <c r="D3" s="836"/>
      <c r="E3" s="836"/>
      <c r="F3" s="836"/>
      <c r="G3" s="836"/>
      <c r="H3" s="836"/>
      <c r="I3" s="836"/>
      <c r="J3" s="694"/>
      <c r="K3" s="481"/>
      <c r="L3" s="802"/>
    </row>
    <row r="4" spans="2:12">
      <c r="B4" s="836"/>
      <c r="C4" s="836"/>
      <c r="D4" s="836"/>
      <c r="E4" s="836"/>
      <c r="F4" s="836"/>
      <c r="G4" s="836"/>
      <c r="H4" s="836"/>
      <c r="I4" s="836"/>
      <c r="J4" s="694"/>
      <c r="L4" s="802"/>
    </row>
    <row r="5" spans="2:12">
      <c r="B5" s="836"/>
      <c r="C5" s="836"/>
      <c r="D5" s="836"/>
      <c r="E5" s="836"/>
      <c r="F5" s="836"/>
      <c r="G5" s="836"/>
      <c r="H5" s="836"/>
      <c r="I5" s="836"/>
      <c r="J5" s="694"/>
      <c r="K5" s="458"/>
      <c r="L5" s="458"/>
    </row>
    <row r="6" spans="2:12">
      <c r="B6" s="482"/>
      <c r="C6" s="659"/>
      <c r="D6" s="482"/>
      <c r="E6" s="482"/>
      <c r="F6" s="482"/>
      <c r="G6" s="482"/>
      <c r="H6" s="482"/>
      <c r="I6" s="482"/>
      <c r="J6" s="482"/>
    </row>
    <row r="39" spans="2:16">
      <c r="B39" s="32" t="s">
        <v>702</v>
      </c>
      <c r="C39" s="32"/>
    </row>
    <row r="40" spans="2:16">
      <c r="B40" s="67" t="s">
        <v>432</v>
      </c>
      <c r="C40" s="67"/>
    </row>
    <row r="41" spans="2:16">
      <c r="B41" s="67" t="s">
        <v>433</v>
      </c>
      <c r="C41" s="67"/>
    </row>
    <row r="42" spans="2:16">
      <c r="B42" s="62" t="s">
        <v>434</v>
      </c>
      <c r="C42" s="62"/>
    </row>
    <row r="43" spans="2:16">
      <c r="B43" s="62" t="s">
        <v>459</v>
      </c>
      <c r="C43" s="62"/>
    </row>
    <row r="45" spans="2:16" ht="50.1" customHeight="1">
      <c r="B45" s="691" t="s">
        <v>27</v>
      </c>
      <c r="C45" s="689"/>
      <c r="D45" s="985" t="s">
        <v>318</v>
      </c>
      <c r="E45" s="985"/>
      <c r="F45" s="985" t="s">
        <v>320</v>
      </c>
      <c r="G45" s="985"/>
      <c r="H45" s="985" t="s">
        <v>321</v>
      </c>
      <c r="I45" s="985"/>
      <c r="J45" s="985" t="s">
        <v>319</v>
      </c>
      <c r="K45" s="985"/>
      <c r="L45" s="985" t="s">
        <v>322</v>
      </c>
      <c r="M45" s="986"/>
    </row>
    <row r="46" spans="2:16" ht="30" customHeight="1">
      <c r="B46" s="692" t="s">
        <v>26</v>
      </c>
      <c r="C46" s="690" t="s">
        <v>27</v>
      </c>
      <c r="D46" s="338">
        <v>2014</v>
      </c>
      <c r="E46" s="338">
        <v>2015</v>
      </c>
      <c r="F46" s="338">
        <v>2014</v>
      </c>
      <c r="G46" s="338">
        <v>2015</v>
      </c>
      <c r="H46" s="338">
        <v>2014</v>
      </c>
      <c r="I46" s="338">
        <v>2015</v>
      </c>
      <c r="J46" s="338">
        <v>2014</v>
      </c>
      <c r="K46" s="338">
        <v>2015</v>
      </c>
      <c r="L46" s="338">
        <v>2014</v>
      </c>
      <c r="M46" s="339">
        <v>2015</v>
      </c>
    </row>
    <row r="47" spans="2:16">
      <c r="B47" s="337" t="s">
        <v>137</v>
      </c>
      <c r="C47" s="337" t="s">
        <v>137</v>
      </c>
      <c r="D47" s="337">
        <f>SUM(D48:D74)</f>
        <v>869</v>
      </c>
      <c r="E47" s="337">
        <f>SUM(E48:E74)</f>
        <v>946</v>
      </c>
      <c r="F47" s="337">
        <f>SUM(F48:F74)</f>
        <v>819</v>
      </c>
      <c r="G47" s="337">
        <f>SUM(G48:G74)</f>
        <v>901</v>
      </c>
      <c r="H47" s="340">
        <f>IF(ISERR(F47/D47*100),"",F47/D47*100)</f>
        <v>94.24626006904488</v>
      </c>
      <c r="I47" s="340">
        <f>IF(ISERR(G47/E47*100),"",G47/E47*100)</f>
        <v>95.243128964059196</v>
      </c>
      <c r="J47" s="337">
        <f>SUM(J48:J74)</f>
        <v>103</v>
      </c>
      <c r="K47" s="337">
        <f>SUM(K48:K74)</f>
        <v>88</v>
      </c>
      <c r="L47" s="341">
        <f>IF(ISERR(J47/F47*100),"",J47/F47*100)</f>
        <v>12.576312576312576</v>
      </c>
      <c r="M47" s="341">
        <f>IF(ISERR(K47/G47*100),"",K47/G47*100)</f>
        <v>9.7669256381798011</v>
      </c>
      <c r="N47" s="442" t="str">
        <f>B47</f>
        <v>Scotland</v>
      </c>
      <c r="O47" s="443"/>
      <c r="P47" s="443"/>
    </row>
    <row r="48" spans="2:16">
      <c r="B48" s="337" t="s">
        <v>61</v>
      </c>
      <c r="C48" s="337" t="s">
        <v>60</v>
      </c>
      <c r="D48" s="337">
        <v>19</v>
      </c>
      <c r="E48" s="337">
        <v>11</v>
      </c>
      <c r="F48" s="337">
        <v>18</v>
      </c>
      <c r="G48" s="337">
        <v>11</v>
      </c>
      <c r="H48" s="340">
        <f>IF(ISERR(F48/D48*100),"",F48/D48*100)</f>
        <v>94.73684210526315</v>
      </c>
      <c r="I48" s="340">
        <f>IF(ISERR(G48/E48*100),"",G48/E48*100)</f>
        <v>100</v>
      </c>
      <c r="J48" s="337">
        <v>1</v>
      </c>
      <c r="K48" s="337">
        <v>0</v>
      </c>
      <c r="L48" s="341">
        <f>IF(ISERR(J48/F48*100),"",J48/F48*100)</f>
        <v>5.5555555555555554</v>
      </c>
      <c r="M48" s="341">
        <f>IF(ISERR(K48/G48*100),"",K48/G48*100)</f>
        <v>0</v>
      </c>
      <c r="N48" s="442" t="str">
        <f>B48</f>
        <v>Ayr</v>
      </c>
      <c r="O48" s="443"/>
      <c r="P48" s="443"/>
    </row>
    <row r="49" spans="2:16">
      <c r="B49" s="337" t="s">
        <v>63</v>
      </c>
      <c r="C49" s="337" t="s">
        <v>62</v>
      </c>
      <c r="D49" s="337">
        <v>30</v>
      </c>
      <c r="E49" s="337">
        <v>31</v>
      </c>
      <c r="F49" s="337">
        <v>30</v>
      </c>
      <c r="G49" s="337">
        <v>30</v>
      </c>
      <c r="H49" s="340">
        <f t="shared" ref="H49:I74" si="0">IF(ISERR(F49/D49*100),"",F49/D49*100)</f>
        <v>100</v>
      </c>
      <c r="I49" s="340">
        <f t="shared" si="0"/>
        <v>96.774193548387103</v>
      </c>
      <c r="J49" s="337">
        <v>2</v>
      </c>
      <c r="K49" s="337">
        <v>2</v>
      </c>
      <c r="L49" s="341">
        <f t="shared" ref="L49:M74" si="1">IF(ISERR(J49/F49*100),"",J49/F49*100)</f>
        <v>6.666666666666667</v>
      </c>
      <c r="M49" s="341">
        <f t="shared" si="1"/>
        <v>6.666666666666667</v>
      </c>
      <c r="N49" s="442" t="str">
        <f t="shared" ref="N49:N74" si="2">B49</f>
        <v>Crosshouse</v>
      </c>
      <c r="O49" s="443"/>
      <c r="P49" s="443"/>
    </row>
    <row r="50" spans="2:16">
      <c r="B50" s="337" t="s">
        <v>30</v>
      </c>
      <c r="C50" s="337" t="s">
        <v>65</v>
      </c>
      <c r="D50" s="337">
        <v>10</v>
      </c>
      <c r="E50" s="337">
        <v>10</v>
      </c>
      <c r="F50" s="337">
        <v>10</v>
      </c>
      <c r="G50" s="337">
        <v>10</v>
      </c>
      <c r="H50" s="340">
        <f t="shared" si="0"/>
        <v>100</v>
      </c>
      <c r="I50" s="340">
        <f t="shared" si="0"/>
        <v>100</v>
      </c>
      <c r="J50" s="337">
        <v>0</v>
      </c>
      <c r="K50" s="337">
        <v>0</v>
      </c>
      <c r="L50" s="341">
        <f t="shared" si="1"/>
        <v>0</v>
      </c>
      <c r="M50" s="341">
        <f t="shared" si="1"/>
        <v>0</v>
      </c>
      <c r="N50" s="442" t="str">
        <f t="shared" si="2"/>
        <v>Borders</v>
      </c>
      <c r="O50" s="443"/>
      <c r="P50" s="443"/>
    </row>
    <row r="51" spans="2:16">
      <c r="B51" s="337" t="s">
        <v>68</v>
      </c>
      <c r="C51" s="337" t="s">
        <v>67</v>
      </c>
      <c r="D51" s="337">
        <v>35</v>
      </c>
      <c r="E51" s="337">
        <v>32</v>
      </c>
      <c r="F51" s="337">
        <v>34</v>
      </c>
      <c r="G51" s="337">
        <v>32</v>
      </c>
      <c r="H51" s="340">
        <f t="shared" si="0"/>
        <v>97.142857142857139</v>
      </c>
      <c r="I51" s="340">
        <f t="shared" si="0"/>
        <v>100</v>
      </c>
      <c r="J51" s="337">
        <v>0</v>
      </c>
      <c r="K51" s="337">
        <v>4</v>
      </c>
      <c r="L51" s="341">
        <f t="shared" si="1"/>
        <v>0</v>
      </c>
      <c r="M51" s="341">
        <f t="shared" si="1"/>
        <v>12.5</v>
      </c>
      <c r="N51" s="442" t="str">
        <f t="shared" si="2"/>
        <v>DGRI</v>
      </c>
      <c r="O51" s="443"/>
      <c r="P51" s="443"/>
    </row>
    <row r="52" spans="2:16">
      <c r="B52" s="337" t="s">
        <v>71</v>
      </c>
      <c r="C52" s="337" t="s">
        <v>70</v>
      </c>
      <c r="D52" s="337">
        <v>11</v>
      </c>
      <c r="E52" s="337">
        <v>8</v>
      </c>
      <c r="F52" s="337">
        <v>11</v>
      </c>
      <c r="G52" s="337">
        <v>8</v>
      </c>
      <c r="H52" s="340">
        <f t="shared" si="0"/>
        <v>100</v>
      </c>
      <c r="I52" s="340">
        <f t="shared" si="0"/>
        <v>100</v>
      </c>
      <c r="J52" s="337">
        <v>2</v>
      </c>
      <c r="K52" s="337">
        <v>0</v>
      </c>
      <c r="L52" s="341">
        <f t="shared" si="1"/>
        <v>18.181818181818183</v>
      </c>
      <c r="M52" s="341">
        <f t="shared" si="1"/>
        <v>0</v>
      </c>
      <c r="N52" s="442" t="str">
        <f t="shared" si="2"/>
        <v>GCH</v>
      </c>
      <c r="O52" s="443"/>
      <c r="P52" s="443"/>
    </row>
    <row r="53" spans="2:16">
      <c r="B53" s="337" t="s">
        <v>177</v>
      </c>
      <c r="C53" s="337" t="s">
        <v>287</v>
      </c>
      <c r="D53" s="337">
        <v>44</v>
      </c>
      <c r="E53" s="337">
        <v>60</v>
      </c>
      <c r="F53" s="337">
        <v>44</v>
      </c>
      <c r="G53" s="337">
        <v>59</v>
      </c>
      <c r="H53" s="340">
        <f t="shared" si="0"/>
        <v>100</v>
      </c>
      <c r="I53" s="340">
        <f t="shared" si="0"/>
        <v>98.333333333333329</v>
      </c>
      <c r="J53" s="337">
        <v>9</v>
      </c>
      <c r="K53" s="337">
        <v>7</v>
      </c>
      <c r="L53" s="341">
        <f t="shared" si="1"/>
        <v>20.454545454545457</v>
      </c>
      <c r="M53" s="341">
        <f t="shared" si="1"/>
        <v>11.864406779661017</v>
      </c>
      <c r="N53" s="442" t="str">
        <f t="shared" si="2"/>
        <v>VHK</v>
      </c>
      <c r="O53" s="443"/>
      <c r="P53" s="443"/>
    </row>
    <row r="54" spans="2:16">
      <c r="B54" s="337" t="s">
        <v>186</v>
      </c>
      <c r="C54" s="337" t="s">
        <v>194</v>
      </c>
      <c r="D54" s="337">
        <v>35</v>
      </c>
      <c r="E54" s="337">
        <v>40</v>
      </c>
      <c r="F54" s="337">
        <v>35</v>
      </c>
      <c r="G54" s="337">
        <v>40</v>
      </c>
      <c r="H54" s="340">
        <f t="shared" si="0"/>
        <v>100</v>
      </c>
      <c r="I54" s="340">
        <f t="shared" si="0"/>
        <v>100</v>
      </c>
      <c r="J54" s="337">
        <v>4</v>
      </c>
      <c r="K54" s="337">
        <v>3</v>
      </c>
      <c r="L54" s="341">
        <f t="shared" si="1"/>
        <v>11.428571428571429</v>
      </c>
      <c r="M54" s="341">
        <f t="shared" si="1"/>
        <v>7.5</v>
      </c>
      <c r="N54" s="442" t="str">
        <f t="shared" si="2"/>
        <v>FVRH</v>
      </c>
      <c r="O54" s="443"/>
      <c r="P54" s="443"/>
    </row>
    <row r="55" spans="2:16">
      <c r="B55" s="337" t="s">
        <v>178</v>
      </c>
      <c r="C55" s="337" t="s">
        <v>77</v>
      </c>
      <c r="D55" s="337">
        <v>133</v>
      </c>
      <c r="E55" s="337">
        <v>156</v>
      </c>
      <c r="F55" s="337">
        <v>122</v>
      </c>
      <c r="G55" s="337">
        <v>153</v>
      </c>
      <c r="H55" s="340">
        <f t="shared" si="0"/>
        <v>91.729323308270665</v>
      </c>
      <c r="I55" s="340">
        <f t="shared" si="0"/>
        <v>98.076923076923066</v>
      </c>
      <c r="J55" s="337">
        <v>20</v>
      </c>
      <c r="K55" s="337">
        <v>18</v>
      </c>
      <c r="L55" s="341">
        <f t="shared" si="1"/>
        <v>16.393442622950818</v>
      </c>
      <c r="M55" s="341">
        <f t="shared" si="1"/>
        <v>11.76470588235294</v>
      </c>
      <c r="N55" s="442" t="str">
        <f t="shared" si="2"/>
        <v>ARI</v>
      </c>
      <c r="O55" s="443"/>
      <c r="P55" s="443"/>
    </row>
    <row r="56" spans="2:16">
      <c r="B56" s="337" t="s">
        <v>80</v>
      </c>
      <c r="C56" s="337" t="s">
        <v>79</v>
      </c>
      <c r="D56" s="337">
        <v>12</v>
      </c>
      <c r="E56" s="337">
        <v>8</v>
      </c>
      <c r="F56" s="337">
        <v>12</v>
      </c>
      <c r="G56" s="337">
        <v>7</v>
      </c>
      <c r="H56" s="340">
        <f t="shared" si="0"/>
        <v>100</v>
      </c>
      <c r="I56" s="340">
        <f t="shared" si="0"/>
        <v>87.5</v>
      </c>
      <c r="J56" s="337">
        <v>2</v>
      </c>
      <c r="K56" s="337">
        <v>1</v>
      </c>
      <c r="L56" s="341">
        <f t="shared" si="1"/>
        <v>16.666666666666664</v>
      </c>
      <c r="M56" s="341">
        <f t="shared" si="1"/>
        <v>14.285714285714285</v>
      </c>
      <c r="N56" s="442" t="str">
        <f t="shared" si="2"/>
        <v>Dr Grays</v>
      </c>
      <c r="O56" s="443"/>
      <c r="P56" s="443"/>
    </row>
    <row r="57" spans="2:16">
      <c r="B57" s="337" t="s">
        <v>187</v>
      </c>
      <c r="C57" s="337" t="s">
        <v>82</v>
      </c>
      <c r="D57" s="337">
        <v>1</v>
      </c>
      <c r="E57" s="337">
        <v>1</v>
      </c>
      <c r="F57" s="337">
        <v>1</v>
      </c>
      <c r="G57" s="337">
        <v>1</v>
      </c>
      <c r="H57" s="340">
        <f t="shared" si="0"/>
        <v>100</v>
      </c>
      <c r="I57" s="340">
        <f t="shared" si="0"/>
        <v>100</v>
      </c>
      <c r="J57" s="337">
        <v>0</v>
      </c>
      <c r="K57" s="337">
        <v>0</v>
      </c>
      <c r="L57" s="341">
        <f t="shared" si="1"/>
        <v>0</v>
      </c>
      <c r="M57" s="341">
        <f t="shared" si="1"/>
        <v>0</v>
      </c>
      <c r="N57" s="442" t="str">
        <f t="shared" si="2"/>
        <v>GRI</v>
      </c>
      <c r="O57" s="443"/>
      <c r="P57" s="443"/>
    </row>
    <row r="58" spans="2:16">
      <c r="B58" s="337" t="s">
        <v>532</v>
      </c>
      <c r="C58" s="337" t="s">
        <v>541</v>
      </c>
      <c r="D58" s="337">
        <v>202</v>
      </c>
      <c r="E58" s="337">
        <v>226</v>
      </c>
      <c r="F58" s="337">
        <v>200</v>
      </c>
      <c r="G58" s="337">
        <v>225</v>
      </c>
      <c r="H58" s="340">
        <f t="shared" si="0"/>
        <v>99.009900990099013</v>
      </c>
      <c r="I58" s="340">
        <f t="shared" si="0"/>
        <v>99.557522123893804</v>
      </c>
      <c r="J58" s="337">
        <v>30</v>
      </c>
      <c r="K58" s="337">
        <v>30</v>
      </c>
      <c r="L58" s="341">
        <f t="shared" si="1"/>
        <v>15</v>
      </c>
      <c r="M58" s="341">
        <f t="shared" si="1"/>
        <v>13.333333333333334</v>
      </c>
      <c r="N58" s="442" t="str">
        <f t="shared" si="2"/>
        <v>QEUH</v>
      </c>
      <c r="O58" s="443"/>
      <c r="P58" s="443"/>
    </row>
    <row r="59" spans="2:16">
      <c r="B59" s="337" t="s">
        <v>188</v>
      </c>
      <c r="C59" s="337" t="s">
        <v>87</v>
      </c>
      <c r="D59" s="337">
        <v>0</v>
      </c>
      <c r="E59" s="337">
        <v>2</v>
      </c>
      <c r="F59" s="337">
        <v>0</v>
      </c>
      <c r="G59" s="337">
        <v>2</v>
      </c>
      <c r="H59" s="340" t="str">
        <f t="shared" si="0"/>
        <v/>
      </c>
      <c r="I59" s="340">
        <f t="shared" si="0"/>
        <v>100</v>
      </c>
      <c r="J59" s="337">
        <v>0</v>
      </c>
      <c r="K59" s="337">
        <v>0</v>
      </c>
      <c r="L59" s="341" t="str">
        <f t="shared" si="1"/>
        <v/>
      </c>
      <c r="M59" s="341">
        <f t="shared" si="1"/>
        <v>0</v>
      </c>
      <c r="N59" s="442" t="str">
        <f t="shared" si="2"/>
        <v>RAH</v>
      </c>
      <c r="O59" s="443"/>
      <c r="P59" s="443"/>
    </row>
    <row r="60" spans="2:16">
      <c r="B60" s="337" t="s">
        <v>92</v>
      </c>
      <c r="C60" s="337" t="s">
        <v>91</v>
      </c>
      <c r="D60" s="337">
        <v>3</v>
      </c>
      <c r="E60" s="337">
        <v>3</v>
      </c>
      <c r="F60" s="337">
        <v>2</v>
      </c>
      <c r="G60" s="337">
        <v>0</v>
      </c>
      <c r="H60" s="340">
        <f t="shared" si="0"/>
        <v>66.666666666666657</v>
      </c>
      <c r="I60" s="340">
        <f t="shared" si="0"/>
        <v>0</v>
      </c>
      <c r="J60" s="337">
        <v>0</v>
      </c>
      <c r="K60" s="337">
        <v>0</v>
      </c>
      <c r="L60" s="341">
        <f t="shared" si="1"/>
        <v>0</v>
      </c>
      <c r="M60" s="341" t="str">
        <f t="shared" si="1"/>
        <v/>
      </c>
      <c r="N60" s="442" t="str">
        <f t="shared" si="2"/>
        <v>Belford</v>
      </c>
      <c r="O60" s="443"/>
      <c r="P60" s="443"/>
    </row>
    <row r="61" spans="2:16">
      <c r="B61" s="337" t="s">
        <v>95</v>
      </c>
      <c r="C61" s="337" t="s">
        <v>94</v>
      </c>
      <c r="D61" s="337">
        <v>3</v>
      </c>
      <c r="E61" s="337">
        <v>11</v>
      </c>
      <c r="F61" s="337">
        <v>1</v>
      </c>
      <c r="G61" s="337">
        <v>6</v>
      </c>
      <c r="H61" s="340">
        <f t="shared" si="0"/>
        <v>33.333333333333329</v>
      </c>
      <c r="I61" s="340">
        <f t="shared" si="0"/>
        <v>54.54545454545454</v>
      </c>
      <c r="J61" s="337">
        <v>0</v>
      </c>
      <c r="K61" s="337">
        <v>0</v>
      </c>
      <c r="L61" s="341">
        <f t="shared" si="1"/>
        <v>0</v>
      </c>
      <c r="M61" s="341">
        <f t="shared" si="1"/>
        <v>0</v>
      </c>
      <c r="N61" s="442" t="str">
        <f t="shared" si="2"/>
        <v>Caithness</v>
      </c>
      <c r="O61" s="443"/>
      <c r="P61" s="443"/>
    </row>
    <row r="62" spans="2:16">
      <c r="B62" s="337" t="s">
        <v>98</v>
      </c>
      <c r="C62" s="337" t="s">
        <v>97</v>
      </c>
      <c r="D62" s="337">
        <v>8</v>
      </c>
      <c r="E62" s="337">
        <v>3</v>
      </c>
      <c r="F62" s="337">
        <v>8</v>
      </c>
      <c r="G62" s="337">
        <v>3</v>
      </c>
      <c r="H62" s="340">
        <f t="shared" si="0"/>
        <v>100</v>
      </c>
      <c r="I62" s="340">
        <f t="shared" si="0"/>
        <v>100</v>
      </c>
      <c r="J62" s="337">
        <v>2</v>
      </c>
      <c r="K62" s="337">
        <v>0</v>
      </c>
      <c r="L62" s="341">
        <f t="shared" si="1"/>
        <v>25</v>
      </c>
      <c r="M62" s="341">
        <f t="shared" si="1"/>
        <v>0</v>
      </c>
      <c r="N62" s="442" t="str">
        <f t="shared" si="2"/>
        <v>L&amp;I</v>
      </c>
      <c r="O62" s="443"/>
      <c r="P62" s="443"/>
    </row>
    <row r="63" spans="2:16">
      <c r="B63" s="337" t="s">
        <v>101</v>
      </c>
      <c r="C63" s="337" t="s">
        <v>100</v>
      </c>
      <c r="D63" s="337">
        <v>27</v>
      </c>
      <c r="E63" s="337">
        <v>23</v>
      </c>
      <c r="F63" s="337">
        <v>2</v>
      </c>
      <c r="G63" s="337">
        <v>1</v>
      </c>
      <c r="H63" s="340">
        <f t="shared" si="0"/>
        <v>7.4074074074074066</v>
      </c>
      <c r="I63" s="340">
        <f t="shared" si="0"/>
        <v>4.3478260869565215</v>
      </c>
      <c r="J63" s="337">
        <v>1</v>
      </c>
      <c r="K63" s="337">
        <v>1</v>
      </c>
      <c r="L63" s="341">
        <f t="shared" si="1"/>
        <v>50</v>
      </c>
      <c r="M63" s="341">
        <f t="shared" si="1"/>
        <v>100</v>
      </c>
      <c r="N63" s="442" t="str">
        <f t="shared" si="2"/>
        <v>Raigmore</v>
      </c>
      <c r="O63" s="443"/>
      <c r="P63" s="443"/>
    </row>
    <row r="64" spans="2:16">
      <c r="B64" s="337" t="s">
        <v>104</v>
      </c>
      <c r="C64" s="337" t="s">
        <v>103</v>
      </c>
      <c r="D64" s="337">
        <v>14</v>
      </c>
      <c r="E64" s="337">
        <v>26</v>
      </c>
      <c r="F64" s="337">
        <v>14</v>
      </c>
      <c r="G64" s="337">
        <v>25</v>
      </c>
      <c r="H64" s="340">
        <f t="shared" si="0"/>
        <v>100</v>
      </c>
      <c r="I64" s="340">
        <f t="shared" si="0"/>
        <v>96.15384615384616</v>
      </c>
      <c r="J64" s="337">
        <v>2</v>
      </c>
      <c r="K64" s="337">
        <v>0</v>
      </c>
      <c r="L64" s="341">
        <f t="shared" si="1"/>
        <v>14.285714285714285</v>
      </c>
      <c r="M64" s="341">
        <f t="shared" si="1"/>
        <v>0</v>
      </c>
      <c r="N64" s="442" t="str">
        <f t="shared" si="2"/>
        <v>Hairmyres</v>
      </c>
      <c r="O64" s="443"/>
      <c r="P64" s="443"/>
    </row>
    <row r="65" spans="2:16">
      <c r="B65" s="337" t="s">
        <v>107</v>
      </c>
      <c r="C65" s="337" t="s">
        <v>106</v>
      </c>
      <c r="D65" s="337">
        <v>26</v>
      </c>
      <c r="E65" s="337">
        <v>39</v>
      </c>
      <c r="F65" s="337">
        <v>26</v>
      </c>
      <c r="G65" s="337">
        <v>37</v>
      </c>
      <c r="H65" s="340">
        <f t="shared" si="0"/>
        <v>100</v>
      </c>
      <c r="I65" s="340">
        <f t="shared" si="0"/>
        <v>94.871794871794862</v>
      </c>
      <c r="J65" s="337">
        <v>2</v>
      </c>
      <c r="K65" s="337">
        <v>1</v>
      </c>
      <c r="L65" s="341">
        <f t="shared" si="1"/>
        <v>7.6923076923076925</v>
      </c>
      <c r="M65" s="341">
        <f t="shared" si="1"/>
        <v>2.7027027027027026</v>
      </c>
      <c r="N65" s="442" t="str">
        <f t="shared" si="2"/>
        <v>Monklands</v>
      </c>
      <c r="O65" s="443"/>
      <c r="P65" s="443"/>
    </row>
    <row r="66" spans="2:16">
      <c r="B66" s="337" t="s">
        <v>110</v>
      </c>
      <c r="C66" s="337" t="s">
        <v>109</v>
      </c>
      <c r="D66" s="337">
        <v>27</v>
      </c>
      <c r="E66" s="337">
        <v>47</v>
      </c>
      <c r="F66" s="337">
        <v>26</v>
      </c>
      <c r="G66" s="337">
        <v>46</v>
      </c>
      <c r="H66" s="340">
        <f t="shared" si="0"/>
        <v>96.296296296296291</v>
      </c>
      <c r="I66" s="340">
        <f t="shared" si="0"/>
        <v>97.872340425531917</v>
      </c>
      <c r="J66" s="337">
        <v>0</v>
      </c>
      <c r="K66" s="337">
        <v>5</v>
      </c>
      <c r="L66" s="341">
        <f t="shared" si="1"/>
        <v>0</v>
      </c>
      <c r="M66" s="341">
        <f t="shared" si="1"/>
        <v>10.869565217391305</v>
      </c>
      <c r="N66" s="442" t="str">
        <f t="shared" si="2"/>
        <v>Wishaw</v>
      </c>
      <c r="O66" s="443"/>
      <c r="P66" s="443"/>
    </row>
    <row r="67" spans="2:16">
      <c r="B67" s="337" t="s">
        <v>112</v>
      </c>
      <c r="C67" s="337" t="s">
        <v>195</v>
      </c>
      <c r="D67" s="337">
        <v>100</v>
      </c>
      <c r="E67" s="337">
        <v>85</v>
      </c>
      <c r="F67" s="337">
        <v>98</v>
      </c>
      <c r="G67" s="337">
        <v>82</v>
      </c>
      <c r="H67" s="340">
        <f t="shared" si="0"/>
        <v>98</v>
      </c>
      <c r="I67" s="340">
        <f t="shared" si="0"/>
        <v>96.470588235294116</v>
      </c>
      <c r="J67" s="337">
        <v>14</v>
      </c>
      <c r="K67" s="337">
        <v>6</v>
      </c>
      <c r="L67" s="341">
        <f t="shared" si="1"/>
        <v>14.285714285714285</v>
      </c>
      <c r="M67" s="341">
        <f t="shared" si="1"/>
        <v>7.3170731707317067</v>
      </c>
      <c r="N67" s="442" t="str">
        <f t="shared" si="2"/>
        <v>RIE</v>
      </c>
      <c r="O67" s="443"/>
      <c r="P67" s="443"/>
    </row>
    <row r="68" spans="2:16">
      <c r="B68" s="337" t="s">
        <v>115</v>
      </c>
      <c r="C68" s="337" t="s">
        <v>114</v>
      </c>
      <c r="D68" s="337">
        <v>35</v>
      </c>
      <c r="E68" s="337">
        <v>26</v>
      </c>
      <c r="F68" s="337">
        <v>33</v>
      </c>
      <c r="G68" s="337">
        <v>26</v>
      </c>
      <c r="H68" s="340">
        <f t="shared" si="0"/>
        <v>94.285714285714278</v>
      </c>
      <c r="I68" s="340">
        <f t="shared" si="0"/>
        <v>100</v>
      </c>
      <c r="J68" s="337">
        <v>3</v>
      </c>
      <c r="K68" s="337">
        <v>2</v>
      </c>
      <c r="L68" s="341">
        <f t="shared" si="1"/>
        <v>9.0909090909090917</v>
      </c>
      <c r="M68" s="341">
        <f t="shared" si="1"/>
        <v>7.6923076923076925</v>
      </c>
      <c r="N68" s="442" t="str">
        <f t="shared" si="2"/>
        <v>SJH</v>
      </c>
      <c r="O68" s="443"/>
      <c r="P68" s="443"/>
    </row>
    <row r="69" spans="2:16">
      <c r="B69" s="337" t="s">
        <v>118</v>
      </c>
      <c r="C69" s="337" t="s">
        <v>117</v>
      </c>
      <c r="D69" s="337">
        <v>15</v>
      </c>
      <c r="E69" s="337">
        <v>11</v>
      </c>
      <c r="F69" s="337">
        <v>14</v>
      </c>
      <c r="G69" s="337">
        <v>11</v>
      </c>
      <c r="H69" s="340">
        <f t="shared" si="0"/>
        <v>93.333333333333329</v>
      </c>
      <c r="I69" s="340">
        <f t="shared" si="0"/>
        <v>100</v>
      </c>
      <c r="J69" s="337">
        <v>1</v>
      </c>
      <c r="K69" s="337">
        <v>4</v>
      </c>
      <c r="L69" s="341">
        <f t="shared" si="1"/>
        <v>7.1428571428571423</v>
      </c>
      <c r="M69" s="341">
        <f t="shared" si="1"/>
        <v>36.363636363636367</v>
      </c>
      <c r="N69" s="442" t="str">
        <f t="shared" si="2"/>
        <v>WGH</v>
      </c>
      <c r="O69" s="443"/>
      <c r="P69" s="443"/>
    </row>
    <row r="70" spans="2:16">
      <c r="B70" s="337" t="s">
        <v>121</v>
      </c>
      <c r="C70" s="337" t="s">
        <v>120</v>
      </c>
      <c r="D70" s="337">
        <v>1</v>
      </c>
      <c r="E70" s="337">
        <v>2</v>
      </c>
      <c r="F70" s="337">
        <v>1</v>
      </c>
      <c r="G70" s="337">
        <v>2</v>
      </c>
      <c r="H70" s="340">
        <f t="shared" si="0"/>
        <v>100</v>
      </c>
      <c r="I70" s="340">
        <f t="shared" si="0"/>
        <v>100</v>
      </c>
      <c r="J70" s="337">
        <v>0</v>
      </c>
      <c r="K70" s="337">
        <v>0</v>
      </c>
      <c r="L70" s="341">
        <f t="shared" si="1"/>
        <v>0</v>
      </c>
      <c r="M70" s="341">
        <f t="shared" si="1"/>
        <v>0</v>
      </c>
      <c r="N70" s="442" t="str">
        <f t="shared" si="2"/>
        <v>Balfour</v>
      </c>
      <c r="O70" s="443"/>
      <c r="P70" s="443"/>
    </row>
    <row r="71" spans="2:16">
      <c r="B71" s="337" t="s">
        <v>124</v>
      </c>
      <c r="C71" s="337" t="s">
        <v>123</v>
      </c>
      <c r="D71" s="337">
        <v>1</v>
      </c>
      <c r="E71" s="337">
        <v>2</v>
      </c>
      <c r="F71" s="337">
        <v>1</v>
      </c>
      <c r="G71" s="337">
        <v>2</v>
      </c>
      <c r="H71" s="340">
        <f t="shared" si="0"/>
        <v>100</v>
      </c>
      <c r="I71" s="340">
        <f t="shared" si="0"/>
        <v>100</v>
      </c>
      <c r="J71" s="337">
        <v>0</v>
      </c>
      <c r="K71" s="337">
        <v>0</v>
      </c>
      <c r="L71" s="341">
        <f t="shared" si="1"/>
        <v>0</v>
      </c>
      <c r="M71" s="341">
        <f t="shared" si="1"/>
        <v>0</v>
      </c>
      <c r="N71" s="442" t="str">
        <f t="shared" si="2"/>
        <v>Gilbert Bain</v>
      </c>
      <c r="O71" s="443"/>
      <c r="P71" s="443"/>
    </row>
    <row r="72" spans="2:16">
      <c r="B72" s="337" t="s">
        <v>127</v>
      </c>
      <c r="C72" s="337" t="s">
        <v>126</v>
      </c>
      <c r="D72" s="337">
        <v>49</v>
      </c>
      <c r="E72" s="337">
        <v>52</v>
      </c>
      <c r="F72" s="337">
        <v>49</v>
      </c>
      <c r="G72" s="337">
        <v>52</v>
      </c>
      <c r="H72" s="340">
        <f t="shared" si="0"/>
        <v>100</v>
      </c>
      <c r="I72" s="340">
        <f t="shared" si="0"/>
        <v>100</v>
      </c>
      <c r="J72" s="337">
        <v>5</v>
      </c>
      <c r="K72" s="337">
        <v>3</v>
      </c>
      <c r="L72" s="341">
        <f t="shared" si="1"/>
        <v>10.204081632653061</v>
      </c>
      <c r="M72" s="341">
        <f t="shared" si="1"/>
        <v>5.7692307692307692</v>
      </c>
      <c r="N72" s="442" t="str">
        <f t="shared" si="2"/>
        <v>Ninewells</v>
      </c>
      <c r="O72" s="443"/>
      <c r="P72" s="443"/>
    </row>
    <row r="73" spans="2:16">
      <c r="B73" s="337" t="s">
        <v>130</v>
      </c>
      <c r="C73" s="337" t="s">
        <v>129</v>
      </c>
      <c r="D73" s="337">
        <v>22</v>
      </c>
      <c r="E73" s="337">
        <v>23</v>
      </c>
      <c r="F73" s="337">
        <v>21</v>
      </c>
      <c r="G73" s="337">
        <v>23</v>
      </c>
      <c r="H73" s="340">
        <f t="shared" si="0"/>
        <v>95.454545454545453</v>
      </c>
      <c r="I73" s="340">
        <f t="shared" si="0"/>
        <v>100</v>
      </c>
      <c r="J73" s="337">
        <v>3</v>
      </c>
      <c r="K73" s="337">
        <v>1</v>
      </c>
      <c r="L73" s="341">
        <f t="shared" si="1"/>
        <v>14.285714285714285</v>
      </c>
      <c r="M73" s="341">
        <f t="shared" si="1"/>
        <v>4.3478260869565215</v>
      </c>
      <c r="N73" s="442" t="str">
        <f t="shared" si="2"/>
        <v>PRI</v>
      </c>
      <c r="O73" s="443"/>
      <c r="P73" s="443"/>
    </row>
    <row r="74" spans="2:16">
      <c r="B74" s="337" t="s">
        <v>39</v>
      </c>
      <c r="C74" s="337" t="s">
        <v>135</v>
      </c>
      <c r="D74" s="337">
        <v>6</v>
      </c>
      <c r="E74" s="337">
        <v>8</v>
      </c>
      <c r="F74" s="337">
        <v>6</v>
      </c>
      <c r="G74" s="337">
        <v>7</v>
      </c>
      <c r="H74" s="340">
        <f t="shared" si="0"/>
        <v>100</v>
      </c>
      <c r="I74" s="340">
        <f t="shared" si="0"/>
        <v>87.5</v>
      </c>
      <c r="J74" s="337">
        <v>0</v>
      </c>
      <c r="K74" s="337">
        <v>0</v>
      </c>
      <c r="L74" s="341">
        <f t="shared" si="1"/>
        <v>0</v>
      </c>
      <c r="M74" s="341">
        <f t="shared" si="1"/>
        <v>0</v>
      </c>
      <c r="N74" s="442" t="str">
        <f t="shared" si="2"/>
        <v>Western Isles</v>
      </c>
      <c r="O74" s="443"/>
      <c r="P74" s="443"/>
    </row>
  </sheetData>
  <sheetProtection password="B8D9" sheet="1" objects="1" scenarios="1"/>
  <mergeCells count="8">
    <mergeCell ref="L1:L4"/>
    <mergeCell ref="D45:E45"/>
    <mergeCell ref="F45:G45"/>
    <mergeCell ref="H45:I45"/>
    <mergeCell ref="J45:K45"/>
    <mergeCell ref="L45:M45"/>
    <mergeCell ref="B1:I2"/>
    <mergeCell ref="B3:I5"/>
  </mergeCells>
  <conditionalFormatting sqref="H48">
    <cfRule type="expression" dxfId="9" priority="5">
      <formula>$H$48="#DIV/0!"</formula>
    </cfRule>
    <cfRule type="expression" dxfId="8" priority="6">
      <formula>AND($H$48&lt;100,$H$48&gt;0)</formula>
    </cfRule>
  </conditionalFormatting>
  <conditionalFormatting sqref="H49:H74 H47 I47:I74">
    <cfRule type="expression" dxfId="7" priority="4">
      <formula>AND($H$48&lt;100,$H$48&gt;0)</formula>
    </cfRule>
  </conditionalFormatting>
  <conditionalFormatting sqref="L47:M74">
    <cfRule type="expression" dxfId="6" priority="1">
      <formula>AND($H$48&lt;100,$H$48&gt;0)</formula>
    </cfRule>
    <cfRule type="cellIs" dxfId="5" priority="2" operator="equal">
      <formula>100</formula>
    </cfRule>
  </conditionalFormatting>
  <hyperlinks>
    <hyperlink ref="L1" location="'List of Tables &amp; Charts'!A1" display="return to List of Tables &amp; Charts"/>
  </hyperlinks>
  <pageMargins left="0.70866141732283472" right="0.70866141732283472" top="0.74803149606299213" bottom="0.74803149606299213" header="0.31496062992125984" footer="0.31496062992125984"/>
  <pageSetup paperSize="9" scale="5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67.xml><?xml version="1.0" encoding="utf-8"?>
<worksheet xmlns="http://schemas.openxmlformats.org/spreadsheetml/2006/main" xmlns:r="http://schemas.openxmlformats.org/officeDocument/2006/relationships">
  <sheetPr codeName="Sheet80">
    <pageSetUpPr fitToPage="1"/>
  </sheetPr>
  <dimension ref="B1:P74"/>
  <sheetViews>
    <sheetView workbookViewId="0">
      <pane ySplit="5" topLeftCell="A6" activePane="bottomLeft" state="frozen"/>
      <selection pane="bottomLeft" activeCell="A6" sqref="A6"/>
    </sheetView>
  </sheetViews>
  <sheetFormatPr defaultRowHeight="12.75"/>
  <cols>
    <col min="1" max="1" width="1.7109375" style="336" customWidth="1"/>
    <col min="2" max="2" width="16.7109375" style="336" customWidth="1"/>
    <col min="3" max="3" width="40.7109375" style="336" customWidth="1"/>
    <col min="4" max="13" width="10.7109375" style="336" customWidth="1"/>
    <col min="14" max="16384" width="9.140625" style="336"/>
  </cols>
  <sheetData>
    <row r="1" spans="2:12" ht="12.75" customHeight="1">
      <c r="B1" s="761" t="s">
        <v>703</v>
      </c>
      <c r="C1" s="761"/>
      <c r="D1" s="761"/>
      <c r="E1" s="761"/>
      <c r="F1" s="761"/>
      <c r="G1" s="761"/>
      <c r="H1" s="761"/>
      <c r="I1" s="761"/>
      <c r="J1" s="693"/>
      <c r="K1" s="693"/>
      <c r="L1" s="802" t="s">
        <v>48</v>
      </c>
    </row>
    <row r="2" spans="2:12">
      <c r="B2" s="761"/>
      <c r="C2" s="761"/>
      <c r="D2" s="761"/>
      <c r="E2" s="761"/>
      <c r="F2" s="761"/>
      <c r="G2" s="761"/>
      <c r="H2" s="761"/>
      <c r="I2" s="761"/>
      <c r="J2" s="693"/>
      <c r="K2" s="693"/>
      <c r="L2" s="802"/>
    </row>
    <row r="3" spans="2:12" ht="12.75" customHeight="1">
      <c r="B3" s="836" t="s">
        <v>413</v>
      </c>
      <c r="C3" s="836"/>
      <c r="D3" s="836"/>
      <c r="E3" s="836"/>
      <c r="F3" s="836"/>
      <c r="G3" s="836"/>
      <c r="H3" s="836"/>
      <c r="I3" s="836"/>
      <c r="J3" s="694"/>
      <c r="K3" s="658"/>
      <c r="L3" s="802"/>
    </row>
    <row r="4" spans="2:12">
      <c r="B4" s="836"/>
      <c r="C4" s="836"/>
      <c r="D4" s="836"/>
      <c r="E4" s="836"/>
      <c r="F4" s="836"/>
      <c r="G4" s="836"/>
      <c r="H4" s="836"/>
      <c r="I4" s="836"/>
      <c r="J4" s="694"/>
      <c r="L4" s="802"/>
    </row>
    <row r="5" spans="2:12">
      <c r="B5" s="836"/>
      <c r="C5" s="836"/>
      <c r="D5" s="836"/>
      <c r="E5" s="836"/>
      <c r="F5" s="836"/>
      <c r="G5" s="836"/>
      <c r="H5" s="836"/>
      <c r="I5" s="836"/>
      <c r="J5" s="694"/>
      <c r="K5" s="458"/>
      <c r="L5" s="458"/>
    </row>
    <row r="6" spans="2:12">
      <c r="B6" s="659"/>
      <c r="C6" s="659"/>
      <c r="D6" s="659"/>
      <c r="E6" s="659"/>
      <c r="F6" s="659"/>
      <c r="G6" s="659"/>
      <c r="H6" s="659"/>
      <c r="I6" s="659"/>
      <c r="J6" s="659"/>
    </row>
    <row r="39" spans="2:16">
      <c r="B39" s="32" t="s">
        <v>733</v>
      </c>
      <c r="C39" s="32"/>
    </row>
    <row r="40" spans="2:16">
      <c r="B40" s="67" t="s">
        <v>432</v>
      </c>
      <c r="C40" s="67"/>
    </row>
    <row r="41" spans="2:16">
      <c r="B41" s="67" t="s">
        <v>433</v>
      </c>
      <c r="C41" s="67"/>
    </row>
    <row r="42" spans="2:16">
      <c r="B42" s="62" t="s">
        <v>434</v>
      </c>
      <c r="C42" s="62"/>
    </row>
    <row r="43" spans="2:16">
      <c r="B43" s="62" t="s">
        <v>459</v>
      </c>
      <c r="C43" s="62"/>
    </row>
    <row r="45" spans="2:16" ht="50.1" customHeight="1">
      <c r="B45" s="691" t="s">
        <v>27</v>
      </c>
      <c r="C45" s="689"/>
      <c r="D45" s="985" t="s">
        <v>318</v>
      </c>
      <c r="E45" s="985"/>
      <c r="F45" s="985" t="s">
        <v>320</v>
      </c>
      <c r="G45" s="985"/>
      <c r="H45" s="985" t="s">
        <v>321</v>
      </c>
      <c r="I45" s="985"/>
      <c r="J45" s="985" t="s">
        <v>319</v>
      </c>
      <c r="K45" s="985"/>
      <c r="L45" s="985" t="s">
        <v>322</v>
      </c>
      <c r="M45" s="986"/>
    </row>
    <row r="46" spans="2:16" ht="30" customHeight="1">
      <c r="B46" s="692" t="s">
        <v>26</v>
      </c>
      <c r="C46" s="690" t="s">
        <v>27</v>
      </c>
      <c r="D46" s="338">
        <v>2014</v>
      </c>
      <c r="E46" s="338">
        <v>2015</v>
      </c>
      <c r="F46" s="338">
        <v>2014</v>
      </c>
      <c r="G46" s="338">
        <v>2015</v>
      </c>
      <c r="H46" s="338">
        <v>2014</v>
      </c>
      <c r="I46" s="338">
        <v>2015</v>
      </c>
      <c r="J46" s="338">
        <v>2014</v>
      </c>
      <c r="K46" s="338">
        <v>2015</v>
      </c>
      <c r="L46" s="338">
        <v>2014</v>
      </c>
      <c r="M46" s="339">
        <v>2015</v>
      </c>
    </row>
    <row r="47" spans="2:16">
      <c r="B47" s="337" t="s">
        <v>137</v>
      </c>
      <c r="C47" s="337" t="s">
        <v>137</v>
      </c>
      <c r="D47" s="337">
        <f>SUM(D48:D74)</f>
        <v>869</v>
      </c>
      <c r="E47" s="337">
        <f>SUM(E48:E74)</f>
        <v>946</v>
      </c>
      <c r="F47" s="337">
        <f>SUM(F48:F74)</f>
        <v>819</v>
      </c>
      <c r="G47" s="337">
        <f>SUM(G48:G74)</f>
        <v>901</v>
      </c>
      <c r="H47" s="340">
        <f>IF(ISERR(F47/D47*100),"",F47/D47*100)</f>
        <v>94.24626006904488</v>
      </c>
      <c r="I47" s="340">
        <f>IF(ISERR(G47/E47*100),"",G47/E47*100)</f>
        <v>95.243128964059196</v>
      </c>
      <c r="J47" s="337">
        <f>SUM(J48:J74)</f>
        <v>103</v>
      </c>
      <c r="K47" s="337">
        <f>SUM(K48:K74)</f>
        <v>88</v>
      </c>
      <c r="L47" s="341">
        <f>IF(ISERR(J47/F47*100),"",J47/F47*100)</f>
        <v>12.576312576312576</v>
      </c>
      <c r="M47" s="341">
        <f>IF(ISERR(K47/G47*100),"",K47/G47*100)</f>
        <v>9.7669256381798011</v>
      </c>
      <c r="N47" s="442" t="str">
        <f>B47</f>
        <v>Scotland</v>
      </c>
      <c r="O47" s="443"/>
      <c r="P47" s="443"/>
    </row>
    <row r="48" spans="2:16">
      <c r="B48" s="337" t="s">
        <v>61</v>
      </c>
      <c r="C48" s="337" t="s">
        <v>60</v>
      </c>
      <c r="D48" s="337">
        <v>19</v>
      </c>
      <c r="E48" s="337">
        <v>11</v>
      </c>
      <c r="F48" s="337">
        <v>18</v>
      </c>
      <c r="G48" s="337">
        <v>11</v>
      </c>
      <c r="H48" s="340">
        <f>IF(ISERR(F48/D48*100),"",F48/D48*100)</f>
        <v>94.73684210526315</v>
      </c>
      <c r="I48" s="340">
        <f>IF(ISERR(G48/E48*100),"",G48/E48*100)</f>
        <v>100</v>
      </c>
      <c r="J48" s="337">
        <v>1</v>
      </c>
      <c r="K48" s="337">
        <v>0</v>
      </c>
      <c r="L48" s="341">
        <f>IF(ISERR(J48/F48*100),"",J48/F48*100)</f>
        <v>5.5555555555555554</v>
      </c>
      <c r="M48" s="341">
        <f>IF(ISERR(K48/G48*100),"",K48/G48*100)</f>
        <v>0</v>
      </c>
      <c r="N48" s="442" t="str">
        <f>B48</f>
        <v>Ayr</v>
      </c>
      <c r="O48" s="443"/>
      <c r="P48" s="443"/>
    </row>
    <row r="49" spans="2:16">
      <c r="B49" s="337" t="s">
        <v>63</v>
      </c>
      <c r="C49" s="337" t="s">
        <v>62</v>
      </c>
      <c r="D49" s="337">
        <v>30</v>
      </c>
      <c r="E49" s="337">
        <v>31</v>
      </c>
      <c r="F49" s="337">
        <v>30</v>
      </c>
      <c r="G49" s="337">
        <v>30</v>
      </c>
      <c r="H49" s="340">
        <f t="shared" ref="H49:I74" si="0">IF(ISERR(F49/D49*100),"",F49/D49*100)</f>
        <v>100</v>
      </c>
      <c r="I49" s="340">
        <f t="shared" si="0"/>
        <v>96.774193548387103</v>
      </c>
      <c r="J49" s="337">
        <v>2</v>
      </c>
      <c r="K49" s="337">
        <v>2</v>
      </c>
      <c r="L49" s="341">
        <f t="shared" ref="L49:M74" si="1">IF(ISERR(J49/F49*100),"",J49/F49*100)</f>
        <v>6.666666666666667</v>
      </c>
      <c r="M49" s="341">
        <f t="shared" si="1"/>
        <v>6.666666666666667</v>
      </c>
      <c r="N49" s="442" t="str">
        <f t="shared" ref="N49:N74" si="2">B49</f>
        <v>Crosshouse</v>
      </c>
      <c r="O49" s="443"/>
      <c r="P49" s="443"/>
    </row>
    <row r="50" spans="2:16">
      <c r="B50" s="337" t="s">
        <v>30</v>
      </c>
      <c r="C50" s="337" t="s">
        <v>65</v>
      </c>
      <c r="D50" s="337">
        <v>10</v>
      </c>
      <c r="E50" s="337">
        <v>10</v>
      </c>
      <c r="F50" s="337">
        <v>10</v>
      </c>
      <c r="G50" s="337">
        <v>10</v>
      </c>
      <c r="H50" s="340">
        <f t="shared" si="0"/>
        <v>100</v>
      </c>
      <c r="I50" s="340">
        <f t="shared" si="0"/>
        <v>100</v>
      </c>
      <c r="J50" s="337">
        <v>0</v>
      </c>
      <c r="K50" s="337">
        <v>0</v>
      </c>
      <c r="L50" s="341">
        <f t="shared" si="1"/>
        <v>0</v>
      </c>
      <c r="M50" s="341">
        <f t="shared" si="1"/>
        <v>0</v>
      </c>
      <c r="N50" s="442" t="str">
        <f t="shared" si="2"/>
        <v>Borders</v>
      </c>
      <c r="O50" s="443"/>
      <c r="P50" s="443"/>
    </row>
    <row r="51" spans="2:16">
      <c r="B51" s="337" t="s">
        <v>68</v>
      </c>
      <c r="C51" s="337" t="s">
        <v>67</v>
      </c>
      <c r="D51" s="337">
        <v>35</v>
      </c>
      <c r="E51" s="337">
        <v>32</v>
      </c>
      <c r="F51" s="337">
        <v>34</v>
      </c>
      <c r="G51" s="337">
        <v>32</v>
      </c>
      <c r="H51" s="340">
        <f t="shared" si="0"/>
        <v>97.142857142857139</v>
      </c>
      <c r="I51" s="340">
        <f t="shared" si="0"/>
        <v>100</v>
      </c>
      <c r="J51" s="337">
        <v>0</v>
      </c>
      <c r="K51" s="337">
        <v>4</v>
      </c>
      <c r="L51" s="341">
        <f t="shared" si="1"/>
        <v>0</v>
      </c>
      <c r="M51" s="341">
        <f t="shared" si="1"/>
        <v>12.5</v>
      </c>
      <c r="N51" s="442" t="str">
        <f t="shared" si="2"/>
        <v>DGRI</v>
      </c>
      <c r="O51" s="443"/>
      <c r="P51" s="443"/>
    </row>
    <row r="52" spans="2:16">
      <c r="B52" s="337" t="s">
        <v>71</v>
      </c>
      <c r="C52" s="337" t="s">
        <v>70</v>
      </c>
      <c r="D52" s="337">
        <v>11</v>
      </c>
      <c r="E52" s="337">
        <v>8</v>
      </c>
      <c r="F52" s="337">
        <v>11</v>
      </c>
      <c r="G52" s="337">
        <v>8</v>
      </c>
      <c r="H52" s="340">
        <f t="shared" si="0"/>
        <v>100</v>
      </c>
      <c r="I52" s="340">
        <f t="shared" si="0"/>
        <v>100</v>
      </c>
      <c r="J52" s="337">
        <v>2</v>
      </c>
      <c r="K52" s="337">
        <v>0</v>
      </c>
      <c r="L52" s="341">
        <f t="shared" si="1"/>
        <v>18.181818181818183</v>
      </c>
      <c r="M52" s="341">
        <f t="shared" si="1"/>
        <v>0</v>
      </c>
      <c r="N52" s="442" t="str">
        <f t="shared" si="2"/>
        <v>GCH</v>
      </c>
      <c r="O52" s="443"/>
      <c r="P52" s="443"/>
    </row>
    <row r="53" spans="2:16">
      <c r="B53" s="337" t="s">
        <v>177</v>
      </c>
      <c r="C53" s="337" t="s">
        <v>287</v>
      </c>
      <c r="D53" s="337">
        <v>44</v>
      </c>
      <c r="E53" s="337">
        <v>60</v>
      </c>
      <c r="F53" s="337">
        <v>44</v>
      </c>
      <c r="G53" s="337">
        <v>59</v>
      </c>
      <c r="H53" s="340">
        <f t="shared" si="0"/>
        <v>100</v>
      </c>
      <c r="I53" s="340">
        <f t="shared" si="0"/>
        <v>98.333333333333329</v>
      </c>
      <c r="J53" s="337">
        <v>9</v>
      </c>
      <c r="K53" s="337">
        <v>7</v>
      </c>
      <c r="L53" s="341">
        <f t="shared" si="1"/>
        <v>20.454545454545457</v>
      </c>
      <c r="M53" s="341">
        <f t="shared" si="1"/>
        <v>11.864406779661017</v>
      </c>
      <c r="N53" s="442" t="str">
        <f t="shared" si="2"/>
        <v>VHK</v>
      </c>
      <c r="O53" s="443"/>
      <c r="P53" s="443"/>
    </row>
    <row r="54" spans="2:16">
      <c r="B54" s="337" t="s">
        <v>186</v>
      </c>
      <c r="C54" s="337" t="s">
        <v>194</v>
      </c>
      <c r="D54" s="337">
        <v>35</v>
      </c>
      <c r="E54" s="337">
        <v>40</v>
      </c>
      <c r="F54" s="337">
        <v>35</v>
      </c>
      <c r="G54" s="337">
        <v>40</v>
      </c>
      <c r="H54" s="340">
        <f t="shared" si="0"/>
        <v>100</v>
      </c>
      <c r="I54" s="340">
        <f t="shared" si="0"/>
        <v>100</v>
      </c>
      <c r="J54" s="337">
        <v>4</v>
      </c>
      <c r="K54" s="337">
        <v>3</v>
      </c>
      <c r="L54" s="341">
        <f t="shared" si="1"/>
        <v>11.428571428571429</v>
      </c>
      <c r="M54" s="341">
        <f t="shared" si="1"/>
        <v>7.5</v>
      </c>
      <c r="N54" s="442" t="str">
        <f t="shared" si="2"/>
        <v>FVRH</v>
      </c>
      <c r="O54" s="443"/>
      <c r="P54" s="443"/>
    </row>
    <row r="55" spans="2:16">
      <c r="B55" s="337" t="s">
        <v>178</v>
      </c>
      <c r="C55" s="337" t="s">
        <v>77</v>
      </c>
      <c r="D55" s="337">
        <v>133</v>
      </c>
      <c r="E55" s="337">
        <v>156</v>
      </c>
      <c r="F55" s="337">
        <v>122</v>
      </c>
      <c r="G55" s="337">
        <v>153</v>
      </c>
      <c r="H55" s="340">
        <f t="shared" si="0"/>
        <v>91.729323308270665</v>
      </c>
      <c r="I55" s="340">
        <f t="shared" si="0"/>
        <v>98.076923076923066</v>
      </c>
      <c r="J55" s="337">
        <v>20</v>
      </c>
      <c r="K55" s="337">
        <v>18</v>
      </c>
      <c r="L55" s="341">
        <f t="shared" si="1"/>
        <v>16.393442622950818</v>
      </c>
      <c r="M55" s="341">
        <f t="shared" si="1"/>
        <v>11.76470588235294</v>
      </c>
      <c r="N55" s="442" t="str">
        <f t="shared" si="2"/>
        <v>ARI</v>
      </c>
      <c r="O55" s="443"/>
      <c r="P55" s="443"/>
    </row>
    <row r="56" spans="2:16">
      <c r="B56" s="337" t="s">
        <v>80</v>
      </c>
      <c r="C56" s="337" t="s">
        <v>79</v>
      </c>
      <c r="D56" s="337">
        <v>12</v>
      </c>
      <c r="E56" s="337">
        <v>8</v>
      </c>
      <c r="F56" s="337">
        <v>12</v>
      </c>
      <c r="G56" s="337">
        <v>7</v>
      </c>
      <c r="H56" s="340">
        <f t="shared" si="0"/>
        <v>100</v>
      </c>
      <c r="I56" s="340">
        <f t="shared" si="0"/>
        <v>87.5</v>
      </c>
      <c r="J56" s="337">
        <v>2</v>
      </c>
      <c r="K56" s="337">
        <v>1</v>
      </c>
      <c r="L56" s="341">
        <f t="shared" si="1"/>
        <v>16.666666666666664</v>
      </c>
      <c r="M56" s="341">
        <f t="shared" si="1"/>
        <v>14.285714285714285</v>
      </c>
      <c r="N56" s="442" t="str">
        <f t="shared" si="2"/>
        <v>Dr Grays</v>
      </c>
      <c r="O56" s="443"/>
      <c r="P56" s="443"/>
    </row>
    <row r="57" spans="2:16">
      <c r="B57" s="337" t="s">
        <v>187</v>
      </c>
      <c r="C57" s="337" t="s">
        <v>82</v>
      </c>
      <c r="D57" s="337">
        <v>1</v>
      </c>
      <c r="E57" s="337">
        <v>1</v>
      </c>
      <c r="F57" s="337">
        <v>1</v>
      </c>
      <c r="G57" s="337">
        <v>1</v>
      </c>
      <c r="H57" s="340">
        <f t="shared" si="0"/>
        <v>100</v>
      </c>
      <c r="I57" s="340">
        <f t="shared" si="0"/>
        <v>100</v>
      </c>
      <c r="J57" s="337">
        <v>0</v>
      </c>
      <c r="K57" s="337">
        <v>0</v>
      </c>
      <c r="L57" s="341">
        <f t="shared" si="1"/>
        <v>0</v>
      </c>
      <c r="M57" s="341">
        <f t="shared" si="1"/>
        <v>0</v>
      </c>
      <c r="N57" s="442" t="str">
        <f t="shared" si="2"/>
        <v>GRI</v>
      </c>
      <c r="O57" s="443"/>
      <c r="P57" s="443"/>
    </row>
    <row r="58" spans="2:16">
      <c r="B58" s="337" t="s">
        <v>532</v>
      </c>
      <c r="C58" s="337" t="s">
        <v>541</v>
      </c>
      <c r="D58" s="337">
        <v>202</v>
      </c>
      <c r="E58" s="337">
        <v>226</v>
      </c>
      <c r="F58" s="337">
        <v>200</v>
      </c>
      <c r="G58" s="337">
        <v>225</v>
      </c>
      <c r="H58" s="340">
        <f t="shared" si="0"/>
        <v>99.009900990099013</v>
      </c>
      <c r="I58" s="340">
        <f t="shared" si="0"/>
        <v>99.557522123893804</v>
      </c>
      <c r="J58" s="337">
        <v>30</v>
      </c>
      <c r="K58" s="337">
        <v>30</v>
      </c>
      <c r="L58" s="341">
        <f t="shared" si="1"/>
        <v>15</v>
      </c>
      <c r="M58" s="341">
        <f t="shared" si="1"/>
        <v>13.333333333333334</v>
      </c>
      <c r="N58" s="442" t="str">
        <f t="shared" si="2"/>
        <v>QEUH</v>
      </c>
      <c r="O58" s="443"/>
      <c r="P58" s="443"/>
    </row>
    <row r="59" spans="2:16">
      <c r="B59" s="337" t="s">
        <v>188</v>
      </c>
      <c r="C59" s="337" t="s">
        <v>87</v>
      </c>
      <c r="D59" s="337">
        <v>0</v>
      </c>
      <c r="E59" s="337">
        <v>2</v>
      </c>
      <c r="F59" s="337">
        <v>0</v>
      </c>
      <c r="G59" s="337">
        <v>2</v>
      </c>
      <c r="H59" s="340" t="str">
        <f t="shared" si="0"/>
        <v/>
      </c>
      <c r="I59" s="340">
        <f t="shared" si="0"/>
        <v>100</v>
      </c>
      <c r="J59" s="337">
        <v>0</v>
      </c>
      <c r="K59" s="337">
        <v>0</v>
      </c>
      <c r="L59" s="341" t="str">
        <f t="shared" si="1"/>
        <v/>
      </c>
      <c r="M59" s="341">
        <f t="shared" si="1"/>
        <v>0</v>
      </c>
      <c r="N59" s="442" t="str">
        <f t="shared" si="2"/>
        <v>RAH</v>
      </c>
      <c r="O59" s="443"/>
      <c r="P59" s="443"/>
    </row>
    <row r="60" spans="2:16">
      <c r="B60" s="337" t="s">
        <v>92</v>
      </c>
      <c r="C60" s="337" t="s">
        <v>91</v>
      </c>
      <c r="D60" s="337">
        <v>3</v>
      </c>
      <c r="E60" s="337">
        <v>3</v>
      </c>
      <c r="F60" s="337">
        <v>2</v>
      </c>
      <c r="G60" s="337">
        <v>0</v>
      </c>
      <c r="H60" s="340">
        <f t="shared" si="0"/>
        <v>66.666666666666657</v>
      </c>
      <c r="I60" s="340">
        <f t="shared" si="0"/>
        <v>0</v>
      </c>
      <c r="J60" s="337">
        <v>0</v>
      </c>
      <c r="K60" s="337">
        <v>0</v>
      </c>
      <c r="L60" s="341">
        <f t="shared" si="1"/>
        <v>0</v>
      </c>
      <c r="M60" s="341" t="str">
        <f t="shared" si="1"/>
        <v/>
      </c>
      <c r="N60" s="442" t="str">
        <f t="shared" si="2"/>
        <v>Belford</v>
      </c>
      <c r="O60" s="443"/>
      <c r="P60" s="443"/>
    </row>
    <row r="61" spans="2:16">
      <c r="B61" s="337" t="s">
        <v>95</v>
      </c>
      <c r="C61" s="337" t="s">
        <v>94</v>
      </c>
      <c r="D61" s="337">
        <v>3</v>
      </c>
      <c r="E61" s="337">
        <v>11</v>
      </c>
      <c r="F61" s="337">
        <v>1</v>
      </c>
      <c r="G61" s="337">
        <v>6</v>
      </c>
      <c r="H61" s="340">
        <f t="shared" si="0"/>
        <v>33.333333333333329</v>
      </c>
      <c r="I61" s="340">
        <f t="shared" si="0"/>
        <v>54.54545454545454</v>
      </c>
      <c r="J61" s="337">
        <v>0</v>
      </c>
      <c r="K61" s="337">
        <v>0</v>
      </c>
      <c r="L61" s="341">
        <f t="shared" si="1"/>
        <v>0</v>
      </c>
      <c r="M61" s="341">
        <f t="shared" si="1"/>
        <v>0</v>
      </c>
      <c r="N61" s="442" t="str">
        <f t="shared" si="2"/>
        <v>Caithness</v>
      </c>
      <c r="O61" s="443"/>
      <c r="P61" s="443"/>
    </row>
    <row r="62" spans="2:16">
      <c r="B62" s="337" t="s">
        <v>98</v>
      </c>
      <c r="C62" s="337" t="s">
        <v>97</v>
      </c>
      <c r="D62" s="337">
        <v>8</v>
      </c>
      <c r="E62" s="337">
        <v>3</v>
      </c>
      <c r="F62" s="337">
        <v>8</v>
      </c>
      <c r="G62" s="337">
        <v>3</v>
      </c>
      <c r="H62" s="340">
        <f t="shared" si="0"/>
        <v>100</v>
      </c>
      <c r="I62" s="340">
        <f t="shared" si="0"/>
        <v>100</v>
      </c>
      <c r="J62" s="337">
        <v>2</v>
      </c>
      <c r="K62" s="337">
        <v>0</v>
      </c>
      <c r="L62" s="341">
        <f t="shared" si="1"/>
        <v>25</v>
      </c>
      <c r="M62" s="341">
        <f t="shared" si="1"/>
        <v>0</v>
      </c>
      <c r="N62" s="442" t="str">
        <f t="shared" si="2"/>
        <v>L&amp;I</v>
      </c>
      <c r="O62" s="443"/>
      <c r="P62" s="443"/>
    </row>
    <row r="63" spans="2:16">
      <c r="B63" s="337" t="s">
        <v>101</v>
      </c>
      <c r="C63" s="337" t="s">
        <v>100</v>
      </c>
      <c r="D63" s="337">
        <v>27</v>
      </c>
      <c r="E63" s="337">
        <v>23</v>
      </c>
      <c r="F63" s="337">
        <v>2</v>
      </c>
      <c r="G63" s="337">
        <v>1</v>
      </c>
      <c r="H63" s="340">
        <f t="shared" si="0"/>
        <v>7.4074074074074066</v>
      </c>
      <c r="I63" s="340">
        <f t="shared" si="0"/>
        <v>4.3478260869565215</v>
      </c>
      <c r="J63" s="337">
        <v>1</v>
      </c>
      <c r="K63" s="337">
        <v>1</v>
      </c>
      <c r="L63" s="341">
        <f t="shared" si="1"/>
        <v>50</v>
      </c>
      <c r="M63" s="341">
        <f t="shared" si="1"/>
        <v>100</v>
      </c>
      <c r="N63" s="442" t="str">
        <f t="shared" si="2"/>
        <v>Raigmore</v>
      </c>
      <c r="O63" s="443"/>
      <c r="P63" s="443"/>
    </row>
    <row r="64" spans="2:16">
      <c r="B64" s="337" t="s">
        <v>104</v>
      </c>
      <c r="C64" s="337" t="s">
        <v>103</v>
      </c>
      <c r="D64" s="337">
        <v>14</v>
      </c>
      <c r="E64" s="337">
        <v>26</v>
      </c>
      <c r="F64" s="337">
        <v>14</v>
      </c>
      <c r="G64" s="337">
        <v>25</v>
      </c>
      <c r="H64" s="340">
        <f t="shared" si="0"/>
        <v>100</v>
      </c>
      <c r="I64" s="340">
        <f t="shared" si="0"/>
        <v>96.15384615384616</v>
      </c>
      <c r="J64" s="337">
        <v>2</v>
      </c>
      <c r="K64" s="337">
        <v>0</v>
      </c>
      <c r="L64" s="341">
        <f t="shared" si="1"/>
        <v>14.285714285714285</v>
      </c>
      <c r="M64" s="341">
        <f t="shared" si="1"/>
        <v>0</v>
      </c>
      <c r="N64" s="442" t="str">
        <f t="shared" si="2"/>
        <v>Hairmyres</v>
      </c>
      <c r="O64" s="443"/>
      <c r="P64" s="443"/>
    </row>
    <row r="65" spans="2:16">
      <c r="B65" s="337" t="s">
        <v>107</v>
      </c>
      <c r="C65" s="337" t="s">
        <v>106</v>
      </c>
      <c r="D65" s="337">
        <v>26</v>
      </c>
      <c r="E65" s="337">
        <v>39</v>
      </c>
      <c r="F65" s="337">
        <v>26</v>
      </c>
      <c r="G65" s="337">
        <v>37</v>
      </c>
      <c r="H65" s="340">
        <f t="shared" si="0"/>
        <v>100</v>
      </c>
      <c r="I65" s="340">
        <f t="shared" si="0"/>
        <v>94.871794871794862</v>
      </c>
      <c r="J65" s="337">
        <v>2</v>
      </c>
      <c r="K65" s="337">
        <v>1</v>
      </c>
      <c r="L65" s="341">
        <f t="shared" si="1"/>
        <v>7.6923076923076925</v>
      </c>
      <c r="M65" s="341">
        <f t="shared" si="1"/>
        <v>2.7027027027027026</v>
      </c>
      <c r="N65" s="442" t="str">
        <f t="shared" si="2"/>
        <v>Monklands</v>
      </c>
      <c r="O65" s="443"/>
      <c r="P65" s="443"/>
    </row>
    <row r="66" spans="2:16">
      <c r="B66" s="337" t="s">
        <v>110</v>
      </c>
      <c r="C66" s="337" t="s">
        <v>109</v>
      </c>
      <c r="D66" s="337">
        <v>27</v>
      </c>
      <c r="E66" s="337">
        <v>47</v>
      </c>
      <c r="F66" s="337">
        <v>26</v>
      </c>
      <c r="G66" s="337">
        <v>46</v>
      </c>
      <c r="H66" s="340">
        <f t="shared" si="0"/>
        <v>96.296296296296291</v>
      </c>
      <c r="I66" s="340">
        <f t="shared" si="0"/>
        <v>97.872340425531917</v>
      </c>
      <c r="J66" s="337">
        <v>0</v>
      </c>
      <c r="K66" s="337">
        <v>5</v>
      </c>
      <c r="L66" s="341">
        <f t="shared" si="1"/>
        <v>0</v>
      </c>
      <c r="M66" s="341">
        <f t="shared" si="1"/>
        <v>10.869565217391305</v>
      </c>
      <c r="N66" s="442" t="str">
        <f t="shared" si="2"/>
        <v>Wishaw</v>
      </c>
      <c r="O66" s="443"/>
      <c r="P66" s="443"/>
    </row>
    <row r="67" spans="2:16">
      <c r="B67" s="337" t="s">
        <v>112</v>
      </c>
      <c r="C67" s="337" t="s">
        <v>195</v>
      </c>
      <c r="D67" s="337">
        <v>100</v>
      </c>
      <c r="E67" s="337">
        <v>85</v>
      </c>
      <c r="F67" s="337">
        <v>98</v>
      </c>
      <c r="G67" s="337">
        <v>82</v>
      </c>
      <c r="H67" s="340">
        <f t="shared" si="0"/>
        <v>98</v>
      </c>
      <c r="I67" s="340">
        <f t="shared" si="0"/>
        <v>96.470588235294116</v>
      </c>
      <c r="J67" s="337">
        <v>14</v>
      </c>
      <c r="K67" s="337">
        <v>6</v>
      </c>
      <c r="L67" s="341">
        <f t="shared" si="1"/>
        <v>14.285714285714285</v>
      </c>
      <c r="M67" s="341">
        <f t="shared" si="1"/>
        <v>7.3170731707317067</v>
      </c>
      <c r="N67" s="442" t="str">
        <f t="shared" si="2"/>
        <v>RIE</v>
      </c>
      <c r="O67" s="443"/>
      <c r="P67" s="443"/>
    </row>
    <row r="68" spans="2:16">
      <c r="B68" s="337" t="s">
        <v>115</v>
      </c>
      <c r="C68" s="337" t="s">
        <v>114</v>
      </c>
      <c r="D68" s="337">
        <v>35</v>
      </c>
      <c r="E68" s="337">
        <v>26</v>
      </c>
      <c r="F68" s="337">
        <v>33</v>
      </c>
      <c r="G68" s="337">
        <v>26</v>
      </c>
      <c r="H68" s="340">
        <f t="shared" si="0"/>
        <v>94.285714285714278</v>
      </c>
      <c r="I68" s="340">
        <f t="shared" si="0"/>
        <v>100</v>
      </c>
      <c r="J68" s="337">
        <v>3</v>
      </c>
      <c r="K68" s="337">
        <v>2</v>
      </c>
      <c r="L68" s="341">
        <f t="shared" si="1"/>
        <v>9.0909090909090917</v>
      </c>
      <c r="M68" s="341">
        <f t="shared" si="1"/>
        <v>7.6923076923076925</v>
      </c>
      <c r="N68" s="442" t="str">
        <f t="shared" si="2"/>
        <v>SJH</v>
      </c>
      <c r="O68" s="443"/>
      <c r="P68" s="443"/>
    </row>
    <row r="69" spans="2:16">
      <c r="B69" s="337" t="s">
        <v>118</v>
      </c>
      <c r="C69" s="337" t="s">
        <v>117</v>
      </c>
      <c r="D69" s="337">
        <v>15</v>
      </c>
      <c r="E69" s="337">
        <v>11</v>
      </c>
      <c r="F69" s="337">
        <v>14</v>
      </c>
      <c r="G69" s="337">
        <v>11</v>
      </c>
      <c r="H69" s="340">
        <f t="shared" si="0"/>
        <v>93.333333333333329</v>
      </c>
      <c r="I69" s="340">
        <f t="shared" si="0"/>
        <v>100</v>
      </c>
      <c r="J69" s="337">
        <v>1</v>
      </c>
      <c r="K69" s="337">
        <v>4</v>
      </c>
      <c r="L69" s="341">
        <f t="shared" si="1"/>
        <v>7.1428571428571423</v>
      </c>
      <c r="M69" s="341">
        <f t="shared" si="1"/>
        <v>36.363636363636367</v>
      </c>
      <c r="N69" s="442" t="str">
        <f t="shared" si="2"/>
        <v>WGH</v>
      </c>
      <c r="O69" s="443"/>
      <c r="P69" s="443"/>
    </row>
    <row r="70" spans="2:16">
      <c r="B70" s="337" t="s">
        <v>121</v>
      </c>
      <c r="C70" s="337" t="s">
        <v>120</v>
      </c>
      <c r="D70" s="337">
        <v>1</v>
      </c>
      <c r="E70" s="337">
        <v>2</v>
      </c>
      <c r="F70" s="337">
        <v>1</v>
      </c>
      <c r="G70" s="337">
        <v>2</v>
      </c>
      <c r="H70" s="340">
        <f t="shared" si="0"/>
        <v>100</v>
      </c>
      <c r="I70" s="340">
        <f t="shared" si="0"/>
        <v>100</v>
      </c>
      <c r="J70" s="337">
        <v>0</v>
      </c>
      <c r="K70" s="337">
        <v>0</v>
      </c>
      <c r="L70" s="341">
        <f t="shared" si="1"/>
        <v>0</v>
      </c>
      <c r="M70" s="341">
        <f t="shared" si="1"/>
        <v>0</v>
      </c>
      <c r="N70" s="442" t="str">
        <f t="shared" si="2"/>
        <v>Balfour</v>
      </c>
      <c r="O70" s="443"/>
      <c r="P70" s="443"/>
    </row>
    <row r="71" spans="2:16">
      <c r="B71" s="337" t="s">
        <v>124</v>
      </c>
      <c r="C71" s="337" t="s">
        <v>123</v>
      </c>
      <c r="D71" s="337">
        <v>1</v>
      </c>
      <c r="E71" s="337">
        <v>2</v>
      </c>
      <c r="F71" s="337">
        <v>1</v>
      </c>
      <c r="G71" s="337">
        <v>2</v>
      </c>
      <c r="H71" s="340">
        <f t="shared" si="0"/>
        <v>100</v>
      </c>
      <c r="I71" s="340">
        <f t="shared" si="0"/>
        <v>100</v>
      </c>
      <c r="J71" s="337">
        <v>0</v>
      </c>
      <c r="K71" s="337">
        <v>0</v>
      </c>
      <c r="L71" s="341">
        <f t="shared" si="1"/>
        <v>0</v>
      </c>
      <c r="M71" s="341">
        <f t="shared" si="1"/>
        <v>0</v>
      </c>
      <c r="N71" s="442" t="str">
        <f t="shared" si="2"/>
        <v>Gilbert Bain</v>
      </c>
      <c r="O71" s="443"/>
      <c r="P71" s="443"/>
    </row>
    <row r="72" spans="2:16">
      <c r="B72" s="337" t="s">
        <v>127</v>
      </c>
      <c r="C72" s="337" t="s">
        <v>126</v>
      </c>
      <c r="D72" s="337">
        <v>49</v>
      </c>
      <c r="E72" s="337">
        <v>52</v>
      </c>
      <c r="F72" s="337">
        <v>49</v>
      </c>
      <c r="G72" s="337">
        <v>52</v>
      </c>
      <c r="H72" s="340">
        <f t="shared" si="0"/>
        <v>100</v>
      </c>
      <c r="I72" s="340">
        <f t="shared" si="0"/>
        <v>100</v>
      </c>
      <c r="J72" s="337">
        <v>5</v>
      </c>
      <c r="K72" s="337">
        <v>3</v>
      </c>
      <c r="L72" s="341">
        <f t="shared" si="1"/>
        <v>10.204081632653061</v>
      </c>
      <c r="M72" s="341">
        <f t="shared" si="1"/>
        <v>5.7692307692307692</v>
      </c>
      <c r="N72" s="442" t="str">
        <f t="shared" si="2"/>
        <v>Ninewells</v>
      </c>
      <c r="O72" s="443"/>
      <c r="P72" s="443"/>
    </row>
    <row r="73" spans="2:16">
      <c r="B73" s="337" t="s">
        <v>130</v>
      </c>
      <c r="C73" s="337" t="s">
        <v>129</v>
      </c>
      <c r="D73" s="337">
        <v>22</v>
      </c>
      <c r="E73" s="337">
        <v>23</v>
      </c>
      <c r="F73" s="337">
        <v>21</v>
      </c>
      <c r="G73" s="337">
        <v>23</v>
      </c>
      <c r="H73" s="340">
        <f t="shared" si="0"/>
        <v>95.454545454545453</v>
      </c>
      <c r="I73" s="340">
        <f t="shared" si="0"/>
        <v>100</v>
      </c>
      <c r="J73" s="337">
        <v>3</v>
      </c>
      <c r="K73" s="337">
        <v>1</v>
      </c>
      <c r="L73" s="341">
        <f t="shared" si="1"/>
        <v>14.285714285714285</v>
      </c>
      <c r="M73" s="341">
        <f t="shared" si="1"/>
        <v>4.3478260869565215</v>
      </c>
      <c r="N73" s="442" t="str">
        <f t="shared" si="2"/>
        <v>PRI</v>
      </c>
      <c r="O73" s="443"/>
      <c r="P73" s="443"/>
    </row>
    <row r="74" spans="2:16">
      <c r="B74" s="337" t="s">
        <v>39</v>
      </c>
      <c r="C74" s="337" t="s">
        <v>135</v>
      </c>
      <c r="D74" s="337">
        <v>6</v>
      </c>
      <c r="E74" s="337">
        <v>8</v>
      </c>
      <c r="F74" s="337">
        <v>6</v>
      </c>
      <c r="G74" s="337">
        <v>7</v>
      </c>
      <c r="H74" s="340">
        <f t="shared" si="0"/>
        <v>100</v>
      </c>
      <c r="I74" s="340">
        <f t="shared" si="0"/>
        <v>87.5</v>
      </c>
      <c r="J74" s="337">
        <v>0</v>
      </c>
      <c r="K74" s="337">
        <v>0</v>
      </c>
      <c r="L74" s="341">
        <f t="shared" si="1"/>
        <v>0</v>
      </c>
      <c r="M74" s="341">
        <f t="shared" si="1"/>
        <v>0</v>
      </c>
      <c r="N74" s="442" t="str">
        <f t="shared" si="2"/>
        <v>Western Isles</v>
      </c>
      <c r="O74" s="443"/>
      <c r="P74" s="443"/>
    </row>
  </sheetData>
  <sheetProtection password="B8D9" sheet="1" objects="1" scenarios="1"/>
  <mergeCells count="8">
    <mergeCell ref="B1:I2"/>
    <mergeCell ref="L1:L4"/>
    <mergeCell ref="B3:I5"/>
    <mergeCell ref="D45:E45"/>
    <mergeCell ref="F45:G45"/>
    <mergeCell ref="H45:I45"/>
    <mergeCell ref="J45:K45"/>
    <mergeCell ref="L45:M45"/>
  </mergeCells>
  <conditionalFormatting sqref="H48">
    <cfRule type="expression" dxfId="4" priority="4">
      <formula>$H$48="#DIV/0!"</formula>
    </cfRule>
    <cfRule type="expression" dxfId="3" priority="5">
      <formula>AND($H$48&lt;100,$H$48&gt;0)</formula>
    </cfRule>
  </conditionalFormatting>
  <conditionalFormatting sqref="H49:H74 H47 I47:I74">
    <cfRule type="expression" dxfId="2" priority="3">
      <formula>AND($H$48&lt;100,$H$48&gt;0)</formula>
    </cfRule>
  </conditionalFormatting>
  <conditionalFormatting sqref="L47:M74">
    <cfRule type="expression" dxfId="1" priority="1">
      <formula>AND($H$48&lt;100,$H$48&gt;0)</formula>
    </cfRule>
    <cfRule type="cellIs" dxfId="0" priority="2" operator="equal">
      <formula>100</formula>
    </cfRule>
  </conditionalFormatting>
  <hyperlinks>
    <hyperlink ref="L1" location="'List of Tables &amp; Charts'!A1" display="return to List of Tables &amp; Charts"/>
  </hyperlinks>
  <pageMargins left="0.70866141732283472" right="0.70866141732283472" top="0.74803149606299213" bottom="0.74803149606299213" header="0.31496062992125984" footer="0.31496062992125984"/>
  <pageSetup paperSize="9" scale="50"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68.xml><?xml version="1.0" encoding="utf-8"?>
<worksheet xmlns="http://schemas.openxmlformats.org/spreadsheetml/2006/main" xmlns:r="http://schemas.openxmlformats.org/officeDocument/2006/relationships">
  <sheetPr codeName="Sheet56">
    <pageSetUpPr fitToPage="1"/>
  </sheetPr>
  <dimension ref="B1:O69"/>
  <sheetViews>
    <sheetView zoomScaleNormal="100" workbookViewId="0"/>
  </sheetViews>
  <sheetFormatPr defaultRowHeight="15"/>
  <cols>
    <col min="1" max="1" width="2.42578125" customWidth="1"/>
  </cols>
  <sheetData>
    <row r="1" spans="2:15">
      <c r="B1" s="386" t="s">
        <v>704</v>
      </c>
      <c r="C1" s="386"/>
      <c r="D1" s="386"/>
      <c r="E1" s="386"/>
      <c r="F1" s="386"/>
      <c r="G1" s="386"/>
      <c r="H1" s="386"/>
      <c r="I1" s="386"/>
    </row>
    <row r="2" spans="2:15">
      <c r="B2" s="409"/>
      <c r="C2" s="207"/>
      <c r="D2" s="207"/>
      <c r="E2" s="207"/>
      <c r="F2" s="207"/>
      <c r="G2" s="207"/>
      <c r="H2" s="207"/>
      <c r="I2" s="207"/>
      <c r="O2" s="802" t="s">
        <v>48</v>
      </c>
    </row>
    <row r="3" spans="2:15">
      <c r="O3" s="802"/>
    </row>
    <row r="4" spans="2:15">
      <c r="O4" s="802"/>
    </row>
    <row r="5" spans="2:15">
      <c r="O5" s="802"/>
    </row>
    <row r="34" spans="2:14">
      <c r="B34" s="513" t="s">
        <v>705</v>
      </c>
      <c r="C34" s="396"/>
      <c r="D34" s="396"/>
      <c r="E34" s="396"/>
      <c r="F34" s="396"/>
      <c r="G34" s="396"/>
      <c r="H34" s="396"/>
      <c r="I34" s="396"/>
      <c r="J34" s="396"/>
      <c r="K34" s="396"/>
      <c r="L34" s="396"/>
      <c r="M34" s="396"/>
      <c r="N34" s="396"/>
    </row>
    <row r="35" spans="2:14">
      <c r="B35" s="394" t="s">
        <v>460</v>
      </c>
      <c r="C35" s="396"/>
      <c r="D35" s="396"/>
      <c r="E35" s="396"/>
      <c r="F35" s="396"/>
      <c r="G35" s="396"/>
      <c r="H35" s="396"/>
      <c r="I35" s="396"/>
      <c r="J35" s="396"/>
      <c r="K35" s="396"/>
      <c r="L35" s="396"/>
      <c r="M35" s="396"/>
      <c r="N35" s="396"/>
    </row>
    <row r="36" spans="2:14" ht="24.75" customHeight="1">
      <c r="B36" s="989" t="s">
        <v>414</v>
      </c>
      <c r="C36" s="989"/>
      <c r="D36" s="989"/>
      <c r="E36" s="989"/>
      <c r="F36" s="989"/>
      <c r="G36" s="989"/>
      <c r="H36" s="989"/>
      <c r="I36" s="989"/>
      <c r="J36" s="989"/>
      <c r="K36" s="989"/>
      <c r="L36" s="989"/>
      <c r="M36" s="989"/>
      <c r="N36" s="989"/>
    </row>
    <row r="37" spans="2:14" ht="23.25" customHeight="1">
      <c r="B37" s="989" t="s">
        <v>530</v>
      </c>
      <c r="C37" s="989"/>
      <c r="D37" s="989"/>
      <c r="E37" s="989"/>
      <c r="F37" s="989"/>
      <c r="G37" s="989"/>
      <c r="H37" s="989"/>
      <c r="I37" s="989"/>
      <c r="J37" s="989"/>
      <c r="K37" s="989"/>
      <c r="L37" s="989"/>
      <c r="M37" s="989"/>
      <c r="N37" s="989"/>
    </row>
    <row r="38" spans="2:14" ht="34.5" customHeight="1">
      <c r="B38" s="988" t="s">
        <v>706</v>
      </c>
      <c r="C38" s="988"/>
      <c r="D38" s="988"/>
      <c r="E38" s="988"/>
      <c r="F38" s="988"/>
      <c r="G38" s="988"/>
      <c r="H38" s="988"/>
      <c r="I38" s="988"/>
      <c r="J38" s="988"/>
      <c r="K38" s="988"/>
      <c r="L38" s="988"/>
      <c r="M38" s="988"/>
      <c r="N38" s="988"/>
    </row>
    <row r="39" spans="2:14" ht="24.75" customHeight="1">
      <c r="B39" s="987" t="s">
        <v>355</v>
      </c>
      <c r="C39" s="987"/>
      <c r="D39" s="987"/>
      <c r="E39" s="987"/>
      <c r="F39" s="987"/>
      <c r="G39" s="987"/>
      <c r="H39" s="987"/>
      <c r="I39" s="987"/>
      <c r="J39" s="987"/>
      <c r="K39" s="987"/>
      <c r="L39" s="987"/>
      <c r="M39" s="987"/>
      <c r="N39" s="987"/>
    </row>
    <row r="40" spans="2:14" ht="10.5" customHeight="1">
      <c r="B40" s="987"/>
      <c r="C40" s="987"/>
      <c r="D40" s="987"/>
      <c r="E40" s="987"/>
      <c r="F40" s="987"/>
      <c r="G40" s="987"/>
      <c r="H40" s="987"/>
      <c r="I40" s="987"/>
      <c r="J40" s="987"/>
      <c r="K40" s="987"/>
      <c r="L40" s="987"/>
      <c r="M40" s="987"/>
      <c r="N40" s="987"/>
    </row>
    <row r="63" spans="2:14">
      <c r="B63" s="390"/>
    </row>
    <row r="64" spans="2:14">
      <c r="B64" s="396"/>
      <c r="C64" s="395"/>
      <c r="D64" s="395"/>
      <c r="E64" s="395"/>
      <c r="F64" s="395"/>
      <c r="G64" s="395"/>
      <c r="H64" s="395"/>
      <c r="I64" s="395"/>
      <c r="J64" s="395"/>
      <c r="K64" s="395"/>
      <c r="L64" s="395"/>
      <c r="M64" s="395"/>
      <c r="N64" s="395"/>
    </row>
    <row r="65" spans="2:14">
      <c r="B65" s="396"/>
      <c r="C65" s="395"/>
      <c r="D65" s="395"/>
      <c r="E65" s="395"/>
      <c r="F65" s="395"/>
      <c r="G65" s="395"/>
      <c r="H65" s="395"/>
      <c r="I65" s="395"/>
      <c r="J65" s="395"/>
      <c r="K65" s="395"/>
      <c r="L65" s="395"/>
      <c r="M65" s="395"/>
      <c r="N65" s="395"/>
    </row>
    <row r="66" spans="2:14" ht="23.25" customHeight="1">
      <c r="B66" s="988"/>
      <c r="C66" s="988"/>
      <c r="D66" s="988"/>
      <c r="E66" s="988"/>
      <c r="F66" s="988"/>
      <c r="G66" s="988"/>
      <c r="H66" s="988"/>
      <c r="I66" s="988"/>
      <c r="J66" s="988"/>
      <c r="K66" s="988"/>
      <c r="L66" s="988"/>
      <c r="M66" s="988"/>
      <c r="N66" s="988"/>
    </row>
    <row r="67" spans="2:14">
      <c r="B67" s="396"/>
      <c r="C67" s="395"/>
      <c r="D67" s="395"/>
      <c r="E67" s="395"/>
      <c r="F67" s="395"/>
      <c r="G67" s="395"/>
      <c r="H67" s="395"/>
      <c r="I67" s="395"/>
      <c r="J67" s="395"/>
      <c r="K67" s="395"/>
      <c r="L67" s="395"/>
      <c r="M67" s="395"/>
      <c r="N67" s="395"/>
    </row>
    <row r="68" spans="2:14" ht="26.25" customHeight="1">
      <c r="B68" s="987"/>
      <c r="C68" s="987"/>
      <c r="D68" s="987"/>
      <c r="E68" s="987"/>
      <c r="F68" s="987"/>
      <c r="G68" s="987"/>
      <c r="H68" s="987"/>
      <c r="I68" s="987"/>
      <c r="J68" s="987"/>
      <c r="K68" s="987"/>
      <c r="L68" s="987"/>
      <c r="M68" s="987"/>
      <c r="N68" s="987"/>
    </row>
    <row r="69" spans="2:14" ht="9.75" customHeight="1">
      <c r="B69" s="987"/>
      <c r="C69" s="987"/>
      <c r="D69" s="987"/>
      <c r="E69" s="987"/>
      <c r="F69" s="987"/>
      <c r="G69" s="987"/>
      <c r="H69" s="987"/>
      <c r="I69" s="987"/>
      <c r="J69" s="987"/>
      <c r="K69" s="987"/>
      <c r="L69" s="987"/>
      <c r="M69" s="987"/>
      <c r="N69" s="987"/>
    </row>
  </sheetData>
  <sheetProtection password="B8D9" sheet="1" objects="1" scenarios="1"/>
  <mergeCells count="7">
    <mergeCell ref="B68:N69"/>
    <mergeCell ref="B38:N38"/>
    <mergeCell ref="O2:O5"/>
    <mergeCell ref="B36:N36"/>
    <mergeCell ref="B37:N37"/>
    <mergeCell ref="B39:N40"/>
    <mergeCell ref="B66:N66"/>
  </mergeCells>
  <hyperlinks>
    <hyperlink ref="O2" location="'List of Tables &amp; Charts'!A1" display="return to List of Tables &amp; Charts"/>
  </hyperlinks>
  <pageMargins left="0.70866141732283472" right="0.70866141732283472" top="0.74803149606299213" bottom="0.74803149606299213" header="0.31496062992125984" footer="0.31496062992125984"/>
  <pageSetup paperSize="9" scale="66" orientation="portrait"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69.xml><?xml version="1.0" encoding="utf-8"?>
<worksheet xmlns="http://schemas.openxmlformats.org/spreadsheetml/2006/main" xmlns:r="http://schemas.openxmlformats.org/officeDocument/2006/relationships">
  <sheetPr codeName="Sheet57">
    <pageSetUpPr fitToPage="1"/>
  </sheetPr>
  <dimension ref="B1:O32"/>
  <sheetViews>
    <sheetView zoomScaleNormal="100" workbookViewId="0"/>
  </sheetViews>
  <sheetFormatPr defaultRowHeight="15"/>
  <cols>
    <col min="1" max="1" width="2.42578125" customWidth="1"/>
  </cols>
  <sheetData>
    <row r="1" spans="2:15">
      <c r="B1" s="386" t="s">
        <v>707</v>
      </c>
      <c r="C1" s="386"/>
      <c r="D1" s="386"/>
      <c r="E1" s="386"/>
      <c r="F1" s="386"/>
      <c r="G1" s="386"/>
      <c r="H1" s="386"/>
      <c r="I1" s="386"/>
    </row>
    <row r="2" spans="2:15">
      <c r="B2" s="409"/>
      <c r="C2" s="207"/>
      <c r="D2" s="207"/>
      <c r="E2" s="207"/>
      <c r="F2" s="207"/>
      <c r="G2" s="207"/>
      <c r="H2" s="207"/>
      <c r="I2" s="207"/>
      <c r="J2" s="207"/>
      <c r="O2" s="802" t="s">
        <v>48</v>
      </c>
    </row>
    <row r="3" spans="2:15">
      <c r="O3" s="802"/>
    </row>
    <row r="4" spans="2:15">
      <c r="O4" s="802"/>
    </row>
    <row r="5" spans="2:15">
      <c r="O5" s="802"/>
    </row>
    <row r="26" spans="2:14">
      <c r="B26" s="513" t="s">
        <v>708</v>
      </c>
      <c r="C26" s="396"/>
      <c r="D26" s="396"/>
      <c r="E26" s="396"/>
      <c r="F26" s="396"/>
      <c r="G26" s="396"/>
      <c r="H26" s="396"/>
      <c r="I26" s="396"/>
      <c r="J26" s="396"/>
      <c r="K26" s="396"/>
      <c r="L26" s="396"/>
      <c r="M26" s="396"/>
      <c r="N26" s="396"/>
    </row>
    <row r="27" spans="2:14">
      <c r="B27" s="396" t="s">
        <v>638</v>
      </c>
      <c r="C27" s="396"/>
      <c r="D27" s="396"/>
      <c r="E27" s="396"/>
      <c r="F27" s="396"/>
      <c r="G27" s="396"/>
      <c r="H27" s="396"/>
      <c r="I27" s="396"/>
      <c r="J27" s="396"/>
      <c r="K27" s="396"/>
      <c r="L27" s="396"/>
      <c r="M27" s="396"/>
      <c r="N27" s="396"/>
    </row>
    <row r="28" spans="2:14">
      <c r="B28" s="396" t="s">
        <v>356</v>
      </c>
      <c r="C28" s="396"/>
      <c r="D28" s="396"/>
      <c r="E28" s="396"/>
      <c r="F28" s="396"/>
      <c r="G28" s="396"/>
      <c r="H28" s="396"/>
      <c r="I28" s="396"/>
      <c r="J28" s="396"/>
      <c r="K28" s="396"/>
      <c r="L28" s="396"/>
      <c r="M28" s="396"/>
      <c r="N28" s="396"/>
    </row>
    <row r="29" spans="2:14" ht="23.25" customHeight="1">
      <c r="B29" s="988" t="s">
        <v>531</v>
      </c>
      <c r="C29" s="988"/>
      <c r="D29" s="988"/>
      <c r="E29" s="988"/>
      <c r="F29" s="988"/>
      <c r="G29" s="988"/>
      <c r="H29" s="988"/>
      <c r="I29" s="988"/>
      <c r="J29" s="988"/>
      <c r="K29" s="988"/>
      <c r="L29" s="988"/>
      <c r="M29" s="988"/>
      <c r="N29" s="988"/>
    </row>
    <row r="30" spans="2:14" ht="35.25" customHeight="1">
      <c r="B30" s="988" t="s">
        <v>744</v>
      </c>
      <c r="C30" s="988"/>
      <c r="D30" s="988"/>
      <c r="E30" s="988"/>
      <c r="F30" s="988"/>
      <c r="G30" s="988"/>
      <c r="H30" s="988"/>
      <c r="I30" s="988"/>
      <c r="J30" s="988"/>
      <c r="K30" s="988"/>
      <c r="L30" s="988"/>
      <c r="M30" s="988"/>
      <c r="N30" s="988"/>
    </row>
    <row r="31" spans="2:14" ht="26.25" customHeight="1">
      <c r="B31" s="987" t="s">
        <v>355</v>
      </c>
      <c r="C31" s="987"/>
      <c r="D31" s="987"/>
      <c r="E31" s="987"/>
      <c r="F31" s="987"/>
      <c r="G31" s="987"/>
      <c r="H31" s="987"/>
      <c r="I31" s="987"/>
      <c r="J31" s="987"/>
      <c r="K31" s="987"/>
      <c r="L31" s="987"/>
      <c r="M31" s="987"/>
      <c r="N31" s="987"/>
    </row>
    <row r="32" spans="2:14" ht="9.75" customHeight="1">
      <c r="B32" s="987"/>
      <c r="C32" s="987"/>
      <c r="D32" s="987"/>
      <c r="E32" s="987"/>
      <c r="F32" s="987"/>
      <c r="G32" s="987"/>
      <c r="H32" s="987"/>
      <c r="I32" s="987"/>
      <c r="J32" s="987"/>
      <c r="K32" s="987"/>
      <c r="L32" s="987"/>
      <c r="M32" s="987"/>
      <c r="N32" s="987"/>
    </row>
  </sheetData>
  <sheetProtection password="B8D9" sheet="1" objects="1" scenarios="1"/>
  <mergeCells count="4">
    <mergeCell ref="B29:N29"/>
    <mergeCell ref="B31:N32"/>
    <mergeCell ref="B30:N30"/>
    <mergeCell ref="O2:O5"/>
  </mergeCells>
  <hyperlinks>
    <hyperlink ref="O2" location="'List of Tables &amp; Charts'!A1" display="return to List of Tables &amp; Charts"/>
  </hyperlinks>
  <pageMargins left="0.70866141732283472" right="0.70866141732283472" top="0.74803149606299213" bottom="0.74803149606299213" header="0.31496062992125984" footer="0.31496062992125984"/>
  <pageSetup paperSize="9" scale="66" orientation="portrait"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xml><?xml version="1.0" encoding="utf-8"?>
<worksheet xmlns="http://schemas.openxmlformats.org/spreadsheetml/2006/main" xmlns:r="http://schemas.openxmlformats.org/officeDocument/2006/relationships">
  <sheetPr codeName="Sheet38">
    <pageSetUpPr fitToPage="1"/>
  </sheetPr>
  <dimension ref="A1:O32"/>
  <sheetViews>
    <sheetView workbookViewId="0"/>
  </sheetViews>
  <sheetFormatPr defaultRowHeight="12.75"/>
  <cols>
    <col min="1" max="1" width="1.7109375" style="2" customWidth="1"/>
    <col min="2" max="2" width="32.7109375" style="2" customWidth="1"/>
    <col min="3" max="4" width="24.7109375" style="2" customWidth="1"/>
    <col min="5" max="5" width="26.85546875" style="2" customWidth="1"/>
    <col min="6" max="6" width="12.7109375" style="2" customWidth="1"/>
    <col min="7" max="7" width="1.7109375" style="2" customWidth="1"/>
    <col min="8" max="8" width="12.7109375" style="2" customWidth="1"/>
    <col min="9" max="9" width="9.140625" style="2"/>
    <col min="10" max="11" width="6.7109375" style="2" customWidth="1"/>
    <col min="12" max="13" width="9.5703125" style="2" bestFit="1" customWidth="1"/>
    <col min="14" max="16384" width="9.140625" style="2"/>
  </cols>
  <sheetData>
    <row r="1" spans="1:15" ht="15.75" customHeight="1">
      <c r="B1" s="26" t="s">
        <v>612</v>
      </c>
      <c r="C1" s="26"/>
      <c r="D1" s="26"/>
      <c r="E1" s="26"/>
      <c r="F1" s="105"/>
    </row>
    <row r="2" spans="1:15">
      <c r="B2" s="105"/>
      <c r="C2" s="105"/>
      <c r="D2" s="106"/>
      <c r="E2" s="106"/>
      <c r="F2" s="106"/>
      <c r="G2" s="106"/>
      <c r="H2" s="106"/>
    </row>
    <row r="3" spans="1:15" ht="15">
      <c r="B3" s="786" t="s">
        <v>48</v>
      </c>
      <c r="C3" s="786"/>
      <c r="F3" s="282"/>
    </row>
    <row r="4" spans="1:15">
      <c r="B4" s="787" t="s">
        <v>283</v>
      </c>
      <c r="C4" s="788" t="s">
        <v>317</v>
      </c>
      <c r="D4" s="788" t="s">
        <v>323</v>
      </c>
      <c r="E4" s="788" t="s">
        <v>267</v>
      </c>
      <c r="F4" s="789" t="s">
        <v>165</v>
      </c>
      <c r="G4" s="790"/>
      <c r="H4" s="791"/>
    </row>
    <row r="5" spans="1:15" ht="31.5" customHeight="1">
      <c r="B5" s="787"/>
      <c r="C5" s="788"/>
      <c r="D5" s="788"/>
      <c r="E5" s="788"/>
      <c r="F5" s="792"/>
      <c r="G5" s="793"/>
      <c r="H5" s="794"/>
    </row>
    <row r="6" spans="1:15">
      <c r="B6" s="165" t="s">
        <v>137</v>
      </c>
      <c r="C6" s="166">
        <v>833</v>
      </c>
      <c r="D6" s="410">
        <v>5327700</v>
      </c>
      <c r="E6" s="167">
        <f>IF(ISERR(C6/D6*100000),"-",C6/D6*100000)</f>
        <v>15.635264748390489</v>
      </c>
      <c r="F6" s="168">
        <f>IF(AND(C6&gt;=0,C6&lt;100),SUM(VLOOKUP(C6,'Poisson sub 100'!$A$4:$C$103,2,FALSE)/D6*100000),IF(C6&gt;=100,SUM((((1.96/2)-SQRT(C6))^2)/D6*100000),""))</f>
        <v>14.591500850583282</v>
      </c>
      <c r="G6" s="169" t="s">
        <v>268</v>
      </c>
      <c r="H6" s="170">
        <f>IF(AND(C6&gt;=0,C6&lt;100),SUM(VLOOKUP(C6,'Poisson sub 100'!$A$4:$C$103,3,FALSE)/D6*100000),IF(C6&gt;=100,SUM((((1.96/2)+SQRT(C6+1))^2)/D6*100000),""))</f>
        <v>16.734488690927023</v>
      </c>
      <c r="J6" s="171"/>
      <c r="K6" s="171"/>
      <c r="L6" s="171"/>
      <c r="M6" s="171"/>
      <c r="N6" s="171"/>
      <c r="O6" s="171"/>
    </row>
    <row r="7" spans="1:15">
      <c r="A7" s="172" t="str">
        <f>B7</f>
        <v>Ayrshire &amp; Arran</v>
      </c>
      <c r="B7" s="173" t="s">
        <v>35</v>
      </c>
      <c r="C7" s="131">
        <v>62</v>
      </c>
      <c r="D7" s="411">
        <v>372210</v>
      </c>
      <c r="E7" s="174">
        <f t="shared" ref="E7:E20" si="0">IF(ISERR(C7/D7*100000),"-",C7/D7*100000)</f>
        <v>16.657263372827167</v>
      </c>
      <c r="F7" s="175">
        <f>IF(AND(C7&gt;=0,C7&lt;100),SUM(VLOOKUP(C7,'Poisson sub 100'!$A$4:$C$103,2,FALSE)/D7*100000),IF(C7&gt;=100,SUM((((1.96/2)-SQRT(C7))^2)/D7*100000),""))</f>
        <v>12.771016361731279</v>
      </c>
      <c r="G7" s="176" t="s">
        <v>268</v>
      </c>
      <c r="H7" s="177">
        <f>IF(AND(C7&gt;=0,C7&lt;100),SUM(VLOOKUP(C7,'Poisson sub 100'!$A$4:$C$103,3,FALSE)/D7*100000),IF(C7&gt;=100,SUM((((1.96/2)+SQRT(C7+1))^2)/D7*100000),""))</f>
        <v>21.353805647349613</v>
      </c>
      <c r="J7" s="171"/>
      <c r="K7" s="171"/>
      <c r="L7" s="171"/>
      <c r="M7" s="171"/>
      <c r="N7" s="171"/>
      <c r="O7" s="171"/>
    </row>
    <row r="8" spans="1:15">
      <c r="A8" s="172" t="str">
        <f t="shared" ref="A8:A21" si="1">B8</f>
        <v>Borders</v>
      </c>
      <c r="B8" s="173" t="s">
        <v>30</v>
      </c>
      <c r="C8" s="131">
        <v>11</v>
      </c>
      <c r="D8" s="411">
        <v>113870</v>
      </c>
      <c r="E8" s="174">
        <f t="shared" si="0"/>
        <v>9.660138754720295</v>
      </c>
      <c r="F8" s="175">
        <f>IF(AND(C8&gt;=0,C8&lt;100),SUM(VLOOKUP(C8,'Poisson sub 100'!$A$4:$C$103,2,FALSE)/D8*100000),IF(C8&gt;=100,SUM((((1.96/2)-SQRT(C8))^2)/D8*100000),""))</f>
        <v>4.8223412663563714</v>
      </c>
      <c r="G8" s="176" t="s">
        <v>268</v>
      </c>
      <c r="H8" s="177">
        <f>IF(AND(C8&gt;=0,C8&lt;100),SUM(VLOOKUP(C8,'Poisson sub 100'!$A$4:$C$103,3,FALSE)/D8*100000),IF(C8&gt;=100,SUM((((1.96/2)+SQRT(C8+1))^2)/D8*100000),""))</f>
        <v>17.28462281549135</v>
      </c>
      <c r="J8" s="171"/>
      <c r="K8" s="171"/>
      <c r="L8" s="171"/>
      <c r="M8" s="171"/>
      <c r="N8" s="171"/>
      <c r="O8" s="171"/>
    </row>
    <row r="9" spans="1:15">
      <c r="A9" s="172" t="str">
        <f t="shared" si="1"/>
        <v>Dumfries &amp; Galloway</v>
      </c>
      <c r="B9" s="173" t="s">
        <v>33</v>
      </c>
      <c r="C9" s="131">
        <v>41</v>
      </c>
      <c r="D9" s="411">
        <v>150270</v>
      </c>
      <c r="E9" s="174">
        <f t="shared" si="0"/>
        <v>27.284221734211751</v>
      </c>
      <c r="F9" s="175">
        <f>IF(AND(C9&gt;=0,C9&lt;100),SUM(VLOOKUP(C9,'Poisson sub 100'!$A$4:$C$103,2,FALSE)/D9*100000),IF(C9&gt;=100,SUM((((1.96/2)-SQRT(C9))^2)/D9*100000),""))</f>
        <v>19.579623344646304</v>
      </c>
      <c r="G9" s="176" t="s">
        <v>268</v>
      </c>
      <c r="H9" s="177">
        <f>IF(AND(C9&gt;=0,C9&lt;100),SUM(VLOOKUP(C9,'Poisson sub 100'!$A$4:$C$103,3,FALSE)/D9*100000),IF(C9&gt;=100,SUM((((1.96/2)+SQRT(C9+1))^2)/D9*100000),""))</f>
        <v>37.014107939043051</v>
      </c>
      <c r="J9" s="171"/>
      <c r="K9" s="171"/>
      <c r="L9" s="171"/>
      <c r="M9" s="171"/>
      <c r="N9" s="171"/>
      <c r="O9" s="171"/>
    </row>
    <row r="10" spans="1:15">
      <c r="A10" s="172" t="str">
        <f t="shared" si="1"/>
        <v>Fife</v>
      </c>
      <c r="B10" s="173" t="s">
        <v>32</v>
      </c>
      <c r="C10" s="131">
        <v>51</v>
      </c>
      <c r="D10" s="411">
        <v>366910</v>
      </c>
      <c r="E10" s="174">
        <f t="shared" si="0"/>
        <v>13.899866452263499</v>
      </c>
      <c r="F10" s="175">
        <f>IF(AND(C10&gt;=0,C10&lt;100),SUM(VLOOKUP(C10,'Poisson sub 100'!$A$4:$C$103,2,FALSE)/D10*100000),IF(C10&gt;=100,SUM((((1.96/2)-SQRT(C10))^2)/D10*100000),""))</f>
        <v>10.349349976833555</v>
      </c>
      <c r="G10" s="176" t="s">
        <v>268</v>
      </c>
      <c r="H10" s="177">
        <f>IF(AND(C10&gt;=0,C10&lt;100),SUM(VLOOKUP(C10,'Poisson sub 100'!$A$4:$C$103,3,FALSE)/D10*100000),IF(C10&gt;=100,SUM((((1.96/2)+SQRT(C10+1))^2)/D10*100000),""))</f>
        <v>18.275871467117277</v>
      </c>
      <c r="J10" s="171"/>
      <c r="K10" s="171"/>
      <c r="L10" s="171"/>
      <c r="M10" s="171"/>
      <c r="N10" s="171"/>
      <c r="O10" s="171"/>
    </row>
    <row r="11" spans="1:15">
      <c r="A11" s="172" t="str">
        <f t="shared" si="1"/>
        <v>Forth Valley</v>
      </c>
      <c r="B11" s="173" t="s">
        <v>37</v>
      </c>
      <c r="C11" s="131">
        <v>40</v>
      </c>
      <c r="D11" s="411">
        <v>299680</v>
      </c>
      <c r="E11" s="174">
        <f t="shared" si="0"/>
        <v>13.347570742124933</v>
      </c>
      <c r="F11" s="175">
        <f>IF(AND(C11&gt;=0,C11&lt;100),SUM(VLOOKUP(C11,'Poisson sub 100'!$A$4:$C$103,2,FALSE)/D11*100000),IF(C11&gt;=100,SUM((((1.96/2)-SQRT(C11))^2)/D11*100000),""))</f>
        <v>9.5357047517351852</v>
      </c>
      <c r="G11" s="176" t="s">
        <v>268</v>
      </c>
      <c r="H11" s="177">
        <f>IF(AND(C11&gt;=0,C11&lt;100),SUM(VLOOKUP(C11,'Poisson sub 100'!$A$4:$C$103,3,FALSE)/D11*100000),IF(C11&gt;=100,SUM((((1.96/2)+SQRT(C11+1))^2)/D11*100000),""))</f>
        <v>18.175587293112656</v>
      </c>
      <c r="J11" s="171"/>
      <c r="K11" s="171"/>
      <c r="L11" s="171"/>
      <c r="M11" s="171"/>
      <c r="N11" s="171"/>
      <c r="O11" s="171"/>
    </row>
    <row r="12" spans="1:15">
      <c r="A12" s="172" t="str">
        <f t="shared" si="1"/>
        <v>Grampian</v>
      </c>
      <c r="B12" s="173" t="s">
        <v>36</v>
      </c>
      <c r="C12" s="131">
        <v>138</v>
      </c>
      <c r="D12" s="411">
        <v>579220</v>
      </c>
      <c r="E12" s="174">
        <f t="shared" si="0"/>
        <v>23.825144159386763</v>
      </c>
      <c r="F12" s="175">
        <f>IF(AND(C12&gt;=0,C12&lt;100),SUM(VLOOKUP(C12,'Poisson sub 100'!$A$4:$C$103,2,FALSE)/D12*100000),IF(C12&gt;=100,SUM((((1.96/2)-SQRT(C12))^2)/D12*100000),""))</f>
        <v>20.015816676916778</v>
      </c>
      <c r="G12" s="176" t="s">
        <v>268</v>
      </c>
      <c r="H12" s="177">
        <f>IF(AND(C12&gt;=0,C12&lt;100),SUM(VLOOKUP(C12,'Poisson sub 100'!$A$4:$C$103,3,FALSE)/D12*100000),IF(C12&gt;=100,SUM((((1.96/2)+SQRT(C12+1))^2)/D12*100000),""))</f>
        <v>28.153112668796162</v>
      </c>
      <c r="J12" s="171"/>
      <c r="K12" s="171"/>
      <c r="L12" s="171"/>
      <c r="M12" s="171"/>
      <c r="N12" s="171"/>
      <c r="O12" s="171"/>
    </row>
    <row r="13" spans="1:15">
      <c r="A13" s="172" t="str">
        <f t="shared" si="1"/>
        <v>Greater Glasgow &amp; Clyde</v>
      </c>
      <c r="B13" s="173" t="s">
        <v>42</v>
      </c>
      <c r="C13" s="131">
        <v>157</v>
      </c>
      <c r="D13" s="411">
        <v>1137930</v>
      </c>
      <c r="E13" s="174">
        <f t="shared" si="0"/>
        <v>13.796982239680826</v>
      </c>
      <c r="F13" s="175">
        <f>IF(AND(C13&gt;=0,C13&lt;100),SUM(VLOOKUP(C13,'Poisson sub 100'!$A$4:$C$103,2,FALSE)/D13*100000),IF(C13&gt;=100,SUM((((1.96/2)-SQRT(C13))^2)/D13*100000),""))</f>
        <v>11.723187752424343</v>
      </c>
      <c r="G13" s="176" t="s">
        <v>268</v>
      </c>
      <c r="H13" s="177">
        <f>IF(AND(C13&gt;=0,C13&lt;100),SUM(VLOOKUP(C13,'Poisson sub 100'!$A$4:$C$103,3,FALSE)/D13*100000),IF(C13&gt;=100,SUM((((1.96/2)+SQRT(C13+1))^2)/D13*100000),""))</f>
        <v>16.134315641239272</v>
      </c>
      <c r="J13" s="171"/>
      <c r="K13" s="171"/>
      <c r="L13" s="171"/>
      <c r="M13" s="171"/>
      <c r="N13" s="171"/>
      <c r="O13" s="171"/>
    </row>
    <row r="14" spans="1:15">
      <c r="A14" s="172" t="str">
        <f t="shared" si="1"/>
        <v>Highland</v>
      </c>
      <c r="B14" s="173" t="s">
        <v>38</v>
      </c>
      <c r="C14" s="131">
        <v>39</v>
      </c>
      <c r="D14" s="411">
        <v>321000</v>
      </c>
      <c r="E14" s="174">
        <f t="shared" si="0"/>
        <v>12.149532710280374</v>
      </c>
      <c r="F14" s="175">
        <f>IF(AND(C14&gt;=0,C14&lt;100),SUM(VLOOKUP(C14,'Poisson sub 100'!$A$4:$C$103,2,FALSE)/D14*100000),IF(C14&gt;=100,SUM((((1.96/2)-SQRT(C14))^2)/D14*100000),""))</f>
        <v>8.6395015576323999</v>
      </c>
      <c r="G14" s="176" t="s">
        <v>268</v>
      </c>
      <c r="H14" s="177">
        <f>IF(AND(C14&gt;=0,C14&lt;100),SUM(VLOOKUP(C14,'Poisson sub 100'!$A$4:$C$103,3,FALSE)/D14*100000),IF(C14&gt;=100,SUM((((1.96/2)+SQRT(C14+1))^2)/D14*100000),""))</f>
        <v>16.608816199376946</v>
      </c>
      <c r="J14" s="171"/>
      <c r="K14" s="171"/>
      <c r="L14" s="171"/>
      <c r="M14" s="171"/>
      <c r="N14" s="171"/>
      <c r="O14" s="171"/>
    </row>
    <row r="15" spans="1:15">
      <c r="A15" s="172" t="str">
        <f t="shared" si="1"/>
        <v>Lanarkshire</v>
      </c>
      <c r="B15" s="173" t="s">
        <v>31</v>
      </c>
      <c r="C15" s="131">
        <v>91</v>
      </c>
      <c r="D15" s="411">
        <v>652580</v>
      </c>
      <c r="E15" s="174">
        <f t="shared" si="0"/>
        <v>13.94465046431089</v>
      </c>
      <c r="F15" s="175">
        <f>IF(AND(C15&gt;=0,C15&lt;100),SUM(VLOOKUP(C15,'Poisson sub 100'!$A$4:$C$103,2,FALSE)/D15*100000),IF(C15&gt;=100,SUM((((1.96/2)-SQRT(C15))^2)/D15*100000),""))</f>
        <v>11.227359097735143</v>
      </c>
      <c r="G15" s="176" t="s">
        <v>268</v>
      </c>
      <c r="H15" s="177">
        <f>IF(AND(C15&gt;=0,C15&lt;100),SUM(VLOOKUP(C15,'Poisson sub 100'!$A$4:$C$103,3,FALSE)/D15*100000),IF(C15&gt;=100,SUM((((1.96/2)+SQRT(C15+1))^2)/D15*100000),""))</f>
        <v>17.120966011829967</v>
      </c>
      <c r="J15" s="171"/>
      <c r="K15" s="171"/>
      <c r="L15" s="171"/>
      <c r="M15" s="171"/>
      <c r="N15" s="171"/>
      <c r="O15" s="171"/>
    </row>
    <row r="16" spans="1:15">
      <c r="A16" s="172" t="str">
        <f t="shared" si="1"/>
        <v>Lothian</v>
      </c>
      <c r="B16" s="173" t="s">
        <v>40</v>
      </c>
      <c r="C16" s="131">
        <v>135</v>
      </c>
      <c r="D16" s="411">
        <v>849700</v>
      </c>
      <c r="E16" s="174">
        <f t="shared" si="0"/>
        <v>15.887960456631754</v>
      </c>
      <c r="F16" s="175">
        <f>IF(AND(C16&gt;=0,C16&lt;100),SUM(VLOOKUP(C16,'Poisson sub 100'!$A$4:$C$103,2,FALSE)/D16*100000),IF(C16&gt;=100,SUM((((1.96/2)-SQRT(C16))^2)/D16*100000),""))</f>
        <v>13.320849467376764</v>
      </c>
      <c r="G16" s="176" t="s">
        <v>268</v>
      </c>
      <c r="H16" s="177">
        <f>IF(AND(C16&gt;=0,C16&lt;100),SUM(VLOOKUP(C16,'Poisson sub 100'!$A$4:$C$103,3,FALSE)/D16*100000),IF(C16&gt;=100,SUM((((1.96/2)+SQRT(C16+1))^2)/D16*100000),""))</f>
        <v>18.808724423654656</v>
      </c>
      <c r="J16" s="171"/>
      <c r="K16" s="171"/>
      <c r="L16" s="171"/>
      <c r="M16" s="171"/>
      <c r="N16" s="171"/>
      <c r="O16" s="171"/>
    </row>
    <row r="17" spans="1:15">
      <c r="A17" s="172" t="str">
        <f t="shared" si="1"/>
        <v>Orkney</v>
      </c>
      <c r="B17" s="173" t="s">
        <v>43</v>
      </c>
      <c r="C17" s="131">
        <v>2</v>
      </c>
      <c r="D17" s="411">
        <v>21570</v>
      </c>
      <c r="E17" s="174">
        <f t="shared" si="0"/>
        <v>9.272137227630969</v>
      </c>
      <c r="F17" s="175">
        <f>IF(AND(C17&gt;=0,C17&lt;100),SUM(VLOOKUP(C17,'Poisson sub 100'!$A$4:$C$103,2,FALSE)/D17*100000),IF(C17&gt;=100,SUM((((1.96/2)-SQRT(C17))^2)/D17*100000),""))</f>
        <v>1.1228558182661104</v>
      </c>
      <c r="G17" s="176" t="s">
        <v>268</v>
      </c>
      <c r="H17" s="177">
        <f>IF(AND(C17&gt;=0,C17&lt;100),SUM(VLOOKUP(C17,'Poisson sub 100'!$A$4:$C$103,3,FALSE)/D17*100000),IF(C17&gt;=100,SUM((((1.96/2)+SQRT(C17+1))^2)/D17*100000),""))</f>
        <v>33.494204914232732</v>
      </c>
      <c r="J17" s="171"/>
      <c r="K17" s="171"/>
      <c r="L17" s="171"/>
      <c r="M17" s="171"/>
      <c r="N17" s="171"/>
      <c r="O17" s="171"/>
    </row>
    <row r="18" spans="1:15">
      <c r="A18" s="172" t="str">
        <f t="shared" si="1"/>
        <v>Shetland</v>
      </c>
      <c r="B18" s="173" t="s">
        <v>41</v>
      </c>
      <c r="C18" s="131">
        <v>0</v>
      </c>
      <c r="D18" s="411">
        <v>23200</v>
      </c>
      <c r="E18" s="174">
        <f t="shared" si="0"/>
        <v>0</v>
      </c>
      <c r="F18" s="175">
        <f>IF(AND(C18&gt;=0,C18&lt;100),SUM(VLOOKUP(C18,'Poisson sub 100'!$A$4:$C$103,2,FALSE)/D18*100000),IF(C18&gt;=100,SUM((((1.96/2)-SQRT(C18))^2)/D18*100000),""))</f>
        <v>0</v>
      </c>
      <c r="G18" s="176" t="s">
        <v>268</v>
      </c>
      <c r="H18" s="177">
        <f>IF(AND(C18&gt;=0,C18&lt;100),SUM(VLOOKUP(C18,'Poisson sub 100'!$A$4:$C$103,3,FALSE)/D18*100000),IF(C18&gt;=100,SUM((((1.96/2)+SQRT(C18+1))^2)/D18*100000),""))</f>
        <v>12.912499999999998</v>
      </c>
      <c r="J18" s="171"/>
      <c r="K18" s="171"/>
      <c r="L18" s="171"/>
      <c r="M18" s="171"/>
      <c r="N18" s="171"/>
      <c r="O18" s="171"/>
    </row>
    <row r="19" spans="1:15">
      <c r="A19" s="172" t="str">
        <f t="shared" si="1"/>
        <v>Tayside</v>
      </c>
      <c r="B19" s="173" t="s">
        <v>34</v>
      </c>
      <c r="C19" s="131">
        <v>61</v>
      </c>
      <c r="D19" s="411">
        <v>412160</v>
      </c>
      <c r="E19" s="174">
        <f t="shared" si="0"/>
        <v>14.800077639751553</v>
      </c>
      <c r="F19" s="175">
        <f>IF(AND(C19&gt;=0,C19&lt;100),SUM(VLOOKUP(C19,'Poisson sub 100'!$A$4:$C$103,2,FALSE)/D19*100000),IF(C19&gt;=100,SUM((((1.96/2)-SQRT(C19))^2)/D19*100000),""))</f>
        <v>11.320894798136646</v>
      </c>
      <c r="G19" s="176" t="s">
        <v>268</v>
      </c>
      <c r="H19" s="177">
        <f>IF(AND(C19&gt;=0,C19&lt;100),SUM(VLOOKUP(C19,'Poisson sub 100'!$A$4:$C$103,3,FALSE)/D19*100000),IF(C19&gt;=100,SUM((((1.96/2)+SQRT(C19+1))^2)/D19*100000),""))</f>
        <v>19.011306288819874</v>
      </c>
      <c r="J19" s="171"/>
      <c r="K19" s="171"/>
      <c r="L19" s="171"/>
      <c r="M19" s="171"/>
      <c r="N19" s="171"/>
      <c r="O19" s="171"/>
    </row>
    <row r="20" spans="1:15">
      <c r="A20" s="172" t="str">
        <f t="shared" si="1"/>
        <v>Western Isles</v>
      </c>
      <c r="B20" s="173" t="s">
        <v>39</v>
      </c>
      <c r="C20" s="131">
        <v>5</v>
      </c>
      <c r="D20" s="411">
        <v>27400</v>
      </c>
      <c r="E20" s="174">
        <f t="shared" si="0"/>
        <v>18.248175182481752</v>
      </c>
      <c r="F20" s="175">
        <f>IF(AND(C20&gt;=0,C20&lt;100),SUM(VLOOKUP(C20,'Poisson sub 100'!$A$4:$C$103,2,FALSE)/D20*100000),IF(C20&gt;=100,SUM((((1.96/2)-SQRT(C20))^2)/D20*100000),""))</f>
        <v>5.9251824817518246</v>
      </c>
      <c r="G20" s="176" t="s">
        <v>268</v>
      </c>
      <c r="H20" s="177">
        <f>IF(AND(C20&gt;=0,C20&lt;100),SUM(VLOOKUP(C20,'Poisson sub 100'!$A$4:$C$103,3,FALSE)/D20*100000),IF(C20&gt;=100,SUM((((1.96/2)+SQRT(C20+1))^2)/D20*100000),""))</f>
        <v>42.585036496350369</v>
      </c>
      <c r="J20" s="171"/>
      <c r="K20" s="171"/>
      <c r="L20" s="171"/>
      <c r="M20" s="171"/>
      <c r="N20" s="171"/>
      <c r="O20" s="171"/>
    </row>
    <row r="21" spans="1:15">
      <c r="A21" s="172" t="str">
        <f t="shared" si="1"/>
        <v>Outside Scotland/ Not Known/ Other</v>
      </c>
      <c r="B21" s="173" t="s">
        <v>269</v>
      </c>
      <c r="C21" s="131">
        <v>36</v>
      </c>
      <c r="D21" s="178" t="s">
        <v>268</v>
      </c>
      <c r="E21" s="179" t="s">
        <v>268</v>
      </c>
      <c r="F21" s="779" t="s">
        <v>268</v>
      </c>
      <c r="G21" s="780"/>
      <c r="H21" s="781"/>
    </row>
    <row r="22" spans="1:15">
      <c r="A22" s="172"/>
      <c r="B22" s="180"/>
      <c r="C22" s="181"/>
      <c r="D22" s="182"/>
      <c r="E22" s="183"/>
      <c r="F22" s="184"/>
      <c r="G22" s="184"/>
      <c r="H22" s="184"/>
    </row>
    <row r="23" spans="1:15">
      <c r="A23" s="172"/>
      <c r="B23" s="185" t="s">
        <v>626</v>
      </c>
      <c r="C23" s="186"/>
      <c r="D23" s="187"/>
      <c r="E23" s="188"/>
      <c r="F23" s="189"/>
      <c r="G23" s="189"/>
      <c r="H23" s="189"/>
    </row>
    <row r="24" spans="1:15" ht="26.1" customHeight="1">
      <c r="A24" s="172"/>
      <c r="B24" s="782" t="s">
        <v>624</v>
      </c>
      <c r="C24" s="782"/>
      <c r="D24" s="782"/>
      <c r="E24" s="782"/>
      <c r="F24" s="782"/>
      <c r="G24" s="782"/>
      <c r="H24" s="782"/>
    </row>
    <row r="25" spans="1:15" ht="25.5" customHeight="1">
      <c r="B25" s="783" t="s">
        <v>5</v>
      </c>
      <c r="C25" s="783"/>
      <c r="D25" s="783"/>
      <c r="E25" s="783"/>
      <c r="F25" s="783"/>
      <c r="G25" s="783"/>
      <c r="H25" s="783"/>
    </row>
    <row r="26" spans="1:15" ht="12.75" customHeight="1">
      <c r="B26" s="769" t="s">
        <v>625</v>
      </c>
      <c r="C26" s="769"/>
      <c r="D26" s="769"/>
      <c r="E26" s="769"/>
      <c r="F26" s="769"/>
      <c r="G26" s="769"/>
      <c r="H26" s="769"/>
    </row>
    <row r="27" spans="1:15" ht="24" customHeight="1">
      <c r="B27" s="769"/>
      <c r="C27" s="769"/>
      <c r="D27" s="769"/>
      <c r="E27" s="769"/>
      <c r="F27" s="769"/>
      <c r="G27" s="769"/>
      <c r="H27" s="769"/>
    </row>
    <row r="28" spans="1:15">
      <c r="B28" s="191" t="s">
        <v>270</v>
      </c>
      <c r="C28" s="31"/>
      <c r="D28" s="31"/>
      <c r="E28" s="31"/>
      <c r="F28" s="31"/>
      <c r="G28" s="31"/>
      <c r="H28" s="31"/>
    </row>
    <row r="29" spans="1:15">
      <c r="B29" s="191" t="s">
        <v>271</v>
      </c>
      <c r="C29" s="191"/>
      <c r="D29" s="191"/>
      <c r="E29" s="191"/>
      <c r="F29" s="66"/>
      <c r="G29" s="66"/>
      <c r="H29" s="66"/>
    </row>
    <row r="30" spans="1:15">
      <c r="B30" s="192" t="s">
        <v>272</v>
      </c>
    </row>
    <row r="31" spans="1:15">
      <c r="B31" s="192" t="s">
        <v>273</v>
      </c>
    </row>
    <row r="32" spans="1:15">
      <c r="B32" s="192" t="s">
        <v>274</v>
      </c>
    </row>
  </sheetData>
  <sheetProtection password="B8D9" sheet="1" objects="1" scenarios="1"/>
  <mergeCells count="10">
    <mergeCell ref="B26:H27"/>
    <mergeCell ref="F21:H21"/>
    <mergeCell ref="B25:H25"/>
    <mergeCell ref="B3:C3"/>
    <mergeCell ref="B4:B5"/>
    <mergeCell ref="C4:C5"/>
    <mergeCell ref="D4:D5"/>
    <mergeCell ref="E4:E5"/>
    <mergeCell ref="F4:H5"/>
    <mergeCell ref="B24:H24"/>
  </mergeCells>
  <phoneticPr fontId="0" type="noConversion"/>
  <hyperlinks>
    <hyperlink ref="D3" location="'List of Tables &amp; Charts'!A1" display="return to List of Tables &amp; Charts"/>
    <hyperlink ref="E3" location="'List of Tables &amp; Charts'!A1" display="return to List of Tables &amp; Charts"/>
    <hyperlink ref="H3" location="'List of Tables &amp; Charts'!A1" display="return to List of Tables &amp; Chart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4"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70.xml><?xml version="1.0" encoding="utf-8"?>
<worksheet xmlns="http://schemas.openxmlformats.org/spreadsheetml/2006/main" xmlns:r="http://schemas.openxmlformats.org/officeDocument/2006/relationships">
  <sheetPr codeName="Sheet58">
    <pageSetUpPr fitToPage="1"/>
  </sheetPr>
  <dimension ref="A1:O33"/>
  <sheetViews>
    <sheetView workbookViewId="0"/>
  </sheetViews>
  <sheetFormatPr defaultRowHeight="15"/>
  <cols>
    <col min="1" max="1" width="1.7109375" customWidth="1"/>
  </cols>
  <sheetData>
    <row r="1" spans="1:15" s="414" customFormat="1" ht="12.75" customHeight="1">
      <c r="A1" s="1"/>
      <c r="B1" s="798" t="s">
        <v>709</v>
      </c>
      <c r="C1" s="798"/>
      <c r="D1" s="798"/>
      <c r="E1" s="798"/>
      <c r="F1" s="798"/>
      <c r="G1" s="798"/>
      <c r="H1" s="798"/>
      <c r="I1" s="798"/>
      <c r="J1" s="798"/>
      <c r="K1" s="798"/>
      <c r="L1" s="798"/>
      <c r="M1" s="798"/>
      <c r="N1" s="798"/>
      <c r="O1" s="802" t="s">
        <v>48</v>
      </c>
    </row>
    <row r="2" spans="1:15" s="414" customFormat="1" ht="12.75">
      <c r="B2" s="798"/>
      <c r="C2" s="798"/>
      <c r="D2" s="798"/>
      <c r="E2" s="798"/>
      <c r="F2" s="798"/>
      <c r="G2" s="798"/>
      <c r="H2" s="798"/>
      <c r="I2" s="798"/>
      <c r="J2" s="798"/>
      <c r="K2" s="798"/>
      <c r="L2" s="798"/>
      <c r="M2" s="798"/>
      <c r="N2" s="798"/>
      <c r="O2" s="802"/>
    </row>
    <row r="3" spans="1:15" s="414"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414" customFormat="1" ht="12.75" customHeight="1">
      <c r="B5" s="406" t="s">
        <v>384</v>
      </c>
      <c r="C5" s="284"/>
      <c r="D5" s="284"/>
      <c r="E5" s="284"/>
      <c r="F5" s="284"/>
      <c r="G5" s="284"/>
      <c r="H5" s="284"/>
      <c r="I5" s="284"/>
      <c r="J5" s="284"/>
      <c r="K5" s="284"/>
      <c r="L5" s="284"/>
      <c r="M5" s="284"/>
      <c r="N5" s="294"/>
      <c r="O5" s="413"/>
    </row>
    <row r="6" spans="1:15" s="414" customFormat="1" ht="12.75">
      <c r="B6" s="406" t="s">
        <v>383</v>
      </c>
      <c r="C6" s="284"/>
      <c r="D6" s="284"/>
      <c r="E6" s="284"/>
      <c r="F6" s="284"/>
      <c r="G6" s="284"/>
      <c r="H6" s="284"/>
      <c r="I6" s="284"/>
      <c r="J6" s="284"/>
      <c r="K6" s="284"/>
      <c r="L6" s="284"/>
      <c r="M6" s="284"/>
      <c r="N6" s="803" t="s">
        <v>723</v>
      </c>
      <c r="O6" s="803"/>
    </row>
    <row r="32" spans="2:2">
      <c r="B32" s="32" t="s">
        <v>710</v>
      </c>
    </row>
    <row r="33" spans="2:4">
      <c r="B33" s="444" t="s">
        <v>417</v>
      </c>
      <c r="D33" s="445" t="s">
        <v>211</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a'!A1" display="Chart 2a"/>
    <hyperlink ref="N6:O6" location="'Chart 17a DATA'!A1" display="view Chart 17a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1.xml><?xml version="1.0" encoding="utf-8"?>
<worksheet xmlns="http://schemas.openxmlformats.org/spreadsheetml/2006/main" xmlns:r="http://schemas.openxmlformats.org/officeDocument/2006/relationships">
  <sheetPr codeName="Sheet59">
    <pageSetUpPr fitToPage="1"/>
  </sheetPr>
  <dimension ref="A1:P19"/>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990" t="s">
        <v>393</v>
      </c>
      <c r="C1" s="990"/>
      <c r="D1" s="990"/>
      <c r="E1" s="990"/>
      <c r="F1" s="990"/>
      <c r="G1" s="990" t="s">
        <v>391</v>
      </c>
      <c r="H1" s="990"/>
      <c r="I1" s="990"/>
      <c r="J1" s="990"/>
      <c r="K1" s="990"/>
      <c r="L1" s="990" t="s">
        <v>392</v>
      </c>
      <c r="M1" s="990"/>
      <c r="N1" s="990"/>
      <c r="O1" s="990"/>
      <c r="P1" s="991"/>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4">
        <v>2014</v>
      </c>
      <c r="P2" s="405">
        <v>2015</v>
      </c>
    </row>
    <row r="3" spans="1:16">
      <c r="A3" s="511" t="s">
        <v>366</v>
      </c>
      <c r="B3" s="424">
        <f>SUM(B4:B17)</f>
        <v>6933</v>
      </c>
      <c r="C3" s="424">
        <f t="shared" ref="C3:K3" si="0">SUM(C4:C17)</f>
        <v>6952</v>
      </c>
      <c r="D3" s="424">
        <f t="shared" si="0"/>
        <v>7487</v>
      </c>
      <c r="E3" s="424">
        <f t="shared" si="0"/>
        <v>7421</v>
      </c>
      <c r="F3" s="424">
        <f t="shared" si="0"/>
        <v>7695</v>
      </c>
      <c r="G3" s="424">
        <f t="shared" si="0"/>
        <v>5253</v>
      </c>
      <c r="H3" s="424">
        <f t="shared" si="0"/>
        <v>5436</v>
      </c>
      <c r="I3" s="424">
        <f t="shared" si="0"/>
        <v>6085</v>
      </c>
      <c r="J3" s="424">
        <f t="shared" si="0"/>
        <v>5906</v>
      </c>
      <c r="K3" s="424">
        <f t="shared" si="0"/>
        <v>6030</v>
      </c>
      <c r="L3" s="403">
        <f>G3/B3*100</f>
        <v>75.768065772392902</v>
      </c>
      <c r="M3" s="403">
        <f t="shared" ref="M3:P17" si="1">H3/C3*100</f>
        <v>78.193325661680092</v>
      </c>
      <c r="N3" s="403">
        <f t="shared" si="1"/>
        <v>81.274208628289031</v>
      </c>
      <c r="O3" s="403">
        <f t="shared" si="1"/>
        <v>79.584961595472308</v>
      </c>
      <c r="P3" s="403">
        <f t="shared" si="1"/>
        <v>78.362573099415201</v>
      </c>
    </row>
    <row r="4" spans="1:16">
      <c r="A4" s="511" t="s">
        <v>386</v>
      </c>
      <c r="B4" s="424">
        <v>541</v>
      </c>
      <c r="C4" s="424">
        <v>563</v>
      </c>
      <c r="D4" s="424">
        <v>597</v>
      </c>
      <c r="E4" s="424">
        <v>531</v>
      </c>
      <c r="F4" s="424">
        <v>552</v>
      </c>
      <c r="G4" s="424">
        <v>491</v>
      </c>
      <c r="H4" s="424">
        <v>495</v>
      </c>
      <c r="I4" s="424">
        <v>546</v>
      </c>
      <c r="J4" s="424">
        <v>466</v>
      </c>
      <c r="K4" s="424">
        <v>496</v>
      </c>
      <c r="L4" s="403">
        <f t="shared" ref="L4:L17" si="2">G4/B4*100</f>
        <v>90.757855822550837</v>
      </c>
      <c r="M4" s="403">
        <f t="shared" si="1"/>
        <v>87.921847246891645</v>
      </c>
      <c r="N4" s="403">
        <f t="shared" si="1"/>
        <v>91.457286432160799</v>
      </c>
      <c r="O4" s="403">
        <f t="shared" si="1"/>
        <v>87.758945386064042</v>
      </c>
      <c r="P4" s="403">
        <f t="shared" si="1"/>
        <v>89.85507246376811</v>
      </c>
    </row>
    <row r="5" spans="1:16">
      <c r="A5" s="511" t="s">
        <v>368</v>
      </c>
      <c r="B5" s="424">
        <v>187</v>
      </c>
      <c r="C5" s="424">
        <v>181</v>
      </c>
      <c r="D5" s="424">
        <v>184</v>
      </c>
      <c r="E5" s="424">
        <v>173</v>
      </c>
      <c r="F5" s="424">
        <v>191</v>
      </c>
      <c r="G5" s="424">
        <v>124</v>
      </c>
      <c r="H5" s="424">
        <v>149</v>
      </c>
      <c r="I5" s="424">
        <v>179</v>
      </c>
      <c r="J5" s="424">
        <v>157</v>
      </c>
      <c r="K5" s="424">
        <v>156</v>
      </c>
      <c r="L5" s="403">
        <f t="shared" si="2"/>
        <v>66.310160427807489</v>
      </c>
      <c r="M5" s="403">
        <f t="shared" si="1"/>
        <v>82.320441988950279</v>
      </c>
      <c r="N5" s="403">
        <f t="shared" si="1"/>
        <v>97.282608695652172</v>
      </c>
      <c r="O5" s="403">
        <f t="shared" si="1"/>
        <v>90.751445086705203</v>
      </c>
      <c r="P5" s="403">
        <f t="shared" si="1"/>
        <v>81.675392670157066</v>
      </c>
    </row>
    <row r="6" spans="1:16">
      <c r="A6" s="511" t="s">
        <v>586</v>
      </c>
      <c r="B6" s="424">
        <v>227</v>
      </c>
      <c r="C6" s="424">
        <v>253</v>
      </c>
      <c r="D6" s="424">
        <v>256</v>
      </c>
      <c r="E6" s="424">
        <v>243</v>
      </c>
      <c r="F6" s="424">
        <v>240</v>
      </c>
      <c r="G6" s="424">
        <v>184</v>
      </c>
      <c r="H6" s="424">
        <v>207</v>
      </c>
      <c r="I6" s="424">
        <v>219</v>
      </c>
      <c r="J6" s="424">
        <v>208</v>
      </c>
      <c r="K6" s="424">
        <v>196</v>
      </c>
      <c r="L6" s="403">
        <f t="shared" si="2"/>
        <v>81.057268722466958</v>
      </c>
      <c r="M6" s="403">
        <f t="shared" si="1"/>
        <v>81.818181818181827</v>
      </c>
      <c r="N6" s="403">
        <f t="shared" si="1"/>
        <v>85.546875</v>
      </c>
      <c r="O6" s="403">
        <f t="shared" si="1"/>
        <v>85.596707818930042</v>
      </c>
      <c r="P6" s="403">
        <f t="shared" si="1"/>
        <v>81.666666666666671</v>
      </c>
    </row>
    <row r="7" spans="1:16">
      <c r="A7" s="511" t="s">
        <v>370</v>
      </c>
      <c r="B7" s="424">
        <v>441</v>
      </c>
      <c r="C7" s="424">
        <v>440</v>
      </c>
      <c r="D7" s="424">
        <v>463</v>
      </c>
      <c r="E7" s="424">
        <v>478</v>
      </c>
      <c r="F7" s="424">
        <v>501</v>
      </c>
      <c r="G7" s="424">
        <v>340</v>
      </c>
      <c r="H7" s="424">
        <v>347</v>
      </c>
      <c r="I7" s="424">
        <v>419</v>
      </c>
      <c r="J7" s="424">
        <v>412</v>
      </c>
      <c r="K7" s="424">
        <v>424</v>
      </c>
      <c r="L7" s="403">
        <f t="shared" si="2"/>
        <v>77.097505668934247</v>
      </c>
      <c r="M7" s="403">
        <f t="shared" si="1"/>
        <v>78.863636363636374</v>
      </c>
      <c r="N7" s="403">
        <f t="shared" si="1"/>
        <v>90.496760259179268</v>
      </c>
      <c r="O7" s="403">
        <f t="shared" si="1"/>
        <v>86.192468619246867</v>
      </c>
      <c r="P7" s="403">
        <f t="shared" si="1"/>
        <v>84.63073852295409</v>
      </c>
    </row>
    <row r="8" spans="1:16">
      <c r="A8" s="511" t="s">
        <v>371</v>
      </c>
      <c r="B8" s="424">
        <v>437</v>
      </c>
      <c r="C8" s="424">
        <v>419</v>
      </c>
      <c r="D8" s="424">
        <v>399</v>
      </c>
      <c r="E8" s="424">
        <v>435</v>
      </c>
      <c r="F8" s="424">
        <v>491</v>
      </c>
      <c r="G8" s="424">
        <v>278</v>
      </c>
      <c r="H8" s="424">
        <v>347</v>
      </c>
      <c r="I8" s="424">
        <v>290</v>
      </c>
      <c r="J8" s="424">
        <v>353</v>
      </c>
      <c r="K8" s="424">
        <v>375</v>
      </c>
      <c r="L8" s="403">
        <f t="shared" si="2"/>
        <v>63.615560640732262</v>
      </c>
      <c r="M8" s="403">
        <f t="shared" si="1"/>
        <v>82.816229116945109</v>
      </c>
      <c r="N8" s="403">
        <f t="shared" si="1"/>
        <v>72.681704260651628</v>
      </c>
      <c r="O8" s="403">
        <f t="shared" si="1"/>
        <v>81.149425287356323</v>
      </c>
      <c r="P8" s="403">
        <f t="shared" si="1"/>
        <v>76.374745417515271</v>
      </c>
    </row>
    <row r="9" spans="1:16">
      <c r="A9" s="511" t="s">
        <v>587</v>
      </c>
      <c r="B9" s="424">
        <v>541</v>
      </c>
      <c r="C9" s="424">
        <v>542</v>
      </c>
      <c r="D9" s="424">
        <v>578</v>
      </c>
      <c r="E9" s="424">
        <v>601</v>
      </c>
      <c r="F9" s="424">
        <v>667</v>
      </c>
      <c r="G9" s="424">
        <v>416</v>
      </c>
      <c r="H9" s="424">
        <v>404</v>
      </c>
      <c r="I9" s="424">
        <v>431</v>
      </c>
      <c r="J9" s="424">
        <v>442</v>
      </c>
      <c r="K9" s="424">
        <v>478</v>
      </c>
      <c r="L9" s="403">
        <f t="shared" si="2"/>
        <v>76.894639556377072</v>
      </c>
      <c r="M9" s="403">
        <f t="shared" si="1"/>
        <v>74.538745387453872</v>
      </c>
      <c r="N9" s="403">
        <f t="shared" si="1"/>
        <v>74.567474048442904</v>
      </c>
      <c r="O9" s="403">
        <f t="shared" si="1"/>
        <v>73.544093178036604</v>
      </c>
      <c r="P9" s="403">
        <f t="shared" si="1"/>
        <v>71.664167916041976</v>
      </c>
    </row>
    <row r="10" spans="1:16">
      <c r="A10" s="511" t="s">
        <v>373</v>
      </c>
      <c r="B10" s="424">
        <v>1840</v>
      </c>
      <c r="C10" s="424">
        <v>2009</v>
      </c>
      <c r="D10" s="424">
        <v>1996</v>
      </c>
      <c r="E10" s="424">
        <v>2013</v>
      </c>
      <c r="F10" s="424">
        <v>2035</v>
      </c>
      <c r="G10" s="424">
        <v>1295</v>
      </c>
      <c r="H10" s="424">
        <v>1469</v>
      </c>
      <c r="I10" s="424">
        <v>1635</v>
      </c>
      <c r="J10" s="424">
        <v>1651</v>
      </c>
      <c r="K10" s="424">
        <v>1751</v>
      </c>
      <c r="L10" s="403">
        <f t="shared" si="2"/>
        <v>70.380434782608688</v>
      </c>
      <c r="M10" s="403">
        <f t="shared" si="1"/>
        <v>73.120955699352905</v>
      </c>
      <c r="N10" s="403">
        <f t="shared" si="1"/>
        <v>81.913827655310627</v>
      </c>
      <c r="O10" s="403">
        <f t="shared" si="1"/>
        <v>82.016890213611532</v>
      </c>
      <c r="P10" s="403">
        <f t="shared" si="1"/>
        <v>86.04422604422605</v>
      </c>
    </row>
    <row r="11" spans="1:16">
      <c r="A11" s="511" t="s">
        <v>374</v>
      </c>
      <c r="B11" s="424">
        <v>376</v>
      </c>
      <c r="C11" s="424">
        <v>380</v>
      </c>
      <c r="D11" s="424">
        <v>399</v>
      </c>
      <c r="E11" s="424">
        <v>378</v>
      </c>
      <c r="F11" s="424">
        <v>376</v>
      </c>
      <c r="G11" s="424">
        <v>177</v>
      </c>
      <c r="H11" s="424">
        <v>259</v>
      </c>
      <c r="I11" s="424">
        <v>294</v>
      </c>
      <c r="J11" s="424">
        <v>282</v>
      </c>
      <c r="K11" s="424">
        <v>229</v>
      </c>
      <c r="L11" s="403">
        <f t="shared" si="2"/>
        <v>47.074468085106389</v>
      </c>
      <c r="M11" s="403">
        <f t="shared" si="1"/>
        <v>68.15789473684211</v>
      </c>
      <c r="N11" s="403">
        <f t="shared" si="1"/>
        <v>73.68421052631578</v>
      </c>
      <c r="O11" s="403">
        <f t="shared" si="1"/>
        <v>74.603174603174608</v>
      </c>
      <c r="P11" s="403">
        <f t="shared" si="1"/>
        <v>60.904255319148938</v>
      </c>
    </row>
    <row r="12" spans="1:16">
      <c r="A12" s="511" t="s">
        <v>588</v>
      </c>
      <c r="B12" s="424">
        <v>821</v>
      </c>
      <c r="C12" s="424">
        <v>672</v>
      </c>
      <c r="D12" s="424">
        <v>800</v>
      </c>
      <c r="E12" s="424">
        <v>810</v>
      </c>
      <c r="F12" s="424">
        <v>841</v>
      </c>
      <c r="G12" s="424">
        <v>693</v>
      </c>
      <c r="H12" s="424">
        <v>615</v>
      </c>
      <c r="I12" s="424">
        <v>716</v>
      </c>
      <c r="J12" s="424">
        <v>724</v>
      </c>
      <c r="K12" s="424">
        <v>682</v>
      </c>
      <c r="L12" s="403">
        <f t="shared" si="2"/>
        <v>84.409257003654076</v>
      </c>
      <c r="M12" s="403">
        <f t="shared" si="1"/>
        <v>91.517857142857139</v>
      </c>
      <c r="N12" s="403">
        <f t="shared" si="1"/>
        <v>89.5</v>
      </c>
      <c r="O12" s="403">
        <f t="shared" si="1"/>
        <v>89.382716049382722</v>
      </c>
      <c r="P12" s="403">
        <f t="shared" si="1"/>
        <v>81.093935790725325</v>
      </c>
    </row>
    <row r="13" spans="1:16">
      <c r="A13" s="511" t="s">
        <v>387</v>
      </c>
      <c r="B13" s="424">
        <v>894</v>
      </c>
      <c r="C13" s="424">
        <v>861</v>
      </c>
      <c r="D13" s="424">
        <v>1120</v>
      </c>
      <c r="E13" s="424">
        <v>1156</v>
      </c>
      <c r="F13" s="424">
        <v>1137</v>
      </c>
      <c r="G13" s="424">
        <v>704</v>
      </c>
      <c r="H13" s="424">
        <v>605</v>
      </c>
      <c r="I13" s="424">
        <v>762</v>
      </c>
      <c r="J13" s="424">
        <v>714</v>
      </c>
      <c r="K13" s="424">
        <v>721</v>
      </c>
      <c r="L13" s="403">
        <f t="shared" si="2"/>
        <v>78.74720357941834</v>
      </c>
      <c r="M13" s="403">
        <f t="shared" si="1"/>
        <v>70.267131242741002</v>
      </c>
      <c r="N13" s="403">
        <f t="shared" si="1"/>
        <v>68.035714285714292</v>
      </c>
      <c r="O13" s="403">
        <f t="shared" si="1"/>
        <v>61.764705882352942</v>
      </c>
      <c r="P13" s="403">
        <f t="shared" si="1"/>
        <v>63.412489006156548</v>
      </c>
    </row>
    <row r="14" spans="1:16">
      <c r="A14" s="511" t="s">
        <v>364</v>
      </c>
      <c r="B14" s="424">
        <v>27</v>
      </c>
      <c r="C14" s="424">
        <v>16</v>
      </c>
      <c r="D14" s="424">
        <v>37</v>
      </c>
      <c r="E14" s="424">
        <v>31</v>
      </c>
      <c r="F14" s="424">
        <v>25</v>
      </c>
      <c r="G14" s="424">
        <v>19</v>
      </c>
      <c r="H14" s="424">
        <v>8</v>
      </c>
      <c r="I14" s="424">
        <v>24</v>
      </c>
      <c r="J14" s="424">
        <v>25</v>
      </c>
      <c r="K14" s="424">
        <v>18</v>
      </c>
      <c r="L14" s="403">
        <f t="shared" si="2"/>
        <v>70.370370370370367</v>
      </c>
      <c r="M14" s="403">
        <f t="shared" si="1"/>
        <v>50</v>
      </c>
      <c r="N14" s="403">
        <f t="shared" si="1"/>
        <v>64.86486486486487</v>
      </c>
      <c r="O14" s="403">
        <f t="shared" si="1"/>
        <v>80.645161290322577</v>
      </c>
      <c r="P14" s="403">
        <f t="shared" si="1"/>
        <v>72</v>
      </c>
    </row>
    <row r="15" spans="1:16">
      <c r="A15" s="511" t="s">
        <v>377</v>
      </c>
      <c r="B15" s="424">
        <v>34</v>
      </c>
      <c r="C15" s="424">
        <v>25</v>
      </c>
      <c r="D15" s="424">
        <v>33</v>
      </c>
      <c r="E15" s="424">
        <v>32</v>
      </c>
      <c r="F15" s="424">
        <v>30</v>
      </c>
      <c r="G15" s="424">
        <v>34</v>
      </c>
      <c r="H15" s="424">
        <v>25</v>
      </c>
      <c r="I15" s="424">
        <v>33</v>
      </c>
      <c r="J15" s="424">
        <v>32</v>
      </c>
      <c r="K15" s="424">
        <v>30</v>
      </c>
      <c r="L15" s="403">
        <f t="shared" si="2"/>
        <v>100</v>
      </c>
      <c r="M15" s="403">
        <f t="shared" si="1"/>
        <v>100</v>
      </c>
      <c r="N15" s="403">
        <f t="shared" si="1"/>
        <v>100</v>
      </c>
      <c r="O15" s="403">
        <f t="shared" si="1"/>
        <v>100</v>
      </c>
      <c r="P15" s="403">
        <f t="shared" si="1"/>
        <v>100</v>
      </c>
    </row>
    <row r="16" spans="1:16">
      <c r="A16" s="511" t="s">
        <v>589</v>
      </c>
      <c r="B16" s="424">
        <v>538</v>
      </c>
      <c r="C16" s="424">
        <v>563</v>
      </c>
      <c r="D16" s="424">
        <v>602</v>
      </c>
      <c r="E16" s="424">
        <v>520</v>
      </c>
      <c r="F16" s="424">
        <v>577</v>
      </c>
      <c r="G16" s="424">
        <v>471</v>
      </c>
      <c r="H16" s="424">
        <v>485</v>
      </c>
      <c r="I16" s="424">
        <v>516</v>
      </c>
      <c r="J16" s="424">
        <v>421</v>
      </c>
      <c r="K16" s="424">
        <v>445</v>
      </c>
      <c r="L16" s="403">
        <f t="shared" si="2"/>
        <v>87.54646840148699</v>
      </c>
      <c r="M16" s="403">
        <f t="shared" si="1"/>
        <v>86.145648312611016</v>
      </c>
      <c r="N16" s="403">
        <f t="shared" si="1"/>
        <v>85.714285714285708</v>
      </c>
      <c r="O16" s="403">
        <f t="shared" si="1"/>
        <v>80.961538461538467</v>
      </c>
      <c r="P16" s="403">
        <f t="shared" si="1"/>
        <v>77.123050259965339</v>
      </c>
    </row>
    <row r="17" spans="1:16">
      <c r="A17" s="511" t="s">
        <v>365</v>
      </c>
      <c r="B17" s="424">
        <v>29</v>
      </c>
      <c r="C17" s="424">
        <v>28</v>
      </c>
      <c r="D17" s="424">
        <v>23</v>
      </c>
      <c r="E17" s="424">
        <v>20</v>
      </c>
      <c r="F17" s="424">
        <v>32</v>
      </c>
      <c r="G17" s="424">
        <v>27</v>
      </c>
      <c r="H17" s="424">
        <v>21</v>
      </c>
      <c r="I17" s="424">
        <v>21</v>
      </c>
      <c r="J17" s="424">
        <v>19</v>
      </c>
      <c r="K17" s="424">
        <v>29</v>
      </c>
      <c r="L17" s="403">
        <f t="shared" si="2"/>
        <v>93.103448275862064</v>
      </c>
      <c r="M17" s="403">
        <f t="shared" si="1"/>
        <v>75</v>
      </c>
      <c r="N17" s="403">
        <f t="shared" si="1"/>
        <v>91.304347826086953</v>
      </c>
      <c r="O17" s="403">
        <f t="shared" si="1"/>
        <v>95</v>
      </c>
      <c r="P17" s="403">
        <f t="shared" si="1"/>
        <v>90.625</v>
      </c>
    </row>
    <row r="18" spans="1:16">
      <c r="A18" s="401" t="s">
        <v>381</v>
      </c>
    </row>
    <row r="19" spans="1:16">
      <c r="A19" s="401" t="s">
        <v>394</v>
      </c>
    </row>
  </sheetData>
  <sheetProtection password="B8D9" sheet="1" objects="1" scenarios="1"/>
  <mergeCells count="4">
    <mergeCell ref="A1:A2"/>
    <mergeCell ref="B1:F1"/>
    <mergeCell ref="G1:K1"/>
    <mergeCell ref="L1:P1"/>
  </mergeCells>
  <printOptions horizontalCentered="1"/>
  <pageMargins left="0" right="0" top="0.74803149606299213" bottom="0.74803149606299213" header="0.31496062992125984" footer="0.31496062992125984"/>
  <pageSetup paperSize="9" orientation="landscape" r:id="rId1"/>
  <headerFooter>
    <oddHeader>&amp;LChart 17a DATA
Trend in percentage of stroke patients admitted to a stroke unit within 1 day of admission to hospital, by NHS Board, 2011 - 2015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72.xml><?xml version="1.0" encoding="utf-8"?>
<worksheet xmlns="http://schemas.openxmlformats.org/spreadsheetml/2006/main" xmlns:r="http://schemas.openxmlformats.org/officeDocument/2006/relationships">
  <sheetPr codeName="Sheet60">
    <pageSetUpPr fitToPage="1"/>
  </sheetPr>
  <dimension ref="A1:O37"/>
  <sheetViews>
    <sheetView workbookViewId="0"/>
  </sheetViews>
  <sheetFormatPr defaultRowHeight="15"/>
  <cols>
    <col min="1" max="1" width="1.7109375" customWidth="1"/>
  </cols>
  <sheetData>
    <row r="1" spans="1:15" s="414" customFormat="1" ht="12.75" customHeight="1">
      <c r="A1" s="1"/>
      <c r="B1" s="798" t="s">
        <v>711</v>
      </c>
      <c r="C1" s="798"/>
      <c r="D1" s="798"/>
      <c r="E1" s="798"/>
      <c r="F1" s="798"/>
      <c r="G1" s="798"/>
      <c r="H1" s="798"/>
      <c r="I1" s="798"/>
      <c r="J1" s="798"/>
      <c r="K1" s="798"/>
      <c r="L1" s="798"/>
      <c r="M1" s="798"/>
      <c r="N1" s="798"/>
      <c r="O1" s="802" t="s">
        <v>48</v>
      </c>
    </row>
    <row r="2" spans="1:15" s="414" customFormat="1" ht="12.75">
      <c r="B2" s="798"/>
      <c r="C2" s="798"/>
      <c r="D2" s="798"/>
      <c r="E2" s="798"/>
      <c r="F2" s="798"/>
      <c r="G2" s="798"/>
      <c r="H2" s="798"/>
      <c r="I2" s="798"/>
      <c r="J2" s="798"/>
      <c r="K2" s="798"/>
      <c r="L2" s="798"/>
      <c r="M2" s="798"/>
      <c r="N2" s="798"/>
      <c r="O2" s="802"/>
    </row>
    <row r="3" spans="1:15" s="414"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414" customFormat="1" ht="12.75" customHeight="1">
      <c r="B5" s="406" t="s">
        <v>384</v>
      </c>
      <c r="C5" s="284"/>
      <c r="D5" s="284"/>
      <c r="E5" s="284"/>
      <c r="F5" s="284"/>
      <c r="G5" s="284"/>
      <c r="H5" s="284"/>
      <c r="I5" s="284"/>
      <c r="J5" s="284"/>
      <c r="K5" s="284"/>
      <c r="L5" s="284"/>
      <c r="M5" s="284"/>
      <c r="N5" s="294"/>
      <c r="O5" s="413"/>
    </row>
    <row r="6" spans="1:15" s="414" customFormat="1" ht="12.75">
      <c r="B6" s="406" t="s">
        <v>383</v>
      </c>
      <c r="C6" s="284"/>
      <c r="D6" s="284"/>
      <c r="E6" s="284"/>
      <c r="F6" s="284"/>
      <c r="G6" s="284"/>
      <c r="H6" s="284"/>
      <c r="I6" s="284"/>
      <c r="J6" s="284"/>
      <c r="K6" s="284"/>
      <c r="L6" s="284"/>
      <c r="M6" s="284"/>
      <c r="N6" s="921" t="s">
        <v>719</v>
      </c>
      <c r="O6" s="921"/>
    </row>
    <row r="32" spans="2:2">
      <c r="B32" s="32" t="s">
        <v>712</v>
      </c>
    </row>
    <row r="33" spans="2:4">
      <c r="B33" s="444" t="s">
        <v>418</v>
      </c>
      <c r="D33" s="445" t="s">
        <v>212</v>
      </c>
    </row>
    <row r="35" spans="2:4">
      <c r="B35" s="32" t="s">
        <v>427</v>
      </c>
    </row>
    <row r="36" spans="2:4">
      <c r="B36" s="32" t="s">
        <v>428</v>
      </c>
    </row>
    <row r="37" spans="2:4">
      <c r="B37" s="32" t="s">
        <v>736</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b'!A1" display="Chart 2b"/>
    <hyperlink ref="N6:O6" location="'Chart 17b DATA'!A1" display="view Chart 17b data"/>
  </hyperlinks>
  <pageMargins left="0.70866141732283472" right="0.70866141732283472" top="0.74803149606299213" bottom="0.74803149606299213" header="0.31496062992125984" footer="0.31496062992125984"/>
  <pageSetup paperSize="9" scale="92"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3.xml><?xml version="1.0" encoding="utf-8"?>
<worksheet xmlns="http://schemas.openxmlformats.org/spreadsheetml/2006/main" xmlns:r="http://schemas.openxmlformats.org/officeDocument/2006/relationships">
  <sheetPr codeName="Sheet61">
    <pageSetUpPr fitToPage="1"/>
  </sheetPr>
  <dimension ref="A1:P19"/>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990" t="s">
        <v>393</v>
      </c>
      <c r="C1" s="990"/>
      <c r="D1" s="990"/>
      <c r="E1" s="990"/>
      <c r="F1" s="990"/>
      <c r="G1" s="990" t="s">
        <v>389</v>
      </c>
      <c r="H1" s="990"/>
      <c r="I1" s="990"/>
      <c r="J1" s="990"/>
      <c r="K1" s="990"/>
      <c r="L1" s="990" t="s">
        <v>390</v>
      </c>
      <c r="M1" s="990"/>
      <c r="N1" s="990"/>
      <c r="O1" s="990"/>
      <c r="P1" s="991"/>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4">
        <v>2014</v>
      </c>
      <c r="P2" s="405">
        <v>2015</v>
      </c>
    </row>
    <row r="3" spans="1:16">
      <c r="A3" s="511" t="s">
        <v>366</v>
      </c>
      <c r="B3" s="424">
        <f>SUM(B4:B17)</f>
        <v>8233</v>
      </c>
      <c r="C3" s="424">
        <f t="shared" ref="C3:K3" si="0">SUM(C4:C17)</f>
        <v>7976</v>
      </c>
      <c r="D3" s="424">
        <f t="shared" si="0"/>
        <v>8755</v>
      </c>
      <c r="E3" s="424">
        <f t="shared" si="0"/>
        <v>8737</v>
      </c>
      <c r="F3" s="424">
        <f t="shared" si="0"/>
        <v>9026</v>
      </c>
      <c r="G3" s="424">
        <f t="shared" si="0"/>
        <v>5354</v>
      </c>
      <c r="H3" s="424">
        <f t="shared" si="0"/>
        <v>5375</v>
      </c>
      <c r="I3" s="424">
        <f t="shared" si="0"/>
        <v>6302</v>
      </c>
      <c r="J3" s="424">
        <f t="shared" si="0"/>
        <v>6724</v>
      </c>
      <c r="K3" s="424">
        <f t="shared" si="0"/>
        <v>7210</v>
      </c>
      <c r="L3" s="403">
        <f>G3/B3*100</f>
        <v>65.030972913883161</v>
      </c>
      <c r="M3" s="403">
        <f t="shared" ref="M3:P17" si="1">H3/C3*100</f>
        <v>67.389669007021055</v>
      </c>
      <c r="N3" s="403">
        <f t="shared" si="1"/>
        <v>71.981724728726434</v>
      </c>
      <c r="O3" s="403">
        <f t="shared" si="1"/>
        <v>76.960054938766163</v>
      </c>
      <c r="P3" s="403">
        <f t="shared" si="1"/>
        <v>79.880345668070021</v>
      </c>
    </row>
    <row r="4" spans="1:16">
      <c r="A4" s="511" t="s">
        <v>590</v>
      </c>
      <c r="B4" s="424">
        <v>642</v>
      </c>
      <c r="C4" s="424">
        <v>649</v>
      </c>
      <c r="D4" s="424">
        <v>691</v>
      </c>
      <c r="E4" s="424">
        <v>635</v>
      </c>
      <c r="F4" s="424">
        <v>650</v>
      </c>
      <c r="G4" s="424">
        <v>490</v>
      </c>
      <c r="H4" s="424">
        <v>507</v>
      </c>
      <c r="I4" s="424">
        <v>533</v>
      </c>
      <c r="J4" s="424">
        <v>475</v>
      </c>
      <c r="K4" s="424">
        <v>495</v>
      </c>
      <c r="L4" s="403">
        <f t="shared" ref="L4:L17" si="2">G4/B4*100</f>
        <v>76.323987538940813</v>
      </c>
      <c r="M4" s="403">
        <f t="shared" si="1"/>
        <v>78.12018489984591</v>
      </c>
      <c r="N4" s="403">
        <f t="shared" si="1"/>
        <v>77.134587554269174</v>
      </c>
      <c r="O4" s="403">
        <f t="shared" si="1"/>
        <v>74.803149606299215</v>
      </c>
      <c r="P4" s="403">
        <f t="shared" si="1"/>
        <v>76.153846153846146</v>
      </c>
    </row>
    <row r="5" spans="1:16">
      <c r="A5" s="511" t="s">
        <v>368</v>
      </c>
      <c r="B5" s="424">
        <v>231</v>
      </c>
      <c r="C5" s="424">
        <v>214</v>
      </c>
      <c r="D5" s="424">
        <v>220</v>
      </c>
      <c r="E5" s="424">
        <v>206</v>
      </c>
      <c r="F5" s="424">
        <v>219</v>
      </c>
      <c r="G5" s="424">
        <v>177</v>
      </c>
      <c r="H5" s="424">
        <v>159</v>
      </c>
      <c r="I5" s="424">
        <v>192</v>
      </c>
      <c r="J5" s="424">
        <v>195</v>
      </c>
      <c r="K5" s="424">
        <v>205</v>
      </c>
      <c r="L5" s="403">
        <f t="shared" si="2"/>
        <v>76.623376623376629</v>
      </c>
      <c r="M5" s="403">
        <f t="shared" si="1"/>
        <v>74.299065420560751</v>
      </c>
      <c r="N5" s="403">
        <f t="shared" si="1"/>
        <v>87.272727272727266</v>
      </c>
      <c r="O5" s="403">
        <f t="shared" si="1"/>
        <v>94.660194174757279</v>
      </c>
      <c r="P5" s="403">
        <f t="shared" si="1"/>
        <v>93.607305936073061</v>
      </c>
    </row>
    <row r="6" spans="1:16">
      <c r="A6" s="511" t="s">
        <v>369</v>
      </c>
      <c r="B6" s="424">
        <v>262</v>
      </c>
      <c r="C6" s="424">
        <v>301</v>
      </c>
      <c r="D6" s="424">
        <v>292</v>
      </c>
      <c r="E6" s="424">
        <v>291</v>
      </c>
      <c r="F6" s="424">
        <v>283</v>
      </c>
      <c r="G6" s="424">
        <v>192</v>
      </c>
      <c r="H6" s="424">
        <v>234</v>
      </c>
      <c r="I6" s="424">
        <v>250</v>
      </c>
      <c r="J6" s="424">
        <v>244</v>
      </c>
      <c r="K6" s="424">
        <v>244</v>
      </c>
      <c r="L6" s="403">
        <f t="shared" si="2"/>
        <v>73.282442748091597</v>
      </c>
      <c r="M6" s="403">
        <f t="shared" si="1"/>
        <v>77.740863787375417</v>
      </c>
      <c r="N6" s="403">
        <f t="shared" si="1"/>
        <v>85.61643835616438</v>
      </c>
      <c r="O6" s="403">
        <f t="shared" si="1"/>
        <v>83.848797250859107</v>
      </c>
      <c r="P6" s="403">
        <f t="shared" si="1"/>
        <v>86.219081272084807</v>
      </c>
    </row>
    <row r="7" spans="1:16">
      <c r="A7" s="511" t="s">
        <v>370</v>
      </c>
      <c r="B7" s="424">
        <v>570</v>
      </c>
      <c r="C7" s="424">
        <v>554</v>
      </c>
      <c r="D7" s="424">
        <v>613</v>
      </c>
      <c r="E7" s="424">
        <v>629</v>
      </c>
      <c r="F7" s="424">
        <v>634</v>
      </c>
      <c r="G7" s="424">
        <v>386</v>
      </c>
      <c r="H7" s="424">
        <v>348</v>
      </c>
      <c r="I7" s="424">
        <v>464</v>
      </c>
      <c r="J7" s="424">
        <v>513</v>
      </c>
      <c r="K7" s="424">
        <v>530</v>
      </c>
      <c r="L7" s="403">
        <f t="shared" si="2"/>
        <v>67.719298245614041</v>
      </c>
      <c r="M7" s="403">
        <f t="shared" si="1"/>
        <v>62.815884476534301</v>
      </c>
      <c r="N7" s="403">
        <f t="shared" si="1"/>
        <v>75.693311582381725</v>
      </c>
      <c r="O7" s="403">
        <f t="shared" si="1"/>
        <v>81.558028616852155</v>
      </c>
      <c r="P7" s="403">
        <f t="shared" si="1"/>
        <v>83.596214511041012</v>
      </c>
    </row>
    <row r="8" spans="1:16">
      <c r="A8" s="511" t="s">
        <v>371</v>
      </c>
      <c r="B8" s="424">
        <v>547</v>
      </c>
      <c r="C8" s="424">
        <v>476</v>
      </c>
      <c r="D8" s="424">
        <v>477</v>
      </c>
      <c r="E8" s="424">
        <v>506</v>
      </c>
      <c r="F8" s="424">
        <v>544</v>
      </c>
      <c r="G8" s="424">
        <v>312</v>
      </c>
      <c r="H8" s="424">
        <v>366</v>
      </c>
      <c r="I8" s="424">
        <v>359</v>
      </c>
      <c r="J8" s="424">
        <v>413</v>
      </c>
      <c r="K8" s="424">
        <v>459</v>
      </c>
      <c r="L8" s="403">
        <f t="shared" si="2"/>
        <v>57.038391224862885</v>
      </c>
      <c r="M8" s="403">
        <f t="shared" si="1"/>
        <v>76.890756302521012</v>
      </c>
      <c r="N8" s="403">
        <f t="shared" si="1"/>
        <v>75.262054507337524</v>
      </c>
      <c r="O8" s="403">
        <f t="shared" si="1"/>
        <v>81.620553359683782</v>
      </c>
      <c r="P8" s="403">
        <f t="shared" si="1"/>
        <v>84.375</v>
      </c>
    </row>
    <row r="9" spans="1:16">
      <c r="A9" s="511" t="s">
        <v>372</v>
      </c>
      <c r="B9" s="424">
        <v>642</v>
      </c>
      <c r="C9" s="424">
        <v>634</v>
      </c>
      <c r="D9" s="424">
        <v>689</v>
      </c>
      <c r="E9" s="424">
        <v>726</v>
      </c>
      <c r="F9" s="424">
        <v>823</v>
      </c>
      <c r="G9" s="424">
        <v>416</v>
      </c>
      <c r="H9" s="424">
        <v>456</v>
      </c>
      <c r="I9" s="424">
        <v>485</v>
      </c>
      <c r="J9" s="424">
        <v>550</v>
      </c>
      <c r="K9" s="424">
        <v>637</v>
      </c>
      <c r="L9" s="403">
        <f t="shared" si="2"/>
        <v>64.797507788161994</v>
      </c>
      <c r="M9" s="403">
        <f t="shared" si="1"/>
        <v>71.924290220820183</v>
      </c>
      <c r="N9" s="403">
        <f t="shared" si="1"/>
        <v>70.391872278664735</v>
      </c>
      <c r="O9" s="403">
        <f t="shared" si="1"/>
        <v>75.757575757575751</v>
      </c>
      <c r="P9" s="403">
        <f t="shared" si="1"/>
        <v>77.399756986634259</v>
      </c>
    </row>
    <row r="10" spans="1:16">
      <c r="A10" s="511" t="s">
        <v>373</v>
      </c>
      <c r="B10" s="424">
        <v>2116</v>
      </c>
      <c r="C10" s="424">
        <v>2259</v>
      </c>
      <c r="D10" s="424">
        <v>2256</v>
      </c>
      <c r="E10" s="424">
        <v>2252</v>
      </c>
      <c r="F10" s="424">
        <v>2234</v>
      </c>
      <c r="G10" s="424">
        <v>1138</v>
      </c>
      <c r="H10" s="424">
        <v>1180</v>
      </c>
      <c r="I10" s="424">
        <v>1351</v>
      </c>
      <c r="J10" s="424">
        <v>1577</v>
      </c>
      <c r="K10" s="424">
        <v>1671</v>
      </c>
      <c r="L10" s="403">
        <f t="shared" si="2"/>
        <v>53.780718336483936</v>
      </c>
      <c r="M10" s="403">
        <f t="shared" si="1"/>
        <v>52.23550243470563</v>
      </c>
      <c r="N10" s="403">
        <f t="shared" si="1"/>
        <v>59.884751773049651</v>
      </c>
      <c r="O10" s="403">
        <f t="shared" si="1"/>
        <v>70.026642984014202</v>
      </c>
      <c r="P10" s="403">
        <f t="shared" si="1"/>
        <v>74.798567591763657</v>
      </c>
    </row>
    <row r="11" spans="1:16">
      <c r="A11" s="511" t="s">
        <v>374</v>
      </c>
      <c r="B11" s="424">
        <v>511</v>
      </c>
      <c r="C11" s="424">
        <v>458</v>
      </c>
      <c r="D11" s="424">
        <v>474</v>
      </c>
      <c r="E11" s="424">
        <v>467</v>
      </c>
      <c r="F11" s="424">
        <v>499</v>
      </c>
      <c r="G11" s="424">
        <v>308</v>
      </c>
      <c r="H11" s="424">
        <v>314</v>
      </c>
      <c r="I11" s="424">
        <v>391</v>
      </c>
      <c r="J11" s="424">
        <v>403</v>
      </c>
      <c r="K11" s="424">
        <v>445</v>
      </c>
      <c r="L11" s="403">
        <f t="shared" si="2"/>
        <v>60.273972602739725</v>
      </c>
      <c r="M11" s="403">
        <f t="shared" si="1"/>
        <v>68.558951965065503</v>
      </c>
      <c r="N11" s="403">
        <f t="shared" si="1"/>
        <v>82.489451476793249</v>
      </c>
      <c r="O11" s="403">
        <f t="shared" si="1"/>
        <v>86.295503211991431</v>
      </c>
      <c r="P11" s="403">
        <f t="shared" si="1"/>
        <v>89.178356713426851</v>
      </c>
    </row>
    <row r="12" spans="1:16">
      <c r="A12" s="511" t="s">
        <v>375</v>
      </c>
      <c r="B12" s="424">
        <v>947</v>
      </c>
      <c r="C12" s="424">
        <v>760</v>
      </c>
      <c r="D12" s="424">
        <v>900</v>
      </c>
      <c r="E12" s="424">
        <v>924</v>
      </c>
      <c r="F12" s="424">
        <v>955</v>
      </c>
      <c r="G12" s="424">
        <v>658</v>
      </c>
      <c r="H12" s="424">
        <v>649</v>
      </c>
      <c r="I12" s="424">
        <v>779</v>
      </c>
      <c r="J12" s="424">
        <v>807</v>
      </c>
      <c r="K12" s="424">
        <v>811</v>
      </c>
      <c r="L12" s="403">
        <f t="shared" si="2"/>
        <v>69.482576557550161</v>
      </c>
      <c r="M12" s="403">
        <f t="shared" si="1"/>
        <v>85.394736842105274</v>
      </c>
      <c r="N12" s="403">
        <f t="shared" si="1"/>
        <v>86.555555555555557</v>
      </c>
      <c r="O12" s="403">
        <f t="shared" si="1"/>
        <v>87.337662337662337</v>
      </c>
      <c r="P12" s="403">
        <f t="shared" si="1"/>
        <v>84.921465968586389</v>
      </c>
    </row>
    <row r="13" spans="1:16">
      <c r="A13" s="511" t="s">
        <v>376</v>
      </c>
      <c r="B13" s="424">
        <v>1031</v>
      </c>
      <c r="C13" s="424">
        <v>953</v>
      </c>
      <c r="D13" s="424">
        <v>1369</v>
      </c>
      <c r="E13" s="424">
        <v>1424</v>
      </c>
      <c r="F13" s="424">
        <v>1439</v>
      </c>
      <c r="G13" s="424">
        <v>663</v>
      </c>
      <c r="H13" s="424">
        <v>572</v>
      </c>
      <c r="I13" s="424">
        <v>877</v>
      </c>
      <c r="J13" s="424">
        <v>987</v>
      </c>
      <c r="K13" s="424">
        <v>1105</v>
      </c>
      <c r="L13" s="403">
        <f t="shared" si="2"/>
        <v>64.306498545101846</v>
      </c>
      <c r="M13" s="403">
        <f t="shared" si="1"/>
        <v>60.020986358866736</v>
      </c>
      <c r="N13" s="403">
        <f t="shared" si="1"/>
        <v>64.061358655953242</v>
      </c>
      <c r="O13" s="403">
        <f t="shared" si="1"/>
        <v>69.311797752808985</v>
      </c>
      <c r="P13" s="403">
        <f t="shared" si="1"/>
        <v>76.789437109103545</v>
      </c>
    </row>
    <row r="14" spans="1:16">
      <c r="A14" s="511" t="s">
        <v>399</v>
      </c>
      <c r="B14" s="424">
        <v>27</v>
      </c>
      <c r="C14" s="424">
        <v>22</v>
      </c>
      <c r="D14" s="424">
        <v>42</v>
      </c>
      <c r="E14" s="424">
        <v>40</v>
      </c>
      <c r="F14" s="424">
        <v>40</v>
      </c>
      <c r="G14" s="424">
        <v>19</v>
      </c>
      <c r="H14" s="424">
        <v>17</v>
      </c>
      <c r="I14" s="424">
        <v>36</v>
      </c>
      <c r="J14" s="424">
        <v>30</v>
      </c>
      <c r="K14" s="424">
        <v>29</v>
      </c>
      <c r="L14" s="403">
        <f t="shared" si="2"/>
        <v>70.370370370370367</v>
      </c>
      <c r="M14" s="403">
        <f t="shared" si="1"/>
        <v>77.272727272727266</v>
      </c>
      <c r="N14" s="403">
        <f t="shared" si="1"/>
        <v>85.714285714285708</v>
      </c>
      <c r="O14" s="403">
        <f t="shared" si="1"/>
        <v>75</v>
      </c>
      <c r="P14" s="403">
        <f t="shared" si="1"/>
        <v>72.5</v>
      </c>
    </row>
    <row r="15" spans="1:16">
      <c r="A15" s="511" t="s">
        <v>591</v>
      </c>
      <c r="B15" s="424">
        <v>40</v>
      </c>
      <c r="C15" s="424">
        <v>26</v>
      </c>
      <c r="D15" s="424">
        <v>35</v>
      </c>
      <c r="E15" s="424">
        <v>35</v>
      </c>
      <c r="F15" s="424">
        <v>35</v>
      </c>
      <c r="G15" s="424">
        <v>38</v>
      </c>
      <c r="H15" s="424">
        <v>25</v>
      </c>
      <c r="I15" s="424">
        <v>31</v>
      </c>
      <c r="J15" s="424">
        <v>30</v>
      </c>
      <c r="K15" s="424">
        <v>33</v>
      </c>
      <c r="L15" s="403">
        <f t="shared" si="2"/>
        <v>95</v>
      </c>
      <c r="M15" s="403">
        <f t="shared" si="1"/>
        <v>96.15384615384616</v>
      </c>
      <c r="N15" s="403">
        <f t="shared" si="1"/>
        <v>88.571428571428569</v>
      </c>
      <c r="O15" s="403">
        <f t="shared" si="1"/>
        <v>85.714285714285708</v>
      </c>
      <c r="P15" s="403">
        <f t="shared" si="1"/>
        <v>94.285714285714278</v>
      </c>
    </row>
    <row r="16" spans="1:16">
      <c r="A16" s="511" t="s">
        <v>388</v>
      </c>
      <c r="B16" s="424">
        <v>637</v>
      </c>
      <c r="C16" s="424">
        <v>639</v>
      </c>
      <c r="D16" s="424">
        <v>667</v>
      </c>
      <c r="E16" s="424">
        <v>580</v>
      </c>
      <c r="F16" s="424">
        <v>636</v>
      </c>
      <c r="G16" s="424">
        <v>537</v>
      </c>
      <c r="H16" s="424">
        <v>528</v>
      </c>
      <c r="I16" s="424">
        <v>532</v>
      </c>
      <c r="J16" s="424">
        <v>479</v>
      </c>
      <c r="K16" s="424">
        <v>514</v>
      </c>
      <c r="L16" s="403">
        <f t="shared" si="2"/>
        <v>84.301412872841439</v>
      </c>
      <c r="M16" s="403">
        <f t="shared" si="1"/>
        <v>82.629107981220656</v>
      </c>
      <c r="N16" s="403">
        <f t="shared" si="1"/>
        <v>79.760119940029981</v>
      </c>
      <c r="O16" s="403">
        <f t="shared" si="1"/>
        <v>82.58620689655173</v>
      </c>
      <c r="P16" s="403">
        <f t="shared" si="1"/>
        <v>80.817610062893081</v>
      </c>
    </row>
    <row r="17" spans="1:16">
      <c r="A17" s="511" t="s">
        <v>592</v>
      </c>
      <c r="B17" s="424">
        <v>30</v>
      </c>
      <c r="C17" s="424">
        <v>31</v>
      </c>
      <c r="D17" s="424">
        <v>30</v>
      </c>
      <c r="E17" s="424">
        <v>22</v>
      </c>
      <c r="F17" s="424">
        <v>35</v>
      </c>
      <c r="G17" s="424">
        <v>20</v>
      </c>
      <c r="H17" s="424">
        <v>20</v>
      </c>
      <c r="I17" s="424">
        <v>22</v>
      </c>
      <c r="J17" s="424">
        <v>21</v>
      </c>
      <c r="K17" s="424">
        <v>32</v>
      </c>
      <c r="L17" s="403">
        <f t="shared" si="2"/>
        <v>66.666666666666657</v>
      </c>
      <c r="M17" s="403">
        <f t="shared" si="1"/>
        <v>64.516129032258064</v>
      </c>
      <c r="N17" s="403">
        <f t="shared" si="1"/>
        <v>73.333333333333329</v>
      </c>
      <c r="O17" s="403">
        <f t="shared" si="1"/>
        <v>95.454545454545453</v>
      </c>
      <c r="P17" s="403">
        <f t="shared" si="1"/>
        <v>91.428571428571431</v>
      </c>
    </row>
    <row r="18" spans="1:16">
      <c r="A18" s="401" t="s">
        <v>381</v>
      </c>
    </row>
    <row r="19" spans="1:16">
      <c r="A19" s="401" t="s">
        <v>395</v>
      </c>
    </row>
  </sheetData>
  <sheetProtection password="B8D9" sheet="1" objects="1" scenarios="1"/>
  <mergeCells count="4">
    <mergeCell ref="A1:A2"/>
    <mergeCell ref="B1:F1"/>
    <mergeCell ref="G1:K1"/>
    <mergeCell ref="L1:P1"/>
  </mergeCells>
  <printOptions horizontalCentered="1"/>
  <pageMargins left="0" right="0" top="0.74803149606299213" bottom="0.74803149606299213" header="0.31496062992125984" footer="0.31496062992125984"/>
  <pageSetup paperSize="9" orientation="landscape" r:id="rId1"/>
  <headerFooter>
    <oddHeader>&amp;LChart 17b DATA
Trend in percentage of stroke patients receiving a swallow screen on the day of admission to hospital, by NHS Board, 2011 - 2015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74.xml><?xml version="1.0" encoding="utf-8"?>
<worksheet xmlns="http://schemas.openxmlformats.org/spreadsheetml/2006/main" xmlns:r="http://schemas.openxmlformats.org/officeDocument/2006/relationships">
  <sheetPr codeName="Sheet62">
    <pageSetUpPr fitToPage="1"/>
  </sheetPr>
  <dimension ref="A1:O37"/>
  <sheetViews>
    <sheetView workbookViewId="0"/>
  </sheetViews>
  <sheetFormatPr defaultRowHeight="15"/>
  <cols>
    <col min="1" max="1" width="1.7109375" customWidth="1"/>
  </cols>
  <sheetData>
    <row r="1" spans="1:15" s="414" customFormat="1" ht="12.75" customHeight="1">
      <c r="A1" s="1"/>
      <c r="B1" s="798" t="s">
        <v>713</v>
      </c>
      <c r="C1" s="798"/>
      <c r="D1" s="798"/>
      <c r="E1" s="798"/>
      <c r="F1" s="798"/>
      <c r="G1" s="798"/>
      <c r="H1" s="798"/>
      <c r="I1" s="798"/>
      <c r="J1" s="798"/>
      <c r="K1" s="798"/>
      <c r="L1" s="798"/>
      <c r="M1" s="798"/>
      <c r="N1" s="798"/>
      <c r="O1" s="802" t="s">
        <v>48</v>
      </c>
    </row>
    <row r="2" spans="1:15" s="414" customFormat="1" ht="12.75">
      <c r="B2" s="798"/>
      <c r="C2" s="798"/>
      <c r="D2" s="798"/>
      <c r="E2" s="798"/>
      <c r="F2" s="798"/>
      <c r="G2" s="798"/>
      <c r="H2" s="798"/>
      <c r="I2" s="798"/>
      <c r="J2" s="798"/>
      <c r="K2" s="798"/>
      <c r="L2" s="798"/>
      <c r="M2" s="798"/>
      <c r="N2" s="798"/>
      <c r="O2" s="802"/>
    </row>
    <row r="3" spans="1:15" s="414"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414" customFormat="1" ht="12.75" customHeight="1">
      <c r="B5" s="406" t="s">
        <v>384</v>
      </c>
      <c r="C5" s="284"/>
      <c r="D5" s="284"/>
      <c r="E5" s="284"/>
      <c r="F5" s="284"/>
      <c r="G5" s="284"/>
      <c r="H5" s="284"/>
      <c r="I5" s="284"/>
      <c r="J5" s="284"/>
      <c r="K5" s="284"/>
      <c r="L5" s="284"/>
      <c r="M5" s="284"/>
      <c r="N5" s="294"/>
      <c r="O5" s="413"/>
    </row>
    <row r="6" spans="1:15" s="414" customFormat="1" ht="12.75">
      <c r="B6" s="406" t="s">
        <v>383</v>
      </c>
      <c r="C6" s="284"/>
      <c r="D6" s="284"/>
      <c r="E6" s="284"/>
      <c r="F6" s="284"/>
      <c r="G6" s="284"/>
      <c r="H6" s="284"/>
      <c r="I6" s="284"/>
      <c r="J6" s="284"/>
      <c r="K6" s="284"/>
      <c r="L6" s="284"/>
      <c r="M6" s="284"/>
      <c r="N6" s="921" t="s">
        <v>720</v>
      </c>
      <c r="O6" s="921"/>
    </row>
    <row r="32" spans="2:2">
      <c r="B32" s="32" t="s">
        <v>714</v>
      </c>
    </row>
    <row r="33" spans="2:4">
      <c r="B33" s="444" t="s">
        <v>419</v>
      </c>
      <c r="D33" s="445" t="s">
        <v>213</v>
      </c>
    </row>
    <row r="35" spans="2:4">
      <c r="B35" s="32" t="s">
        <v>427</v>
      </c>
    </row>
    <row r="36" spans="2:4">
      <c r="B36" s="32" t="s">
        <v>428</v>
      </c>
    </row>
    <row r="37" spans="2:4">
      <c r="B37" s="32" t="s">
        <v>715</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c'!A1" display="Chart 2c"/>
    <hyperlink ref="N6:O6" location="'Chart 17c DATA'!A1" display="view Chart 17c data"/>
  </hyperlinks>
  <pageMargins left="0.70866141732283472" right="0.70866141732283472" top="0.74803149606299213" bottom="0.74803149606299213" header="0.31496062992125984" footer="0.31496062992125984"/>
  <pageSetup paperSize="9" scale="92"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5.xml><?xml version="1.0" encoding="utf-8"?>
<worksheet xmlns="http://schemas.openxmlformats.org/spreadsheetml/2006/main" xmlns:r="http://schemas.openxmlformats.org/officeDocument/2006/relationships">
  <sheetPr codeName="Sheet63">
    <pageSetUpPr fitToPage="1"/>
  </sheetPr>
  <dimension ref="A1:P19"/>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990" t="s">
        <v>393</v>
      </c>
      <c r="C1" s="990"/>
      <c r="D1" s="990"/>
      <c r="E1" s="990"/>
      <c r="F1" s="990"/>
      <c r="G1" s="990" t="s">
        <v>397</v>
      </c>
      <c r="H1" s="990"/>
      <c r="I1" s="990"/>
      <c r="J1" s="990"/>
      <c r="K1" s="990"/>
      <c r="L1" s="990" t="s">
        <v>398</v>
      </c>
      <c r="M1" s="990"/>
      <c r="N1" s="990"/>
      <c r="O1" s="990"/>
      <c r="P1" s="991"/>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4">
        <v>2014</v>
      </c>
      <c r="P2" s="405">
        <v>2015</v>
      </c>
    </row>
    <row r="3" spans="1:16">
      <c r="A3" s="511" t="s">
        <v>366</v>
      </c>
      <c r="B3" s="424">
        <f>SUM(B4:B17)</f>
        <v>8233</v>
      </c>
      <c r="C3" s="424">
        <f t="shared" ref="C3:K3" si="0">SUM(C4:C17)</f>
        <v>7976</v>
      </c>
      <c r="D3" s="424">
        <f t="shared" si="0"/>
        <v>8755</v>
      </c>
      <c r="E3" s="424">
        <f t="shared" si="0"/>
        <v>8737</v>
      </c>
      <c r="F3" s="424">
        <f t="shared" si="0"/>
        <v>9026</v>
      </c>
      <c r="G3" s="424">
        <f t="shared" si="0"/>
        <v>6532</v>
      </c>
      <c r="H3" s="424">
        <f t="shared" si="0"/>
        <v>6608</v>
      </c>
      <c r="I3" s="424">
        <f t="shared" si="0"/>
        <v>7647</v>
      </c>
      <c r="J3" s="424">
        <f t="shared" si="0"/>
        <v>7838</v>
      </c>
      <c r="K3" s="424">
        <f t="shared" si="0"/>
        <v>8255</v>
      </c>
      <c r="L3" s="403">
        <f>G3/B3*100</f>
        <v>79.339244503826066</v>
      </c>
      <c r="M3" s="403">
        <f t="shared" ref="M3:P17" si="1">H3/C3*100</f>
        <v>82.848545636910728</v>
      </c>
      <c r="N3" s="403">
        <f t="shared" si="1"/>
        <v>87.344374643061101</v>
      </c>
      <c r="O3" s="403">
        <f t="shared" si="1"/>
        <v>89.710426919995427</v>
      </c>
      <c r="P3" s="403">
        <f t="shared" si="1"/>
        <v>91.458010192776428</v>
      </c>
    </row>
    <row r="4" spans="1:16">
      <c r="A4" s="511" t="s">
        <v>367</v>
      </c>
      <c r="B4" s="424">
        <v>642</v>
      </c>
      <c r="C4" s="424">
        <v>649</v>
      </c>
      <c r="D4" s="424">
        <v>691</v>
      </c>
      <c r="E4" s="424">
        <v>635</v>
      </c>
      <c r="F4" s="424">
        <v>650</v>
      </c>
      <c r="G4" s="424">
        <v>401</v>
      </c>
      <c r="H4" s="424">
        <v>442</v>
      </c>
      <c r="I4" s="424">
        <v>539</v>
      </c>
      <c r="J4" s="424">
        <v>529</v>
      </c>
      <c r="K4" s="424">
        <v>552</v>
      </c>
      <c r="L4" s="403">
        <f t="shared" ref="L4:L17" si="2">G4/B4*100</f>
        <v>62.46105919003115</v>
      </c>
      <c r="M4" s="403">
        <f t="shared" si="1"/>
        <v>68.104776579352858</v>
      </c>
      <c r="N4" s="403">
        <f t="shared" si="1"/>
        <v>78.002894356005797</v>
      </c>
      <c r="O4" s="403">
        <f t="shared" si="1"/>
        <v>83.30708661417323</v>
      </c>
      <c r="P4" s="403">
        <f t="shared" si="1"/>
        <v>84.92307692307692</v>
      </c>
    </row>
    <row r="5" spans="1:16">
      <c r="A5" s="511" t="s">
        <v>368</v>
      </c>
      <c r="B5" s="424">
        <v>231</v>
      </c>
      <c r="C5" s="424">
        <v>214</v>
      </c>
      <c r="D5" s="424">
        <v>220</v>
      </c>
      <c r="E5" s="424">
        <v>206</v>
      </c>
      <c r="F5" s="424">
        <v>219</v>
      </c>
      <c r="G5" s="424">
        <v>202</v>
      </c>
      <c r="H5" s="424">
        <v>205</v>
      </c>
      <c r="I5" s="424">
        <v>207</v>
      </c>
      <c r="J5" s="424">
        <v>203</v>
      </c>
      <c r="K5" s="424">
        <v>217</v>
      </c>
      <c r="L5" s="403">
        <f t="shared" si="2"/>
        <v>87.44588744588745</v>
      </c>
      <c r="M5" s="403">
        <f t="shared" si="1"/>
        <v>95.794392523364493</v>
      </c>
      <c r="N5" s="403">
        <f t="shared" si="1"/>
        <v>94.090909090909093</v>
      </c>
      <c r="O5" s="403">
        <f t="shared" si="1"/>
        <v>98.543689320388353</v>
      </c>
      <c r="P5" s="403">
        <f t="shared" si="1"/>
        <v>99.086757990867582</v>
      </c>
    </row>
    <row r="6" spans="1:16">
      <c r="A6" s="511" t="s">
        <v>369</v>
      </c>
      <c r="B6" s="424">
        <v>262</v>
      </c>
      <c r="C6" s="424">
        <v>301</v>
      </c>
      <c r="D6" s="424">
        <v>292</v>
      </c>
      <c r="E6" s="424">
        <v>291</v>
      </c>
      <c r="F6" s="424">
        <v>283</v>
      </c>
      <c r="G6" s="424">
        <v>218</v>
      </c>
      <c r="H6" s="424">
        <v>249</v>
      </c>
      <c r="I6" s="424">
        <v>254</v>
      </c>
      <c r="J6" s="424">
        <v>268</v>
      </c>
      <c r="K6" s="424">
        <v>259</v>
      </c>
      <c r="L6" s="403">
        <f t="shared" si="2"/>
        <v>83.206106870229007</v>
      </c>
      <c r="M6" s="403">
        <f t="shared" si="1"/>
        <v>82.724252491694344</v>
      </c>
      <c r="N6" s="403">
        <f t="shared" si="1"/>
        <v>86.986301369863014</v>
      </c>
      <c r="O6" s="403">
        <f t="shared" si="1"/>
        <v>92.096219931271477</v>
      </c>
      <c r="P6" s="403">
        <f t="shared" si="1"/>
        <v>91.519434628975262</v>
      </c>
    </row>
    <row r="7" spans="1:16">
      <c r="A7" s="511" t="s">
        <v>370</v>
      </c>
      <c r="B7" s="424">
        <v>570</v>
      </c>
      <c r="C7" s="424">
        <v>554</v>
      </c>
      <c r="D7" s="424">
        <v>613</v>
      </c>
      <c r="E7" s="424">
        <v>629</v>
      </c>
      <c r="F7" s="424">
        <v>634</v>
      </c>
      <c r="G7" s="424">
        <v>453</v>
      </c>
      <c r="H7" s="424">
        <v>506</v>
      </c>
      <c r="I7" s="424">
        <v>578</v>
      </c>
      <c r="J7" s="424">
        <v>587</v>
      </c>
      <c r="K7" s="424">
        <v>606</v>
      </c>
      <c r="L7" s="403">
        <f t="shared" si="2"/>
        <v>79.473684210526315</v>
      </c>
      <c r="M7" s="403">
        <f t="shared" si="1"/>
        <v>91.335740072202171</v>
      </c>
      <c r="N7" s="403">
        <f t="shared" si="1"/>
        <v>94.290375203915161</v>
      </c>
      <c r="O7" s="403">
        <f t="shared" si="1"/>
        <v>93.322734499205083</v>
      </c>
      <c r="P7" s="403">
        <f t="shared" si="1"/>
        <v>95.583596214511047</v>
      </c>
    </row>
    <row r="8" spans="1:16">
      <c r="A8" s="511" t="s">
        <v>371</v>
      </c>
      <c r="B8" s="424">
        <v>547</v>
      </c>
      <c r="C8" s="424">
        <v>476</v>
      </c>
      <c r="D8" s="424">
        <v>477</v>
      </c>
      <c r="E8" s="424">
        <v>506</v>
      </c>
      <c r="F8" s="424">
        <v>544</v>
      </c>
      <c r="G8" s="424">
        <v>476</v>
      </c>
      <c r="H8" s="424">
        <v>424</v>
      </c>
      <c r="I8" s="424">
        <v>439</v>
      </c>
      <c r="J8" s="424">
        <v>479</v>
      </c>
      <c r="K8" s="424">
        <v>524</v>
      </c>
      <c r="L8" s="403">
        <f t="shared" si="2"/>
        <v>87.020109689213896</v>
      </c>
      <c r="M8" s="403">
        <f t="shared" si="1"/>
        <v>89.075630252100851</v>
      </c>
      <c r="N8" s="403">
        <f t="shared" si="1"/>
        <v>92.033542976939202</v>
      </c>
      <c r="O8" s="403">
        <f t="shared" si="1"/>
        <v>94.664031620553359</v>
      </c>
      <c r="P8" s="403">
        <f t="shared" si="1"/>
        <v>96.32352941176471</v>
      </c>
    </row>
    <row r="9" spans="1:16">
      <c r="A9" s="511" t="s">
        <v>372</v>
      </c>
      <c r="B9" s="424">
        <v>642</v>
      </c>
      <c r="C9" s="424">
        <v>634</v>
      </c>
      <c r="D9" s="424">
        <v>689</v>
      </c>
      <c r="E9" s="424">
        <v>726</v>
      </c>
      <c r="F9" s="424">
        <v>823</v>
      </c>
      <c r="G9" s="424">
        <v>507</v>
      </c>
      <c r="H9" s="424">
        <v>516</v>
      </c>
      <c r="I9" s="424">
        <v>610</v>
      </c>
      <c r="J9" s="424">
        <v>653</v>
      </c>
      <c r="K9" s="424">
        <v>766</v>
      </c>
      <c r="L9" s="403">
        <f t="shared" si="2"/>
        <v>78.971962616822438</v>
      </c>
      <c r="M9" s="403">
        <f t="shared" si="1"/>
        <v>81.388012618296528</v>
      </c>
      <c r="N9" s="403">
        <f t="shared" si="1"/>
        <v>88.534107402031921</v>
      </c>
      <c r="O9" s="403">
        <f t="shared" si="1"/>
        <v>89.944903581267226</v>
      </c>
      <c r="P9" s="403">
        <f t="shared" si="1"/>
        <v>93.074119076549209</v>
      </c>
    </row>
    <row r="10" spans="1:16">
      <c r="A10" s="511" t="s">
        <v>373</v>
      </c>
      <c r="B10" s="424">
        <v>2116</v>
      </c>
      <c r="C10" s="424">
        <v>2259</v>
      </c>
      <c r="D10" s="424">
        <v>2256</v>
      </c>
      <c r="E10" s="424">
        <v>2252</v>
      </c>
      <c r="F10" s="424">
        <v>2234</v>
      </c>
      <c r="G10" s="424">
        <v>1725</v>
      </c>
      <c r="H10" s="424">
        <v>1809</v>
      </c>
      <c r="I10" s="424">
        <v>1927</v>
      </c>
      <c r="J10" s="424">
        <v>1994</v>
      </c>
      <c r="K10" s="424">
        <v>2049</v>
      </c>
      <c r="L10" s="403">
        <f t="shared" si="2"/>
        <v>81.521739130434781</v>
      </c>
      <c r="M10" s="403">
        <f t="shared" si="1"/>
        <v>80.079681274900395</v>
      </c>
      <c r="N10" s="403">
        <f t="shared" si="1"/>
        <v>85.416666666666657</v>
      </c>
      <c r="O10" s="403">
        <f t="shared" si="1"/>
        <v>88.543516873889871</v>
      </c>
      <c r="P10" s="403">
        <f t="shared" si="1"/>
        <v>91.718889883616825</v>
      </c>
    </row>
    <row r="11" spans="1:16">
      <c r="A11" s="511" t="s">
        <v>374</v>
      </c>
      <c r="B11" s="424">
        <v>511</v>
      </c>
      <c r="C11" s="424">
        <v>458</v>
      </c>
      <c r="D11" s="424">
        <v>474</v>
      </c>
      <c r="E11" s="424">
        <v>467</v>
      </c>
      <c r="F11" s="424">
        <v>499</v>
      </c>
      <c r="G11" s="424">
        <v>319</v>
      </c>
      <c r="H11" s="424">
        <v>347</v>
      </c>
      <c r="I11" s="424">
        <v>416</v>
      </c>
      <c r="J11" s="424">
        <v>424</v>
      </c>
      <c r="K11" s="424">
        <v>440</v>
      </c>
      <c r="L11" s="403">
        <f t="shared" si="2"/>
        <v>62.426614481409004</v>
      </c>
      <c r="M11" s="403">
        <f t="shared" si="1"/>
        <v>75.764192139738</v>
      </c>
      <c r="N11" s="403">
        <f t="shared" si="1"/>
        <v>87.763713080168785</v>
      </c>
      <c r="O11" s="403">
        <f t="shared" si="1"/>
        <v>90.792291220556748</v>
      </c>
      <c r="P11" s="403">
        <f t="shared" si="1"/>
        <v>88.176352705410821</v>
      </c>
    </row>
    <row r="12" spans="1:16">
      <c r="A12" s="511" t="s">
        <v>375</v>
      </c>
      <c r="B12" s="424">
        <v>947</v>
      </c>
      <c r="C12" s="424">
        <v>760</v>
      </c>
      <c r="D12" s="424">
        <v>900</v>
      </c>
      <c r="E12" s="424">
        <v>924</v>
      </c>
      <c r="F12" s="424">
        <v>955</v>
      </c>
      <c r="G12" s="424">
        <v>733</v>
      </c>
      <c r="H12" s="424">
        <v>656</v>
      </c>
      <c r="I12" s="424">
        <v>808</v>
      </c>
      <c r="J12" s="424">
        <v>853</v>
      </c>
      <c r="K12" s="424">
        <v>883</v>
      </c>
      <c r="L12" s="403">
        <f t="shared" si="2"/>
        <v>77.402323125659976</v>
      </c>
      <c r="M12" s="403">
        <f t="shared" si="1"/>
        <v>86.31578947368422</v>
      </c>
      <c r="N12" s="403">
        <f t="shared" si="1"/>
        <v>89.777777777777771</v>
      </c>
      <c r="O12" s="403">
        <f t="shared" si="1"/>
        <v>92.316017316017323</v>
      </c>
      <c r="P12" s="403">
        <f t="shared" si="1"/>
        <v>92.460732984293188</v>
      </c>
    </row>
    <row r="13" spans="1:16">
      <c r="A13" s="511" t="s">
        <v>593</v>
      </c>
      <c r="B13" s="424">
        <v>1031</v>
      </c>
      <c r="C13" s="424">
        <v>953</v>
      </c>
      <c r="D13" s="424">
        <v>1369</v>
      </c>
      <c r="E13" s="424">
        <v>1424</v>
      </c>
      <c r="F13" s="424">
        <v>1439</v>
      </c>
      <c r="G13" s="424">
        <v>956</v>
      </c>
      <c r="H13" s="424">
        <v>882</v>
      </c>
      <c r="I13" s="424">
        <v>1243</v>
      </c>
      <c r="J13" s="424">
        <v>1292</v>
      </c>
      <c r="K13" s="424">
        <v>1320</v>
      </c>
      <c r="L13" s="403">
        <f t="shared" si="2"/>
        <v>92.725509214355</v>
      </c>
      <c r="M13" s="403">
        <f t="shared" si="1"/>
        <v>92.549842602308502</v>
      </c>
      <c r="N13" s="403">
        <f t="shared" si="1"/>
        <v>90.796201607012421</v>
      </c>
      <c r="O13" s="403">
        <f t="shared" si="1"/>
        <v>90.730337078651687</v>
      </c>
      <c r="P13" s="403">
        <f t="shared" si="1"/>
        <v>91.730368311327311</v>
      </c>
    </row>
    <row r="14" spans="1:16">
      <c r="A14" s="511" t="s">
        <v>594</v>
      </c>
      <c r="B14" s="424">
        <v>27</v>
      </c>
      <c r="C14" s="424">
        <v>22</v>
      </c>
      <c r="D14" s="424">
        <v>42</v>
      </c>
      <c r="E14" s="424">
        <v>40</v>
      </c>
      <c r="F14" s="424">
        <v>40</v>
      </c>
      <c r="G14" s="424">
        <v>10</v>
      </c>
      <c r="H14" s="424">
        <v>4</v>
      </c>
      <c r="I14" s="424">
        <v>13</v>
      </c>
      <c r="J14" s="424">
        <v>11</v>
      </c>
      <c r="K14" s="424">
        <v>30</v>
      </c>
      <c r="L14" s="403">
        <f t="shared" si="2"/>
        <v>37.037037037037038</v>
      </c>
      <c r="M14" s="403">
        <f t="shared" si="1"/>
        <v>18.181818181818183</v>
      </c>
      <c r="N14" s="403">
        <f t="shared" si="1"/>
        <v>30.952380952380953</v>
      </c>
      <c r="O14" s="403">
        <f t="shared" si="1"/>
        <v>27.500000000000004</v>
      </c>
      <c r="P14" s="403">
        <f t="shared" si="1"/>
        <v>75</v>
      </c>
    </row>
    <row r="15" spans="1:16">
      <c r="A15" s="511" t="s">
        <v>377</v>
      </c>
      <c r="B15" s="424">
        <v>40</v>
      </c>
      <c r="C15" s="424">
        <v>26</v>
      </c>
      <c r="D15" s="424">
        <v>35</v>
      </c>
      <c r="E15" s="424">
        <v>35</v>
      </c>
      <c r="F15" s="424">
        <v>35</v>
      </c>
      <c r="G15" s="424">
        <v>20</v>
      </c>
      <c r="H15" s="424">
        <v>19</v>
      </c>
      <c r="I15" s="424">
        <v>22</v>
      </c>
      <c r="J15" s="424">
        <v>28</v>
      </c>
      <c r="K15" s="424">
        <v>30</v>
      </c>
      <c r="L15" s="403">
        <f t="shared" si="2"/>
        <v>50</v>
      </c>
      <c r="M15" s="403">
        <f t="shared" si="1"/>
        <v>73.076923076923066</v>
      </c>
      <c r="N15" s="403">
        <f t="shared" si="1"/>
        <v>62.857142857142854</v>
      </c>
      <c r="O15" s="403">
        <f t="shared" si="1"/>
        <v>80</v>
      </c>
      <c r="P15" s="403">
        <f t="shared" si="1"/>
        <v>85.714285714285708</v>
      </c>
    </row>
    <row r="16" spans="1:16">
      <c r="A16" s="511" t="s">
        <v>378</v>
      </c>
      <c r="B16" s="424">
        <v>637</v>
      </c>
      <c r="C16" s="424">
        <v>639</v>
      </c>
      <c r="D16" s="424">
        <v>667</v>
      </c>
      <c r="E16" s="424">
        <v>580</v>
      </c>
      <c r="F16" s="424">
        <v>636</v>
      </c>
      <c r="G16" s="424">
        <v>483</v>
      </c>
      <c r="H16" s="424">
        <v>525</v>
      </c>
      <c r="I16" s="424">
        <v>566</v>
      </c>
      <c r="J16" s="424">
        <v>496</v>
      </c>
      <c r="K16" s="424">
        <v>546</v>
      </c>
      <c r="L16" s="403">
        <f t="shared" si="2"/>
        <v>75.824175824175825</v>
      </c>
      <c r="M16" s="403">
        <f t="shared" si="1"/>
        <v>82.159624413145536</v>
      </c>
      <c r="N16" s="403">
        <f t="shared" si="1"/>
        <v>84.857571214392806</v>
      </c>
      <c r="O16" s="403">
        <f t="shared" si="1"/>
        <v>85.517241379310349</v>
      </c>
      <c r="P16" s="403">
        <f t="shared" si="1"/>
        <v>85.84905660377359</v>
      </c>
    </row>
    <row r="17" spans="1:16">
      <c r="A17" s="511" t="s">
        <v>365</v>
      </c>
      <c r="B17" s="424">
        <v>30</v>
      </c>
      <c r="C17" s="424">
        <v>31</v>
      </c>
      <c r="D17" s="424">
        <v>30</v>
      </c>
      <c r="E17" s="424">
        <v>22</v>
      </c>
      <c r="F17" s="424">
        <v>35</v>
      </c>
      <c r="G17" s="424">
        <v>29</v>
      </c>
      <c r="H17" s="424">
        <v>24</v>
      </c>
      <c r="I17" s="424">
        <v>25</v>
      </c>
      <c r="J17" s="424">
        <v>21</v>
      </c>
      <c r="K17" s="424">
        <v>33</v>
      </c>
      <c r="L17" s="403">
        <f t="shared" si="2"/>
        <v>96.666666666666671</v>
      </c>
      <c r="M17" s="403">
        <f t="shared" si="1"/>
        <v>77.41935483870968</v>
      </c>
      <c r="N17" s="403">
        <f t="shared" si="1"/>
        <v>83.333333333333343</v>
      </c>
      <c r="O17" s="403">
        <f t="shared" si="1"/>
        <v>95.454545454545453</v>
      </c>
      <c r="P17" s="403">
        <f t="shared" si="1"/>
        <v>94.285714285714278</v>
      </c>
    </row>
    <row r="18" spans="1:16">
      <c r="A18" s="401" t="s">
        <v>381</v>
      </c>
    </row>
    <row r="19" spans="1:16">
      <c r="A19" s="401" t="s">
        <v>395</v>
      </c>
    </row>
  </sheetData>
  <sheetProtection password="B8D9" sheet="1" objects="1" scenarios="1"/>
  <mergeCells count="4">
    <mergeCell ref="A1:A2"/>
    <mergeCell ref="B1:F1"/>
    <mergeCell ref="G1:K1"/>
    <mergeCell ref="L1:P1"/>
  </mergeCells>
  <printOptions horizontalCentered="1"/>
  <pageMargins left="0" right="0" top="0.74803149606299213" bottom="0.74803149606299213" header="0.31496062992125984" footer="0.31496062992125984"/>
  <pageSetup paperSize="9" orientation="landscape" r:id="rId1"/>
  <headerFooter>
    <oddHeader>&amp;LChart 17c DATA
Trend in percentage of stroke patients receiving a brain scan within 24 hours of admission to hospital, by NHS Board, 2011 - 2015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76.xml><?xml version="1.0" encoding="utf-8"?>
<worksheet xmlns="http://schemas.openxmlformats.org/spreadsheetml/2006/main" xmlns:r="http://schemas.openxmlformats.org/officeDocument/2006/relationships">
  <sheetPr codeName="Sheet64">
    <pageSetUpPr fitToPage="1"/>
  </sheetPr>
  <dimension ref="A1:O33"/>
  <sheetViews>
    <sheetView workbookViewId="0"/>
  </sheetViews>
  <sheetFormatPr defaultRowHeight="15"/>
  <cols>
    <col min="1" max="1" width="1.7109375" customWidth="1"/>
  </cols>
  <sheetData>
    <row r="1" spans="1:15" s="414" customFormat="1" ht="12.75" customHeight="1">
      <c r="A1" s="1"/>
      <c r="B1" s="798" t="s">
        <v>716</v>
      </c>
      <c r="C1" s="798"/>
      <c r="D1" s="798"/>
      <c r="E1" s="798"/>
      <c r="F1" s="798"/>
      <c r="G1" s="798"/>
      <c r="H1" s="798"/>
      <c r="I1" s="798"/>
      <c r="J1" s="798"/>
      <c r="K1" s="798"/>
      <c r="L1" s="798"/>
      <c r="M1" s="798"/>
      <c r="N1" s="798"/>
      <c r="O1" s="802" t="s">
        <v>48</v>
      </c>
    </row>
    <row r="2" spans="1:15" s="414" customFormat="1" ht="12.75">
      <c r="B2" s="798"/>
      <c r="C2" s="798"/>
      <c r="D2" s="798"/>
      <c r="E2" s="798"/>
      <c r="F2" s="798"/>
      <c r="G2" s="798"/>
      <c r="H2" s="798"/>
      <c r="I2" s="798"/>
      <c r="J2" s="798"/>
      <c r="K2" s="798"/>
      <c r="L2" s="798"/>
      <c r="M2" s="798"/>
      <c r="N2" s="798"/>
      <c r="O2" s="802"/>
    </row>
    <row r="3" spans="1:15" s="414" customFormat="1" ht="12.75">
      <c r="B3" s="798"/>
      <c r="C3" s="798"/>
      <c r="D3" s="798"/>
      <c r="E3" s="798"/>
      <c r="F3" s="798"/>
      <c r="G3" s="798"/>
      <c r="H3" s="798"/>
      <c r="I3" s="798"/>
      <c r="J3" s="798"/>
      <c r="K3" s="798"/>
      <c r="L3" s="798"/>
      <c r="M3" s="798"/>
      <c r="N3" s="798"/>
      <c r="O3" s="802"/>
    </row>
    <row r="4" spans="1:15" s="114" customFormat="1" ht="12.75" customHeight="1">
      <c r="B4" s="285" t="s">
        <v>382</v>
      </c>
      <c r="C4" s="285"/>
      <c r="D4" s="285"/>
      <c r="E4" s="285"/>
      <c r="F4" s="285"/>
      <c r="G4" s="285"/>
      <c r="H4" s="285"/>
      <c r="I4" s="285"/>
      <c r="J4" s="285"/>
      <c r="K4" s="285"/>
      <c r="L4" s="285"/>
      <c r="M4" s="285"/>
      <c r="N4" s="285"/>
      <c r="O4" s="802"/>
    </row>
    <row r="5" spans="1:15" s="414" customFormat="1" ht="12.75" customHeight="1">
      <c r="B5" s="406" t="s">
        <v>384</v>
      </c>
      <c r="C5" s="284"/>
      <c r="D5" s="284"/>
      <c r="E5" s="284"/>
      <c r="F5" s="284"/>
      <c r="G5" s="284"/>
      <c r="H5" s="284"/>
      <c r="I5" s="284"/>
      <c r="J5" s="284"/>
      <c r="K5" s="284"/>
      <c r="L5" s="284"/>
      <c r="M5" s="284"/>
      <c r="N5" s="294"/>
      <c r="O5" s="413"/>
    </row>
    <row r="6" spans="1:15" s="414" customFormat="1" ht="12.75">
      <c r="B6" s="406" t="s">
        <v>383</v>
      </c>
      <c r="C6" s="284"/>
      <c r="D6" s="284"/>
      <c r="E6" s="284"/>
      <c r="F6" s="284"/>
      <c r="G6" s="284"/>
      <c r="H6" s="284"/>
      <c r="I6" s="284"/>
      <c r="J6" s="284"/>
      <c r="K6" s="284"/>
      <c r="L6" s="284"/>
      <c r="M6" s="284"/>
      <c r="N6" s="921" t="s">
        <v>721</v>
      </c>
      <c r="O6" s="921"/>
    </row>
    <row r="32" spans="2:2">
      <c r="B32" s="32" t="s">
        <v>717</v>
      </c>
    </row>
    <row r="33" spans="2:4">
      <c r="B33" s="444" t="s">
        <v>420</v>
      </c>
      <c r="D33" s="445" t="s">
        <v>214</v>
      </c>
    </row>
  </sheetData>
  <sheetProtection password="B8D9" sheet="1" objects="1" scenarios="1"/>
  <mergeCells count="3">
    <mergeCell ref="B1:N3"/>
    <mergeCell ref="O1:O4"/>
    <mergeCell ref="N6:O6"/>
  </mergeCells>
  <hyperlinks>
    <hyperlink ref="O1" location="'List of Tables &amp; Charts'!A1" display="return to List of Tables &amp; Charts"/>
    <hyperlink ref="D33" location="'Chart 2d'!A1" display="Chart 2d"/>
    <hyperlink ref="N6:O6" location="'Chart 17d DATA'!A1" display="view Chart 17d data"/>
  </hyperlinks>
  <pageMargins left="0.70866141732283472" right="0.70866141732283472" top="0.74803149606299213" bottom="0.74803149606299213" header="0.31496062992125984" footer="0.31496062992125984"/>
  <pageSetup paperSize="9" scale="94"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7.xml><?xml version="1.0" encoding="utf-8"?>
<worksheet xmlns="http://schemas.openxmlformats.org/spreadsheetml/2006/main" xmlns:r="http://schemas.openxmlformats.org/officeDocument/2006/relationships">
  <sheetPr codeName="Sheet65">
    <pageSetUpPr fitToPage="1"/>
  </sheetPr>
  <dimension ref="A1:P19"/>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990" t="s">
        <v>400</v>
      </c>
      <c r="C1" s="990"/>
      <c r="D1" s="990"/>
      <c r="E1" s="990"/>
      <c r="F1" s="990"/>
      <c r="G1" s="990" t="s">
        <v>401</v>
      </c>
      <c r="H1" s="990"/>
      <c r="I1" s="990"/>
      <c r="J1" s="990"/>
      <c r="K1" s="990"/>
      <c r="L1" s="990" t="s">
        <v>402</v>
      </c>
      <c r="M1" s="990"/>
      <c r="N1" s="990"/>
      <c r="O1" s="990"/>
      <c r="P1" s="991"/>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4">
        <v>2014</v>
      </c>
      <c r="P2" s="405">
        <v>2015</v>
      </c>
    </row>
    <row r="3" spans="1:16">
      <c r="A3" s="511" t="s">
        <v>366</v>
      </c>
      <c r="B3" s="424">
        <f>SUM(B4:B17)</f>
        <v>6130</v>
      </c>
      <c r="C3" s="424">
        <f t="shared" ref="C3:K3" si="0">SUM(C4:C17)</f>
        <v>5806</v>
      </c>
      <c r="D3" s="424">
        <f t="shared" si="0"/>
        <v>6023</v>
      </c>
      <c r="E3" s="424">
        <f t="shared" si="0"/>
        <v>5948</v>
      </c>
      <c r="F3" s="424">
        <f t="shared" si="0"/>
        <v>6024</v>
      </c>
      <c r="G3" s="424">
        <f t="shared" si="0"/>
        <v>4499</v>
      </c>
      <c r="H3" s="424">
        <f t="shared" si="0"/>
        <v>4498</v>
      </c>
      <c r="I3" s="424">
        <f t="shared" si="0"/>
        <v>5157</v>
      </c>
      <c r="J3" s="424">
        <f t="shared" si="0"/>
        <v>5229</v>
      </c>
      <c r="K3" s="424">
        <f t="shared" si="0"/>
        <v>5419</v>
      </c>
      <c r="L3" s="403">
        <f>G3/B3*100</f>
        <v>73.393148450244695</v>
      </c>
      <c r="M3" s="403">
        <f t="shared" ref="M3:P17" si="1">H3/C3*100</f>
        <v>77.471581122976232</v>
      </c>
      <c r="N3" s="403">
        <f t="shared" si="1"/>
        <v>85.621783164535941</v>
      </c>
      <c r="O3" s="403">
        <f t="shared" si="1"/>
        <v>87.911903160726297</v>
      </c>
      <c r="P3" s="403">
        <f t="shared" si="1"/>
        <v>89.956839309428943</v>
      </c>
    </row>
    <row r="4" spans="1:16">
      <c r="A4" s="511" t="s">
        <v>367</v>
      </c>
      <c r="B4" s="424">
        <v>496</v>
      </c>
      <c r="C4" s="424">
        <v>486</v>
      </c>
      <c r="D4" s="424">
        <v>468</v>
      </c>
      <c r="E4" s="424">
        <v>456</v>
      </c>
      <c r="F4" s="424">
        <v>456</v>
      </c>
      <c r="G4" s="424">
        <v>347</v>
      </c>
      <c r="H4" s="424">
        <v>345</v>
      </c>
      <c r="I4" s="424">
        <v>353</v>
      </c>
      <c r="J4" s="424">
        <v>371</v>
      </c>
      <c r="K4" s="424">
        <v>384</v>
      </c>
      <c r="L4" s="403">
        <f t="shared" ref="L4:L17" si="2">G4/B4*100</f>
        <v>69.959677419354833</v>
      </c>
      <c r="M4" s="403">
        <f t="shared" si="1"/>
        <v>70.987654320987659</v>
      </c>
      <c r="N4" s="403">
        <f t="shared" si="1"/>
        <v>75.427350427350433</v>
      </c>
      <c r="O4" s="403">
        <f t="shared" si="1"/>
        <v>81.359649122807014</v>
      </c>
      <c r="P4" s="403">
        <f t="shared" si="1"/>
        <v>84.210526315789465</v>
      </c>
    </row>
    <row r="5" spans="1:16">
      <c r="A5" s="511" t="s">
        <v>368</v>
      </c>
      <c r="B5" s="424">
        <v>186</v>
      </c>
      <c r="C5" s="424">
        <v>162</v>
      </c>
      <c r="D5" s="424">
        <v>160</v>
      </c>
      <c r="E5" s="424">
        <v>145</v>
      </c>
      <c r="F5" s="424">
        <v>142</v>
      </c>
      <c r="G5" s="424">
        <v>148</v>
      </c>
      <c r="H5" s="424">
        <v>135</v>
      </c>
      <c r="I5" s="424">
        <v>146</v>
      </c>
      <c r="J5" s="424">
        <v>139</v>
      </c>
      <c r="K5" s="424">
        <v>139</v>
      </c>
      <c r="L5" s="403">
        <f t="shared" si="2"/>
        <v>79.569892473118273</v>
      </c>
      <c r="M5" s="403">
        <f t="shared" si="1"/>
        <v>83.333333333333343</v>
      </c>
      <c r="N5" s="403">
        <f t="shared" si="1"/>
        <v>91.25</v>
      </c>
      <c r="O5" s="403">
        <f t="shared" si="1"/>
        <v>95.862068965517238</v>
      </c>
      <c r="P5" s="403">
        <f t="shared" si="1"/>
        <v>97.887323943661968</v>
      </c>
    </row>
    <row r="6" spans="1:16">
      <c r="A6" s="511" t="s">
        <v>369</v>
      </c>
      <c r="B6" s="424">
        <v>189</v>
      </c>
      <c r="C6" s="424">
        <v>209</v>
      </c>
      <c r="D6" s="424">
        <v>179</v>
      </c>
      <c r="E6" s="424">
        <v>160</v>
      </c>
      <c r="F6" s="424">
        <v>171</v>
      </c>
      <c r="G6" s="424">
        <v>140</v>
      </c>
      <c r="H6" s="424">
        <v>153</v>
      </c>
      <c r="I6" s="424">
        <v>162</v>
      </c>
      <c r="J6" s="424">
        <v>149</v>
      </c>
      <c r="K6" s="424">
        <v>159</v>
      </c>
      <c r="L6" s="403">
        <f t="shared" si="2"/>
        <v>74.074074074074076</v>
      </c>
      <c r="M6" s="403">
        <f t="shared" si="1"/>
        <v>73.205741626794264</v>
      </c>
      <c r="N6" s="403">
        <f t="shared" si="1"/>
        <v>90.502793296089393</v>
      </c>
      <c r="O6" s="403">
        <f t="shared" si="1"/>
        <v>93.125</v>
      </c>
      <c r="P6" s="403">
        <f t="shared" si="1"/>
        <v>92.982456140350877</v>
      </c>
    </row>
    <row r="7" spans="1:16">
      <c r="A7" s="511" t="s">
        <v>370</v>
      </c>
      <c r="B7" s="424">
        <v>449</v>
      </c>
      <c r="C7" s="424">
        <v>425</v>
      </c>
      <c r="D7" s="424">
        <v>464</v>
      </c>
      <c r="E7" s="424">
        <v>472</v>
      </c>
      <c r="F7" s="424">
        <v>449</v>
      </c>
      <c r="G7" s="424">
        <v>342</v>
      </c>
      <c r="H7" s="424">
        <v>337</v>
      </c>
      <c r="I7" s="424">
        <v>412</v>
      </c>
      <c r="J7" s="424">
        <v>423</v>
      </c>
      <c r="K7" s="424">
        <v>424</v>
      </c>
      <c r="L7" s="403">
        <f t="shared" si="2"/>
        <v>76.169265033407569</v>
      </c>
      <c r="M7" s="403">
        <f t="shared" si="1"/>
        <v>79.294117647058826</v>
      </c>
      <c r="N7" s="403">
        <f t="shared" si="1"/>
        <v>88.793103448275872</v>
      </c>
      <c r="O7" s="403">
        <f t="shared" si="1"/>
        <v>89.618644067796609</v>
      </c>
      <c r="P7" s="403">
        <f t="shared" si="1"/>
        <v>94.43207126948775</v>
      </c>
    </row>
    <row r="8" spans="1:16">
      <c r="A8" s="511" t="s">
        <v>371</v>
      </c>
      <c r="B8" s="424">
        <v>422</v>
      </c>
      <c r="C8" s="424">
        <v>374</v>
      </c>
      <c r="D8" s="424">
        <v>356</v>
      </c>
      <c r="E8" s="424">
        <v>377</v>
      </c>
      <c r="F8" s="424">
        <v>408</v>
      </c>
      <c r="G8" s="424">
        <v>358</v>
      </c>
      <c r="H8" s="424">
        <v>326</v>
      </c>
      <c r="I8" s="424">
        <v>326</v>
      </c>
      <c r="J8" s="424">
        <v>353</v>
      </c>
      <c r="K8" s="424">
        <v>380</v>
      </c>
      <c r="L8" s="403">
        <f t="shared" si="2"/>
        <v>84.834123222748815</v>
      </c>
      <c r="M8" s="403">
        <f t="shared" si="1"/>
        <v>87.165775401069524</v>
      </c>
      <c r="N8" s="403">
        <f t="shared" si="1"/>
        <v>91.573033707865164</v>
      </c>
      <c r="O8" s="403">
        <f t="shared" si="1"/>
        <v>93.633952254641912</v>
      </c>
      <c r="P8" s="403">
        <f t="shared" si="1"/>
        <v>93.137254901960787</v>
      </c>
    </row>
    <row r="9" spans="1:16">
      <c r="A9" s="511" t="s">
        <v>372</v>
      </c>
      <c r="B9" s="424">
        <v>419</v>
      </c>
      <c r="C9" s="424">
        <v>409</v>
      </c>
      <c r="D9" s="424">
        <v>450</v>
      </c>
      <c r="E9" s="424">
        <v>433</v>
      </c>
      <c r="F9" s="424">
        <v>461</v>
      </c>
      <c r="G9" s="424">
        <v>326</v>
      </c>
      <c r="H9" s="424">
        <v>350</v>
      </c>
      <c r="I9" s="424">
        <v>405</v>
      </c>
      <c r="J9" s="424">
        <v>385</v>
      </c>
      <c r="K9" s="424">
        <v>412</v>
      </c>
      <c r="L9" s="403">
        <f t="shared" si="2"/>
        <v>77.804295942720771</v>
      </c>
      <c r="M9" s="403">
        <f t="shared" si="1"/>
        <v>85.574572127139362</v>
      </c>
      <c r="N9" s="403">
        <f t="shared" si="1"/>
        <v>90</v>
      </c>
      <c r="O9" s="403">
        <f t="shared" si="1"/>
        <v>88.914549653579684</v>
      </c>
      <c r="P9" s="403">
        <f t="shared" si="1"/>
        <v>89.370932754880698</v>
      </c>
    </row>
    <row r="10" spans="1:16">
      <c r="A10" s="511" t="s">
        <v>373</v>
      </c>
      <c r="B10" s="424">
        <v>1527</v>
      </c>
      <c r="C10" s="424">
        <v>1648</v>
      </c>
      <c r="D10" s="424">
        <v>1593</v>
      </c>
      <c r="E10" s="424">
        <v>1591</v>
      </c>
      <c r="F10" s="424">
        <v>1512</v>
      </c>
      <c r="G10" s="424">
        <v>925</v>
      </c>
      <c r="H10" s="424">
        <v>1084</v>
      </c>
      <c r="I10" s="424">
        <v>1252</v>
      </c>
      <c r="J10" s="424">
        <v>1334</v>
      </c>
      <c r="K10" s="424">
        <v>1345</v>
      </c>
      <c r="L10" s="403">
        <f t="shared" si="2"/>
        <v>60.576293385723645</v>
      </c>
      <c r="M10" s="403">
        <f t="shared" si="1"/>
        <v>65.77669902912622</v>
      </c>
      <c r="N10" s="403">
        <f t="shared" si="1"/>
        <v>78.593848085373509</v>
      </c>
      <c r="O10" s="403">
        <f t="shared" si="1"/>
        <v>83.846637335009433</v>
      </c>
      <c r="P10" s="403">
        <f t="shared" si="1"/>
        <v>88.955026455026456</v>
      </c>
    </row>
    <row r="11" spans="1:16">
      <c r="A11" s="511" t="s">
        <v>374</v>
      </c>
      <c r="B11" s="424">
        <v>353</v>
      </c>
      <c r="C11" s="424">
        <v>309</v>
      </c>
      <c r="D11" s="424">
        <v>312</v>
      </c>
      <c r="E11" s="424">
        <v>290</v>
      </c>
      <c r="F11" s="424">
        <v>305</v>
      </c>
      <c r="G11" s="424">
        <v>239</v>
      </c>
      <c r="H11" s="424">
        <v>235</v>
      </c>
      <c r="I11" s="424">
        <v>296</v>
      </c>
      <c r="J11" s="424">
        <v>252</v>
      </c>
      <c r="K11" s="424">
        <v>283</v>
      </c>
      <c r="L11" s="403">
        <f t="shared" si="2"/>
        <v>67.705382436260621</v>
      </c>
      <c r="M11" s="403">
        <f t="shared" si="1"/>
        <v>76.051779935275079</v>
      </c>
      <c r="N11" s="403">
        <f t="shared" si="1"/>
        <v>94.871794871794862</v>
      </c>
      <c r="O11" s="403">
        <f t="shared" si="1"/>
        <v>86.896551724137922</v>
      </c>
      <c r="P11" s="403">
        <f t="shared" si="1"/>
        <v>92.786885245901644</v>
      </c>
    </row>
    <row r="12" spans="1:16">
      <c r="A12" s="511" t="s">
        <v>375</v>
      </c>
      <c r="B12" s="424">
        <v>810</v>
      </c>
      <c r="C12" s="424">
        <v>637</v>
      </c>
      <c r="D12" s="424">
        <v>669</v>
      </c>
      <c r="E12" s="424">
        <v>719</v>
      </c>
      <c r="F12" s="424">
        <v>693</v>
      </c>
      <c r="G12" s="424">
        <v>661</v>
      </c>
      <c r="H12" s="424">
        <v>557</v>
      </c>
      <c r="I12" s="424">
        <v>618</v>
      </c>
      <c r="J12" s="424">
        <v>675</v>
      </c>
      <c r="K12" s="424">
        <v>628</v>
      </c>
      <c r="L12" s="403">
        <f t="shared" si="2"/>
        <v>81.604938271604937</v>
      </c>
      <c r="M12" s="403">
        <f t="shared" si="1"/>
        <v>87.441130298273151</v>
      </c>
      <c r="N12" s="403">
        <f t="shared" si="1"/>
        <v>92.376681614349778</v>
      </c>
      <c r="O12" s="403">
        <f t="shared" si="1"/>
        <v>93.880389429763554</v>
      </c>
      <c r="P12" s="403">
        <f t="shared" si="1"/>
        <v>90.620490620490628</v>
      </c>
    </row>
    <row r="13" spans="1:16">
      <c r="A13" s="511" t="s">
        <v>376</v>
      </c>
      <c r="B13" s="424">
        <v>783</v>
      </c>
      <c r="C13" s="424">
        <v>688</v>
      </c>
      <c r="D13" s="424">
        <v>883</v>
      </c>
      <c r="E13" s="424">
        <v>891</v>
      </c>
      <c r="F13" s="424">
        <v>956</v>
      </c>
      <c r="G13" s="424">
        <v>578</v>
      </c>
      <c r="H13" s="424">
        <v>555</v>
      </c>
      <c r="I13" s="424">
        <v>738</v>
      </c>
      <c r="J13" s="424">
        <v>771</v>
      </c>
      <c r="K13" s="424">
        <v>840</v>
      </c>
      <c r="L13" s="403">
        <f t="shared" si="2"/>
        <v>73.818646232439335</v>
      </c>
      <c r="M13" s="403">
        <f t="shared" si="1"/>
        <v>80.668604651162795</v>
      </c>
      <c r="N13" s="403">
        <f t="shared" si="1"/>
        <v>83.578708946772366</v>
      </c>
      <c r="O13" s="403">
        <f t="shared" si="1"/>
        <v>86.531986531986533</v>
      </c>
      <c r="P13" s="403">
        <f t="shared" si="1"/>
        <v>87.86610878661088</v>
      </c>
    </row>
    <row r="14" spans="1:16">
      <c r="A14" s="511" t="s">
        <v>399</v>
      </c>
      <c r="B14" s="424">
        <v>16</v>
      </c>
      <c r="C14" s="424">
        <v>14</v>
      </c>
      <c r="D14" s="424">
        <v>24</v>
      </c>
      <c r="E14" s="424">
        <v>22</v>
      </c>
      <c r="F14" s="424">
        <v>26</v>
      </c>
      <c r="G14" s="424">
        <v>15</v>
      </c>
      <c r="H14" s="424">
        <v>12</v>
      </c>
      <c r="I14" s="424">
        <v>20</v>
      </c>
      <c r="J14" s="424">
        <v>18</v>
      </c>
      <c r="K14" s="424">
        <v>21</v>
      </c>
      <c r="L14" s="403">
        <f t="shared" si="2"/>
        <v>93.75</v>
      </c>
      <c r="M14" s="403">
        <f t="shared" si="1"/>
        <v>85.714285714285708</v>
      </c>
      <c r="N14" s="403">
        <f t="shared" si="1"/>
        <v>83.333333333333343</v>
      </c>
      <c r="O14" s="403">
        <f t="shared" si="1"/>
        <v>81.818181818181827</v>
      </c>
      <c r="P14" s="403">
        <f t="shared" si="1"/>
        <v>80.769230769230774</v>
      </c>
    </row>
    <row r="15" spans="1:16">
      <c r="A15" s="511" t="s">
        <v>396</v>
      </c>
      <c r="B15" s="424">
        <v>30</v>
      </c>
      <c r="C15" s="424">
        <v>19</v>
      </c>
      <c r="D15" s="424">
        <v>22</v>
      </c>
      <c r="E15" s="424">
        <v>24</v>
      </c>
      <c r="F15" s="424">
        <v>27</v>
      </c>
      <c r="G15" s="424">
        <v>22</v>
      </c>
      <c r="H15" s="424">
        <v>18</v>
      </c>
      <c r="I15" s="424">
        <v>20</v>
      </c>
      <c r="J15" s="424">
        <v>21</v>
      </c>
      <c r="K15" s="424">
        <v>25</v>
      </c>
      <c r="L15" s="403">
        <f t="shared" si="2"/>
        <v>73.333333333333329</v>
      </c>
      <c r="M15" s="403">
        <f t="shared" si="1"/>
        <v>94.73684210526315</v>
      </c>
      <c r="N15" s="403">
        <f t="shared" si="1"/>
        <v>90.909090909090907</v>
      </c>
      <c r="O15" s="403">
        <f t="shared" si="1"/>
        <v>87.5</v>
      </c>
      <c r="P15" s="403">
        <f t="shared" si="1"/>
        <v>92.592592592592595</v>
      </c>
    </row>
    <row r="16" spans="1:16">
      <c r="A16" s="511" t="s">
        <v>595</v>
      </c>
      <c r="B16" s="424">
        <v>427</v>
      </c>
      <c r="C16" s="424">
        <v>414</v>
      </c>
      <c r="D16" s="424">
        <v>426</v>
      </c>
      <c r="E16" s="424">
        <v>359</v>
      </c>
      <c r="F16" s="424">
        <v>398</v>
      </c>
      <c r="G16" s="424">
        <v>381</v>
      </c>
      <c r="H16" s="424">
        <v>383</v>
      </c>
      <c r="I16" s="424">
        <v>396</v>
      </c>
      <c r="J16" s="424">
        <v>330</v>
      </c>
      <c r="K16" s="424">
        <v>360</v>
      </c>
      <c r="L16" s="403">
        <f t="shared" si="2"/>
        <v>89.227166276346608</v>
      </c>
      <c r="M16" s="403">
        <f t="shared" si="1"/>
        <v>92.512077294685994</v>
      </c>
      <c r="N16" s="403">
        <f t="shared" si="1"/>
        <v>92.957746478873233</v>
      </c>
      <c r="O16" s="403">
        <f t="shared" si="1"/>
        <v>91.922005571030638</v>
      </c>
      <c r="P16" s="403">
        <f t="shared" si="1"/>
        <v>90.452261306532662</v>
      </c>
    </row>
    <row r="17" spans="1:16">
      <c r="A17" s="511" t="s">
        <v>592</v>
      </c>
      <c r="B17" s="424">
        <v>23</v>
      </c>
      <c r="C17" s="424">
        <v>12</v>
      </c>
      <c r="D17" s="424">
        <v>17</v>
      </c>
      <c r="E17" s="424">
        <v>9</v>
      </c>
      <c r="F17" s="424">
        <v>20</v>
      </c>
      <c r="G17" s="424">
        <v>17</v>
      </c>
      <c r="H17" s="424">
        <v>8</v>
      </c>
      <c r="I17" s="424">
        <v>13</v>
      </c>
      <c r="J17" s="424">
        <v>8</v>
      </c>
      <c r="K17" s="424">
        <v>19</v>
      </c>
      <c r="L17" s="403">
        <f t="shared" si="2"/>
        <v>73.91304347826086</v>
      </c>
      <c r="M17" s="403">
        <f t="shared" si="1"/>
        <v>66.666666666666657</v>
      </c>
      <c r="N17" s="403">
        <f t="shared" si="1"/>
        <v>76.470588235294116</v>
      </c>
      <c r="O17" s="403">
        <f t="shared" si="1"/>
        <v>88.888888888888886</v>
      </c>
      <c r="P17" s="403">
        <f t="shared" si="1"/>
        <v>95</v>
      </c>
    </row>
    <row r="18" spans="1:16">
      <c r="A18" s="401" t="s">
        <v>381</v>
      </c>
    </row>
    <row r="19" spans="1:16">
      <c r="A19" s="401" t="s">
        <v>403</v>
      </c>
    </row>
  </sheetData>
  <sheetProtection password="B8D9" sheet="1" objects="1" scenarios="1"/>
  <mergeCells count="4">
    <mergeCell ref="A1:A2"/>
    <mergeCell ref="B1:F1"/>
    <mergeCell ref="G1:K1"/>
    <mergeCell ref="L1:P1"/>
  </mergeCells>
  <printOptions horizontalCentered="1"/>
  <pageMargins left="0" right="0" top="0.74803149606299213" bottom="0.74803149606299213" header="0.31496062992125984" footer="0.31496062992125984"/>
  <pageSetup paperSize="9" orientation="landscape" r:id="rId1"/>
  <headerFooter>
    <oddHeader>&amp;LChart 17d DATA
Trend in percentage of stroke patients receiving aspirin within 1 day of admission to hospital, by NHS Board, 2011 - 2015 data (based on final diagnosis).</oddHeader>
    <oddFooter>&amp;L&amp;8Scottish Stroke Care Audit 2016 National Report
Stroke Services in Scottish Hospitals, Data relating to 2015&amp;R&amp;8© NHS National Services Scotland/Crown Copyright</oddFooter>
  </headerFooter>
</worksheet>
</file>

<file path=xl/worksheets/sheet78.xml><?xml version="1.0" encoding="utf-8"?>
<worksheet xmlns="http://schemas.openxmlformats.org/spreadsheetml/2006/main" xmlns:r="http://schemas.openxmlformats.org/officeDocument/2006/relationships">
  <sheetPr codeName="Sheet66">
    <pageSetUpPr fitToPage="1"/>
  </sheetPr>
  <dimension ref="A1:O37"/>
  <sheetViews>
    <sheetView workbookViewId="0"/>
  </sheetViews>
  <sheetFormatPr defaultRowHeight="15"/>
  <cols>
    <col min="1" max="1" width="1.7109375" customWidth="1"/>
  </cols>
  <sheetData>
    <row r="1" spans="1:15" s="426" customFormat="1" ht="12.75" customHeight="1">
      <c r="A1" s="1"/>
      <c r="B1" s="798" t="s">
        <v>718</v>
      </c>
      <c r="C1" s="798"/>
      <c r="D1" s="798"/>
      <c r="E1" s="798"/>
      <c r="F1" s="798"/>
      <c r="G1" s="798"/>
      <c r="H1" s="798"/>
      <c r="I1" s="798"/>
      <c r="J1" s="798"/>
      <c r="K1" s="798"/>
      <c r="L1" s="798"/>
      <c r="M1" s="798"/>
      <c r="N1" s="802" t="s">
        <v>48</v>
      </c>
      <c r="O1" s="802"/>
    </row>
    <row r="2" spans="1:15" s="426" customFormat="1" ht="12.75">
      <c r="B2" s="798"/>
      <c r="C2" s="798"/>
      <c r="D2" s="798"/>
      <c r="E2" s="798"/>
      <c r="F2" s="798"/>
      <c r="G2" s="798"/>
      <c r="H2" s="798"/>
      <c r="I2" s="798"/>
      <c r="J2" s="798"/>
      <c r="K2" s="798"/>
      <c r="L2" s="798"/>
      <c r="M2" s="798"/>
      <c r="N2" s="802"/>
      <c r="O2" s="802"/>
    </row>
    <row r="3" spans="1:15" s="426" customFormat="1" ht="12.75">
      <c r="B3" s="798"/>
      <c r="C3" s="798"/>
      <c r="D3" s="798"/>
      <c r="E3" s="798"/>
      <c r="F3" s="798"/>
      <c r="G3" s="798"/>
      <c r="H3" s="798"/>
      <c r="I3" s="798"/>
      <c r="J3" s="798"/>
      <c r="K3" s="798"/>
      <c r="L3" s="798"/>
      <c r="M3" s="798"/>
      <c r="N3" s="802"/>
      <c r="O3" s="802"/>
    </row>
    <row r="4" spans="1:15" ht="30" customHeight="1">
      <c r="B4" s="992" t="s">
        <v>618</v>
      </c>
      <c r="C4" s="992"/>
      <c r="D4" s="992"/>
      <c r="E4" s="992"/>
      <c r="F4" s="992"/>
      <c r="G4" s="992"/>
      <c r="H4" s="992"/>
      <c r="I4" s="992"/>
      <c r="J4" s="992"/>
      <c r="K4" s="992"/>
      <c r="L4" s="992"/>
      <c r="M4" s="992"/>
      <c r="N4" s="921" t="s">
        <v>722</v>
      </c>
      <c r="O4" s="921"/>
    </row>
    <row r="29" spans="2:5">
      <c r="B29" s="32" t="s">
        <v>745</v>
      </c>
    </row>
    <row r="30" spans="2:5">
      <c r="B30" s="444" t="s">
        <v>416</v>
      </c>
      <c r="D30" s="445" t="s">
        <v>209</v>
      </c>
      <c r="E30" s="396" t="s">
        <v>637</v>
      </c>
    </row>
    <row r="31" spans="2:5">
      <c r="B31" s="444" t="s">
        <v>417</v>
      </c>
      <c r="D31" s="445" t="s">
        <v>211</v>
      </c>
      <c r="E31" s="396" t="s">
        <v>429</v>
      </c>
    </row>
    <row r="32" spans="2:5">
      <c r="B32" s="444" t="s">
        <v>418</v>
      </c>
      <c r="D32" s="445" t="s">
        <v>212</v>
      </c>
      <c r="E32" s="396" t="s">
        <v>429</v>
      </c>
    </row>
    <row r="33" spans="2:5">
      <c r="B33" s="444" t="s">
        <v>419</v>
      </c>
      <c r="D33" s="445" t="s">
        <v>213</v>
      </c>
      <c r="E33" s="396" t="s">
        <v>429</v>
      </c>
    </row>
    <row r="34" spans="2:5">
      <c r="B34" s="444" t="s">
        <v>420</v>
      </c>
      <c r="D34" s="445" t="s">
        <v>214</v>
      </c>
      <c r="E34" s="396" t="s">
        <v>430</v>
      </c>
    </row>
    <row r="35" spans="2:5">
      <c r="B35" s="32" t="s">
        <v>431</v>
      </c>
    </row>
    <row r="36" spans="2:5">
      <c r="B36" s="32" t="s">
        <v>426</v>
      </c>
    </row>
    <row r="37" spans="2:5">
      <c r="B37" s="32" t="s">
        <v>746</v>
      </c>
    </row>
  </sheetData>
  <sheetProtection password="B8D9" sheet="1" objects="1" scenarios="1"/>
  <mergeCells count="4">
    <mergeCell ref="B1:M3"/>
    <mergeCell ref="N1:O3"/>
    <mergeCell ref="B4:M4"/>
    <mergeCell ref="N4:O4"/>
  </mergeCells>
  <hyperlinks>
    <hyperlink ref="N1" location="'List of Tables &amp; Charts'!A1" display="return to List of Tables &amp; Charts"/>
    <hyperlink ref="D30" location="'Chart 1a (final diagnosis)'!A1" display="Chart 1b"/>
    <hyperlink ref="D31:D34" location="'Chart 1b'!A1" display="Chart 1b"/>
    <hyperlink ref="D31" location="'Chart 2a'!A1" display="Chart 2a"/>
    <hyperlink ref="D32" location="'Chart 2b'!A1" display="Chart 2b"/>
    <hyperlink ref="D33" location="'Chart 2c'!A1" display="Chart 2c"/>
    <hyperlink ref="D34" location="'Chart 2d'!A1" display="Chart 2d"/>
    <hyperlink ref="N4:O4" location="'Chart 17e DATA'!A1" display="view Chart 17e data"/>
  </hyperlinks>
  <pageMargins left="0.70866141732283472" right="0.70866141732283472" top="0.74803149606299213" bottom="0.74803149606299213" header="0.31496062992125984" footer="0.31496062992125984"/>
  <pageSetup paperSize="9" scale="88" orientation="landscape" r:id="rId1"/>
  <headerFooter>
    <oddFooter>&amp;L&amp;8Scottish Stroke Care Audit 2016 National Report
Stroke Services in Scottish Hospitals, Data relating to 2015&amp;R&amp;8© NHS National Services Scotland/Crown Copyright</oddFooter>
  </headerFooter>
  <drawing r:id="rId2"/>
</worksheet>
</file>

<file path=xl/worksheets/sheet79.xml><?xml version="1.0" encoding="utf-8"?>
<worksheet xmlns="http://schemas.openxmlformats.org/spreadsheetml/2006/main" xmlns:r="http://schemas.openxmlformats.org/officeDocument/2006/relationships">
  <sheetPr codeName="Sheet67">
    <pageSetUpPr fitToPage="1"/>
  </sheetPr>
  <dimension ref="A1:P7"/>
  <sheetViews>
    <sheetView workbookViewId="0">
      <selection sqref="A1:A2"/>
    </sheetView>
  </sheetViews>
  <sheetFormatPr defaultRowHeight="11.25"/>
  <cols>
    <col min="1" max="1" width="22.42578125" style="401" bestFit="1" customWidth="1"/>
    <col min="2" max="16" width="7.7109375" style="401" customWidth="1"/>
    <col min="17" max="16384" width="9.140625" style="401"/>
  </cols>
  <sheetData>
    <row r="1" spans="1:16" ht="15" customHeight="1">
      <c r="A1" s="804" t="s">
        <v>19</v>
      </c>
      <c r="B1" s="990" t="s">
        <v>409</v>
      </c>
      <c r="C1" s="990"/>
      <c r="D1" s="990"/>
      <c r="E1" s="990"/>
      <c r="F1" s="990"/>
      <c r="G1" s="990" t="s">
        <v>408</v>
      </c>
      <c r="H1" s="990"/>
      <c r="I1" s="990"/>
      <c r="J1" s="990"/>
      <c r="K1" s="990"/>
      <c r="L1" s="990" t="s">
        <v>410</v>
      </c>
      <c r="M1" s="990"/>
      <c r="N1" s="990"/>
      <c r="O1" s="990"/>
      <c r="P1" s="991"/>
    </row>
    <row r="2" spans="1:16">
      <c r="A2" s="805"/>
      <c r="B2" s="404">
        <v>2011</v>
      </c>
      <c r="C2" s="404">
        <v>2012</v>
      </c>
      <c r="D2" s="404">
        <v>2013</v>
      </c>
      <c r="E2" s="404">
        <v>2014</v>
      </c>
      <c r="F2" s="404">
        <v>2015</v>
      </c>
      <c r="G2" s="404">
        <v>2011</v>
      </c>
      <c r="H2" s="404">
        <v>2012</v>
      </c>
      <c r="I2" s="404">
        <v>2013</v>
      </c>
      <c r="J2" s="404">
        <v>2014</v>
      </c>
      <c r="K2" s="404">
        <v>2015</v>
      </c>
      <c r="L2" s="404">
        <v>2011</v>
      </c>
      <c r="M2" s="404">
        <v>2012</v>
      </c>
      <c r="N2" s="404">
        <v>2013</v>
      </c>
      <c r="O2" s="404">
        <v>2014</v>
      </c>
      <c r="P2" s="405">
        <v>2015</v>
      </c>
    </row>
    <row r="3" spans="1:16">
      <c r="A3" s="402" t="s">
        <v>636</v>
      </c>
      <c r="B3" s="424">
        <f>'Chart 1a DATA (final diagnosis)'!B3</f>
        <v>8233</v>
      </c>
      <c r="C3" s="424">
        <f>'Chart 1a DATA (final diagnosis)'!C3</f>
        <v>7976</v>
      </c>
      <c r="D3" s="424">
        <f>'Chart 1a DATA (final diagnosis)'!D3</f>
        <v>8755</v>
      </c>
      <c r="E3" s="424">
        <f>'Chart 1a DATA (final diagnosis)'!E3</f>
        <v>8737</v>
      </c>
      <c r="F3" s="424">
        <f>'Chart 1a DATA (final diagnosis)'!F3</f>
        <v>9026</v>
      </c>
      <c r="G3" s="424">
        <f>'Chart 1a DATA (final diagnosis)'!G3</f>
        <v>3530</v>
      </c>
      <c r="H3" s="424">
        <f>'Chart 1a DATA (final diagnosis)'!H3</f>
        <v>3904</v>
      </c>
      <c r="I3" s="424">
        <f>'Chart 1a DATA (final diagnosis)'!I3</f>
        <v>5020</v>
      </c>
      <c r="J3" s="424">
        <f>'Chart 1a DATA (final diagnosis)'!J3</f>
        <v>5410</v>
      </c>
      <c r="K3" s="424">
        <f>'Chart 1a DATA (final diagnosis)'!K3</f>
        <v>5753</v>
      </c>
      <c r="L3" s="403">
        <f>G3/B3*100</f>
        <v>42.876229806874768</v>
      </c>
      <c r="M3" s="403">
        <f t="shared" ref="M3:P7" si="0">H3/C3*100</f>
        <v>48.946840521564695</v>
      </c>
      <c r="N3" s="403">
        <f t="shared" si="0"/>
        <v>57.338663620788125</v>
      </c>
      <c r="O3" s="403">
        <f t="shared" si="0"/>
        <v>61.920567700583732</v>
      </c>
      <c r="P3" s="403">
        <f t="shared" si="0"/>
        <v>63.738089962331046</v>
      </c>
    </row>
    <row r="4" spans="1:16">
      <c r="A4" s="402" t="s">
        <v>422</v>
      </c>
      <c r="B4" s="424">
        <f>'Chart 17a DATA'!B3</f>
        <v>6933</v>
      </c>
      <c r="C4" s="424">
        <f>'Chart 17a DATA'!C3</f>
        <v>6952</v>
      </c>
      <c r="D4" s="424">
        <f>'Chart 17a DATA'!D3</f>
        <v>7487</v>
      </c>
      <c r="E4" s="424">
        <f>'Chart 17a DATA'!E3</f>
        <v>7421</v>
      </c>
      <c r="F4" s="424">
        <f>'Chart 17a DATA'!F3</f>
        <v>7695</v>
      </c>
      <c r="G4" s="424">
        <f>'Chart 17a DATA'!G3</f>
        <v>5253</v>
      </c>
      <c r="H4" s="424">
        <f>'Chart 17a DATA'!H3</f>
        <v>5436</v>
      </c>
      <c r="I4" s="424">
        <f>'Chart 17a DATA'!I3</f>
        <v>6085</v>
      </c>
      <c r="J4" s="424">
        <f>'Chart 17a DATA'!J3</f>
        <v>5906</v>
      </c>
      <c r="K4" s="424">
        <f>'Chart 17a DATA'!K3</f>
        <v>6030</v>
      </c>
      <c r="L4" s="403">
        <f t="shared" ref="L4:L7" si="1">G4/B4*100</f>
        <v>75.768065772392902</v>
      </c>
      <c r="M4" s="403">
        <f t="shared" si="0"/>
        <v>78.193325661680092</v>
      </c>
      <c r="N4" s="403">
        <f t="shared" si="0"/>
        <v>81.274208628289031</v>
      </c>
      <c r="O4" s="403">
        <f t="shared" si="0"/>
        <v>79.584961595472308</v>
      </c>
      <c r="P4" s="403">
        <f t="shared" si="0"/>
        <v>78.362573099415201</v>
      </c>
    </row>
    <row r="5" spans="1:16">
      <c r="A5" s="402" t="s">
        <v>423</v>
      </c>
      <c r="B5" s="424">
        <f>'Chart 17b DATA'!B3</f>
        <v>8233</v>
      </c>
      <c r="C5" s="424">
        <f>'Chart 17b DATA'!C3</f>
        <v>7976</v>
      </c>
      <c r="D5" s="424">
        <f>'Chart 17b DATA'!D3</f>
        <v>8755</v>
      </c>
      <c r="E5" s="424">
        <f>'Chart 17b DATA'!E3</f>
        <v>8737</v>
      </c>
      <c r="F5" s="424">
        <f>'Chart 17b DATA'!F3</f>
        <v>9026</v>
      </c>
      <c r="G5" s="424">
        <f>'Chart 17b DATA'!G3</f>
        <v>5354</v>
      </c>
      <c r="H5" s="424">
        <f>'Chart 17b DATA'!H3</f>
        <v>5375</v>
      </c>
      <c r="I5" s="424">
        <f>'Chart 17b DATA'!I3</f>
        <v>6302</v>
      </c>
      <c r="J5" s="424">
        <f>'Chart 17b DATA'!J3</f>
        <v>6724</v>
      </c>
      <c r="K5" s="424">
        <f>'Chart 17b DATA'!K3</f>
        <v>7210</v>
      </c>
      <c r="L5" s="403">
        <f t="shared" si="1"/>
        <v>65.030972913883161</v>
      </c>
      <c r="M5" s="403">
        <f t="shared" si="0"/>
        <v>67.389669007021055</v>
      </c>
      <c r="N5" s="403">
        <f t="shared" si="0"/>
        <v>71.981724728726434</v>
      </c>
      <c r="O5" s="403">
        <f t="shared" si="0"/>
        <v>76.960054938766163</v>
      </c>
      <c r="P5" s="403">
        <f t="shared" si="0"/>
        <v>79.880345668070021</v>
      </c>
    </row>
    <row r="6" spans="1:16">
      <c r="A6" s="402" t="s">
        <v>424</v>
      </c>
      <c r="B6" s="424">
        <f>'Chart 17c DATA'!B3</f>
        <v>8233</v>
      </c>
      <c r="C6" s="424">
        <f>'Chart 17c DATA'!C3</f>
        <v>7976</v>
      </c>
      <c r="D6" s="424">
        <f>'Chart 17c DATA'!D3</f>
        <v>8755</v>
      </c>
      <c r="E6" s="424">
        <f>'Chart 17c DATA'!E3</f>
        <v>8737</v>
      </c>
      <c r="F6" s="424">
        <f>'Chart 17c DATA'!F3</f>
        <v>9026</v>
      </c>
      <c r="G6" s="424">
        <f>'Chart 17c DATA'!G3</f>
        <v>6532</v>
      </c>
      <c r="H6" s="424">
        <f>'Chart 17c DATA'!H3</f>
        <v>6608</v>
      </c>
      <c r="I6" s="424">
        <f>'Chart 17c DATA'!I3</f>
        <v>7647</v>
      </c>
      <c r="J6" s="424">
        <f>'Chart 17c DATA'!J3</f>
        <v>7838</v>
      </c>
      <c r="K6" s="424">
        <f>'Chart 17c DATA'!K3</f>
        <v>8255</v>
      </c>
      <c r="L6" s="403">
        <f t="shared" si="1"/>
        <v>79.339244503826066</v>
      </c>
      <c r="M6" s="403">
        <f t="shared" si="0"/>
        <v>82.848545636910728</v>
      </c>
      <c r="N6" s="403">
        <f t="shared" si="0"/>
        <v>87.344374643061101</v>
      </c>
      <c r="O6" s="403">
        <f t="shared" si="0"/>
        <v>89.710426919995427</v>
      </c>
      <c r="P6" s="403">
        <f t="shared" si="0"/>
        <v>91.458010192776428</v>
      </c>
    </row>
    <row r="7" spans="1:16">
      <c r="A7" s="402" t="s">
        <v>425</v>
      </c>
      <c r="B7" s="424">
        <f>'Chart 17d DATA'!B3</f>
        <v>6130</v>
      </c>
      <c r="C7" s="424">
        <f>'Chart 17d DATA'!C3</f>
        <v>5806</v>
      </c>
      <c r="D7" s="424">
        <f>'Chart 17d DATA'!D3</f>
        <v>6023</v>
      </c>
      <c r="E7" s="424">
        <f>'Chart 17d DATA'!E3</f>
        <v>5948</v>
      </c>
      <c r="F7" s="424">
        <f>'Chart 17d DATA'!F3</f>
        <v>6024</v>
      </c>
      <c r="G7" s="424">
        <f>'Chart 17d DATA'!G3</f>
        <v>4499</v>
      </c>
      <c r="H7" s="424">
        <f>'Chart 17d DATA'!H3</f>
        <v>4498</v>
      </c>
      <c r="I7" s="424">
        <f>'Chart 17d DATA'!I3</f>
        <v>5157</v>
      </c>
      <c r="J7" s="424">
        <f>'Chart 17d DATA'!J3</f>
        <v>5229</v>
      </c>
      <c r="K7" s="424">
        <f>'Chart 17d DATA'!K3</f>
        <v>5419</v>
      </c>
      <c r="L7" s="403">
        <f t="shared" si="1"/>
        <v>73.393148450244695</v>
      </c>
      <c r="M7" s="403">
        <f t="shared" si="0"/>
        <v>77.471581122976232</v>
      </c>
      <c r="N7" s="403">
        <f t="shared" si="0"/>
        <v>85.621783164535941</v>
      </c>
      <c r="O7" s="403">
        <f t="shared" si="0"/>
        <v>87.911903160726297</v>
      </c>
      <c r="P7" s="403">
        <f t="shared" si="0"/>
        <v>89.956839309428943</v>
      </c>
    </row>
  </sheetData>
  <sheetProtection password="B8D9" sheet="1" objects="1" scenarios="1"/>
  <mergeCells count="4">
    <mergeCell ref="A1:A2"/>
    <mergeCell ref="B1:F1"/>
    <mergeCell ref="G1:K1"/>
    <mergeCell ref="L1:P1"/>
  </mergeCells>
  <printOptions horizontalCentered="1"/>
  <pageMargins left="0" right="0" top="0.74803149606299213" bottom="0.74803149606299213" header="0.31496062992125984" footer="0.31496062992125984"/>
  <pageSetup paperSize="9" orientation="landscape" r:id="rId1"/>
  <headerFooter>
    <oddHeader>&amp;LChart 17e DATA
Trends in Scotland percentages for Scottish Stroke Care Standards for inpatients, 2011 - 2015 data.</oddHeader>
    <oddFooter>&amp;L&amp;8Scottish Stroke Care Audit 2016 National Report
Stroke Services in Scottish Hospitals, Data relating to 2015&amp;R&amp;8© NHS National Services Scotland/Crown Copyright</oddFooter>
  </headerFooter>
</worksheet>
</file>

<file path=xl/worksheets/sheet8.xml><?xml version="1.0" encoding="utf-8"?>
<worksheet xmlns="http://schemas.openxmlformats.org/spreadsheetml/2006/main" xmlns:r="http://schemas.openxmlformats.org/officeDocument/2006/relationships">
  <sheetPr codeName="Sheet39">
    <pageSetUpPr fitToPage="1"/>
  </sheetPr>
  <dimension ref="B1:G16"/>
  <sheetViews>
    <sheetView zoomScaleNormal="100" workbookViewId="0"/>
  </sheetViews>
  <sheetFormatPr defaultRowHeight="12.75"/>
  <cols>
    <col min="1" max="1" width="1.7109375" style="2" customWidth="1"/>
    <col min="2" max="2" width="11.7109375" style="2" customWidth="1"/>
    <col min="3" max="3" width="24" style="2" customWidth="1"/>
    <col min="4" max="5" width="25.7109375" style="2" customWidth="1"/>
    <col min="6" max="6" width="22.42578125" style="2" customWidth="1"/>
    <col min="7" max="7" width="22.42578125" style="367" customWidth="1"/>
    <col min="8" max="16384" width="9.140625" style="2"/>
  </cols>
  <sheetData>
    <row r="1" spans="2:7" ht="27" customHeight="1">
      <c r="B1" s="795" t="s">
        <v>613</v>
      </c>
      <c r="C1" s="795"/>
      <c r="D1" s="796"/>
      <c r="E1" s="796"/>
      <c r="F1" s="796"/>
      <c r="G1" s="365"/>
    </row>
    <row r="3" spans="2:7">
      <c r="B3" s="786" t="s">
        <v>48</v>
      </c>
      <c r="C3" s="786"/>
    </row>
    <row r="4" spans="2:7" ht="45" customHeight="1">
      <c r="B4" s="98" t="s">
        <v>275</v>
      </c>
      <c r="C4" s="164" t="s">
        <v>276</v>
      </c>
      <c r="D4" s="164" t="s">
        <v>277</v>
      </c>
      <c r="E4" s="164" t="s">
        <v>44</v>
      </c>
      <c r="F4" s="369" t="s">
        <v>278</v>
      </c>
      <c r="G4" s="370" t="s">
        <v>352</v>
      </c>
    </row>
    <row r="5" spans="2:7" ht="26.1" customHeight="1">
      <c r="B5" s="193">
        <v>2008</v>
      </c>
      <c r="C5" s="193">
        <v>260</v>
      </c>
      <c r="D5" s="412">
        <v>8439</v>
      </c>
      <c r="E5" s="447">
        <f t="shared" ref="E5:E10" si="0">C5/D5</f>
        <v>3.0809337599241617E-2</v>
      </c>
      <c r="F5" s="194">
        <f>C5/G5*100000</f>
        <v>4.9972130926983027</v>
      </c>
      <c r="G5" s="412">
        <v>5202900</v>
      </c>
    </row>
    <row r="6" spans="2:7" ht="26.1" customHeight="1">
      <c r="B6" s="193">
        <v>2009</v>
      </c>
      <c r="C6" s="193">
        <v>411</v>
      </c>
      <c r="D6" s="412">
        <v>8012</v>
      </c>
      <c r="E6" s="447">
        <f t="shared" si="0"/>
        <v>5.1298052920619071E-2</v>
      </c>
      <c r="F6" s="194">
        <f t="shared" ref="F6:F12" si="1">C6/G6*100000</f>
        <v>7.855654733462031</v>
      </c>
      <c r="G6" s="412">
        <v>5231900</v>
      </c>
    </row>
    <row r="7" spans="2:7" ht="26.1" customHeight="1">
      <c r="B7" s="193">
        <v>2010</v>
      </c>
      <c r="C7" s="193">
        <v>543</v>
      </c>
      <c r="D7" s="412">
        <v>8439</v>
      </c>
      <c r="E7" s="447">
        <f t="shared" si="0"/>
        <v>6.434411660149307E-2</v>
      </c>
      <c r="F7" s="194">
        <f t="shared" si="1"/>
        <v>10.318878035802516</v>
      </c>
      <c r="G7" s="412">
        <v>5262200</v>
      </c>
    </row>
    <row r="8" spans="2:7" ht="26.1" customHeight="1">
      <c r="B8" s="193">
        <v>2011</v>
      </c>
      <c r="C8" s="193">
        <v>648</v>
      </c>
      <c r="D8" s="412">
        <v>8233</v>
      </c>
      <c r="E8" s="447">
        <f t="shared" si="0"/>
        <v>7.8707639985424516E-2</v>
      </c>
      <c r="F8" s="194">
        <f t="shared" si="1"/>
        <v>12.226645785769543</v>
      </c>
      <c r="G8" s="412">
        <v>5299900</v>
      </c>
    </row>
    <row r="9" spans="2:7" ht="26.1" customHeight="1">
      <c r="B9" s="193">
        <v>2012</v>
      </c>
      <c r="C9" s="193">
        <v>669</v>
      </c>
      <c r="D9" s="412">
        <v>8063</v>
      </c>
      <c r="E9" s="447">
        <f t="shared" si="0"/>
        <v>8.2971598660548179E-2</v>
      </c>
      <c r="F9" s="194">
        <f t="shared" si="1"/>
        <v>12.5903342366757</v>
      </c>
      <c r="G9" s="412">
        <v>5313600</v>
      </c>
    </row>
    <row r="10" spans="2:7" ht="26.1" customHeight="1">
      <c r="B10" s="193">
        <v>2013</v>
      </c>
      <c r="C10" s="193">
        <v>803</v>
      </c>
      <c r="D10" s="412">
        <v>8753</v>
      </c>
      <c r="E10" s="447">
        <f t="shared" si="0"/>
        <v>9.1739974865760313E-2</v>
      </c>
      <c r="F10" s="194">
        <f t="shared" si="1"/>
        <v>15.072169979540892</v>
      </c>
      <c r="G10" s="412">
        <v>5327700</v>
      </c>
    </row>
    <row r="11" spans="2:7" s="472" customFormat="1" ht="26.1" customHeight="1">
      <c r="B11" s="193">
        <v>2014</v>
      </c>
      <c r="C11" s="193">
        <v>869</v>
      </c>
      <c r="D11" s="412">
        <v>8739</v>
      </c>
      <c r="E11" s="447">
        <f t="shared" ref="E11" si="2">C11/D11</f>
        <v>9.943929511385742E-2</v>
      </c>
      <c r="F11" s="194">
        <f t="shared" ref="F11" si="3">C11/G11*100000</f>
        <v>16.2502804996634</v>
      </c>
      <c r="G11" s="412">
        <v>5347600</v>
      </c>
    </row>
    <row r="12" spans="2:7" s="367" customFormat="1" ht="26.1" customHeight="1">
      <c r="B12" s="193">
        <v>2015</v>
      </c>
      <c r="C12" s="193">
        <v>946</v>
      </c>
      <c r="D12" s="412">
        <v>9026</v>
      </c>
      <c r="E12" s="447">
        <f t="shared" ref="E12" si="4">C12/D12</f>
        <v>0.10480833148681587</v>
      </c>
      <c r="F12" s="194">
        <f t="shared" si="1"/>
        <v>17.690178771785472</v>
      </c>
      <c r="G12" s="412">
        <v>5347600</v>
      </c>
    </row>
    <row r="13" spans="2:7">
      <c r="B13" s="196"/>
      <c r="C13" s="196"/>
      <c r="D13" s="196"/>
      <c r="E13" s="196"/>
      <c r="F13" s="196"/>
      <c r="G13" s="366"/>
    </row>
    <row r="14" spans="2:7">
      <c r="B14" s="385" t="s">
        <v>627</v>
      </c>
    </row>
    <row r="15" spans="2:7">
      <c r="B15" s="190" t="s">
        <v>351</v>
      </c>
    </row>
    <row r="16" spans="2:7">
      <c r="B16" s="190"/>
    </row>
  </sheetData>
  <sheetProtection password="B8D9" sheet="1" objects="1" scenarios="1"/>
  <mergeCells count="2">
    <mergeCell ref="B1:F1"/>
    <mergeCell ref="B3:C3"/>
  </mergeCells>
  <phoneticPr fontId="0" type="noConversion"/>
  <hyperlinks>
    <hyperlink ref="B3:C3" location="'List of Tables &amp; Charts'!A1" display="return to List of Tables &amp; Charts"/>
  </hyperlinks>
  <pageMargins left="0.74803149606299213" right="0.74803149606299213" top="0.39370078740157483" bottom="0.74803149606299213" header="0.15748031496062992" footer="0.19685039370078741"/>
  <pageSetup paperSize="9" scale="97"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xl/worksheets/sheet80.xml><?xml version="1.0" encoding="utf-8"?>
<worksheet xmlns="http://schemas.openxmlformats.org/spreadsheetml/2006/main" xmlns:r="http://schemas.openxmlformats.org/officeDocument/2006/relationships">
  <sheetPr codeName="Sheet68"/>
  <dimension ref="A1:C103"/>
  <sheetViews>
    <sheetView workbookViewId="0"/>
  </sheetViews>
  <sheetFormatPr defaultRowHeight="12.75"/>
  <cols>
    <col min="1" max="1" width="9.140625" style="359"/>
    <col min="2" max="3" width="10.7109375" style="359" customWidth="1"/>
    <col min="4" max="257" width="9.140625" style="359"/>
    <col min="258" max="259" width="10.7109375" style="359" customWidth="1"/>
    <col min="260" max="513" width="9.140625" style="359"/>
    <col min="514" max="515" width="10.7109375" style="359" customWidth="1"/>
    <col min="516" max="769" width="9.140625" style="359"/>
    <col min="770" max="771" width="10.7109375" style="359" customWidth="1"/>
    <col min="772" max="1025" width="9.140625" style="359"/>
    <col min="1026" max="1027" width="10.7109375" style="359" customWidth="1"/>
    <col min="1028" max="1281" width="9.140625" style="359"/>
    <col min="1282" max="1283" width="10.7109375" style="359" customWidth="1"/>
    <col min="1284" max="1537" width="9.140625" style="359"/>
    <col min="1538" max="1539" width="10.7109375" style="359" customWidth="1"/>
    <col min="1540" max="1793" width="9.140625" style="359"/>
    <col min="1794" max="1795" width="10.7109375" style="359" customWidth="1"/>
    <col min="1796" max="2049" width="9.140625" style="359"/>
    <col min="2050" max="2051" width="10.7109375" style="359" customWidth="1"/>
    <col min="2052" max="2305" width="9.140625" style="359"/>
    <col min="2306" max="2307" width="10.7109375" style="359" customWidth="1"/>
    <col min="2308" max="2561" width="9.140625" style="359"/>
    <col min="2562" max="2563" width="10.7109375" style="359" customWidth="1"/>
    <col min="2564" max="2817" width="9.140625" style="359"/>
    <col min="2818" max="2819" width="10.7109375" style="359" customWidth="1"/>
    <col min="2820" max="3073" width="9.140625" style="359"/>
    <col min="3074" max="3075" width="10.7109375" style="359" customWidth="1"/>
    <col min="3076" max="3329" width="9.140625" style="359"/>
    <col min="3330" max="3331" width="10.7109375" style="359" customWidth="1"/>
    <col min="3332" max="3585" width="9.140625" style="359"/>
    <col min="3586" max="3587" width="10.7109375" style="359" customWidth="1"/>
    <col min="3588" max="3841" width="9.140625" style="359"/>
    <col min="3842" max="3843" width="10.7109375" style="359" customWidth="1"/>
    <col min="3844" max="4097" width="9.140625" style="359"/>
    <col min="4098" max="4099" width="10.7109375" style="359" customWidth="1"/>
    <col min="4100" max="4353" width="9.140625" style="359"/>
    <col min="4354" max="4355" width="10.7109375" style="359" customWidth="1"/>
    <col min="4356" max="4609" width="9.140625" style="359"/>
    <col min="4610" max="4611" width="10.7109375" style="359" customWidth="1"/>
    <col min="4612" max="4865" width="9.140625" style="359"/>
    <col min="4866" max="4867" width="10.7109375" style="359" customWidth="1"/>
    <col min="4868" max="5121" width="9.140625" style="359"/>
    <col min="5122" max="5123" width="10.7109375" style="359" customWidth="1"/>
    <col min="5124" max="5377" width="9.140625" style="359"/>
    <col min="5378" max="5379" width="10.7109375" style="359" customWidth="1"/>
    <col min="5380" max="5633" width="9.140625" style="359"/>
    <col min="5634" max="5635" width="10.7109375" style="359" customWidth="1"/>
    <col min="5636" max="5889" width="9.140625" style="359"/>
    <col min="5890" max="5891" width="10.7109375" style="359" customWidth="1"/>
    <col min="5892" max="6145" width="9.140625" style="359"/>
    <col min="6146" max="6147" width="10.7109375" style="359" customWidth="1"/>
    <col min="6148" max="6401" width="9.140625" style="359"/>
    <col min="6402" max="6403" width="10.7109375" style="359" customWidth="1"/>
    <col min="6404" max="6657" width="9.140625" style="359"/>
    <col min="6658" max="6659" width="10.7109375" style="359" customWidth="1"/>
    <col min="6660" max="6913" width="9.140625" style="359"/>
    <col min="6914" max="6915" width="10.7109375" style="359" customWidth="1"/>
    <col min="6916" max="7169" width="9.140625" style="359"/>
    <col min="7170" max="7171" width="10.7109375" style="359" customWidth="1"/>
    <col min="7172" max="7425" width="9.140625" style="359"/>
    <col min="7426" max="7427" width="10.7109375" style="359" customWidth="1"/>
    <col min="7428" max="7681" width="9.140625" style="359"/>
    <col min="7682" max="7683" width="10.7109375" style="359" customWidth="1"/>
    <col min="7684" max="7937" width="9.140625" style="359"/>
    <col min="7938" max="7939" width="10.7109375" style="359" customWidth="1"/>
    <col min="7940" max="8193" width="9.140625" style="359"/>
    <col min="8194" max="8195" width="10.7109375" style="359" customWidth="1"/>
    <col min="8196" max="8449" width="9.140625" style="359"/>
    <col min="8450" max="8451" width="10.7109375" style="359" customWidth="1"/>
    <col min="8452" max="8705" width="9.140625" style="359"/>
    <col min="8706" max="8707" width="10.7109375" style="359" customWidth="1"/>
    <col min="8708" max="8961" width="9.140625" style="359"/>
    <col min="8962" max="8963" width="10.7109375" style="359" customWidth="1"/>
    <col min="8964" max="9217" width="9.140625" style="359"/>
    <col min="9218" max="9219" width="10.7109375" style="359" customWidth="1"/>
    <col min="9220" max="9473" width="9.140625" style="359"/>
    <col min="9474" max="9475" width="10.7109375" style="359" customWidth="1"/>
    <col min="9476" max="9729" width="9.140625" style="359"/>
    <col min="9730" max="9731" width="10.7109375" style="359" customWidth="1"/>
    <col min="9732" max="9985" width="9.140625" style="359"/>
    <col min="9986" max="9987" width="10.7109375" style="359" customWidth="1"/>
    <col min="9988" max="10241" width="9.140625" style="359"/>
    <col min="10242" max="10243" width="10.7109375" style="359" customWidth="1"/>
    <col min="10244" max="10497" width="9.140625" style="359"/>
    <col min="10498" max="10499" width="10.7109375" style="359" customWidth="1"/>
    <col min="10500" max="10753" width="9.140625" style="359"/>
    <col min="10754" max="10755" width="10.7109375" style="359" customWidth="1"/>
    <col min="10756" max="11009" width="9.140625" style="359"/>
    <col min="11010" max="11011" width="10.7109375" style="359" customWidth="1"/>
    <col min="11012" max="11265" width="9.140625" style="359"/>
    <col min="11266" max="11267" width="10.7109375" style="359" customWidth="1"/>
    <col min="11268" max="11521" width="9.140625" style="359"/>
    <col min="11522" max="11523" width="10.7109375" style="359" customWidth="1"/>
    <col min="11524" max="11777" width="9.140625" style="359"/>
    <col min="11778" max="11779" width="10.7109375" style="359" customWidth="1"/>
    <col min="11780" max="12033" width="9.140625" style="359"/>
    <col min="12034" max="12035" width="10.7109375" style="359" customWidth="1"/>
    <col min="12036" max="12289" width="9.140625" style="359"/>
    <col min="12290" max="12291" width="10.7109375" style="359" customWidth="1"/>
    <col min="12292" max="12545" width="9.140625" style="359"/>
    <col min="12546" max="12547" width="10.7109375" style="359" customWidth="1"/>
    <col min="12548" max="12801" width="9.140625" style="359"/>
    <col min="12802" max="12803" width="10.7109375" style="359" customWidth="1"/>
    <col min="12804" max="13057" width="9.140625" style="359"/>
    <col min="13058" max="13059" width="10.7109375" style="359" customWidth="1"/>
    <col min="13060" max="13313" width="9.140625" style="359"/>
    <col min="13314" max="13315" width="10.7109375" style="359" customWidth="1"/>
    <col min="13316" max="13569" width="9.140625" style="359"/>
    <col min="13570" max="13571" width="10.7109375" style="359" customWidth="1"/>
    <col min="13572" max="13825" width="9.140625" style="359"/>
    <col min="13826" max="13827" width="10.7109375" style="359" customWidth="1"/>
    <col min="13828" max="14081" width="9.140625" style="359"/>
    <col min="14082" max="14083" width="10.7109375" style="359" customWidth="1"/>
    <col min="14084" max="14337" width="9.140625" style="359"/>
    <col min="14338" max="14339" width="10.7109375" style="359" customWidth="1"/>
    <col min="14340" max="14593" width="9.140625" style="359"/>
    <col min="14594" max="14595" width="10.7109375" style="359" customWidth="1"/>
    <col min="14596" max="14849" width="9.140625" style="359"/>
    <col min="14850" max="14851" width="10.7109375" style="359" customWidth="1"/>
    <col min="14852" max="15105" width="9.140625" style="359"/>
    <col min="15106" max="15107" width="10.7109375" style="359" customWidth="1"/>
    <col min="15108" max="15361" width="9.140625" style="359"/>
    <col min="15362" max="15363" width="10.7109375" style="359" customWidth="1"/>
    <col min="15364" max="15617" width="9.140625" style="359"/>
    <col min="15618" max="15619" width="10.7109375" style="359" customWidth="1"/>
    <col min="15620" max="15873" width="9.140625" style="359"/>
    <col min="15874" max="15875" width="10.7109375" style="359" customWidth="1"/>
    <col min="15876" max="16129" width="9.140625" style="359"/>
    <col min="16130" max="16131" width="10.7109375" style="359" customWidth="1"/>
    <col min="16132" max="16384" width="9.140625" style="359"/>
  </cols>
  <sheetData>
    <row r="1" spans="1:3">
      <c r="A1" s="359" t="s">
        <v>327</v>
      </c>
    </row>
    <row r="3" spans="1:3" ht="38.25">
      <c r="A3" s="360" t="s">
        <v>328</v>
      </c>
      <c r="B3" s="360" t="s">
        <v>329</v>
      </c>
      <c r="C3" s="360" t="s">
        <v>330</v>
      </c>
    </row>
    <row r="4" spans="1:3">
      <c r="A4" s="293">
        <v>0</v>
      </c>
      <c r="B4" s="293">
        <v>0</v>
      </c>
      <c r="C4" s="293">
        <v>2.9956999999999998</v>
      </c>
    </row>
    <row r="5" spans="1:3">
      <c r="A5" s="293">
        <v>1</v>
      </c>
      <c r="B5" s="293">
        <v>2.53E-2</v>
      </c>
      <c r="C5" s="293">
        <v>5.5716000000000001</v>
      </c>
    </row>
    <row r="6" spans="1:3">
      <c r="A6" s="293">
        <v>2</v>
      </c>
      <c r="B6" s="293">
        <v>0.2422</v>
      </c>
      <c r="C6" s="293">
        <v>7.2247000000000003</v>
      </c>
    </row>
    <row r="7" spans="1:3">
      <c r="A7" s="293">
        <v>3</v>
      </c>
      <c r="B7" s="293">
        <v>0.61870000000000003</v>
      </c>
      <c r="C7" s="293">
        <v>8.7673000000000005</v>
      </c>
    </row>
    <row r="8" spans="1:3">
      <c r="A8" s="293">
        <v>4</v>
      </c>
      <c r="B8" s="293">
        <v>1.0899000000000001</v>
      </c>
      <c r="C8" s="293">
        <v>10.2416</v>
      </c>
    </row>
    <row r="9" spans="1:3">
      <c r="A9" s="293">
        <v>5</v>
      </c>
      <c r="B9" s="293">
        <v>1.6234999999999999</v>
      </c>
      <c r="C9" s="293">
        <v>11.6683</v>
      </c>
    </row>
    <row r="10" spans="1:3">
      <c r="A10" s="293">
        <v>6</v>
      </c>
      <c r="B10" s="293">
        <v>2.2019000000000002</v>
      </c>
      <c r="C10" s="293">
        <v>13.0595</v>
      </c>
    </row>
    <row r="11" spans="1:3">
      <c r="A11" s="293">
        <v>7</v>
      </c>
      <c r="B11" s="293">
        <v>2.8144</v>
      </c>
      <c r="C11" s="293">
        <v>14.422700000000001</v>
      </c>
    </row>
    <row r="12" spans="1:3">
      <c r="A12" s="293">
        <v>8</v>
      </c>
      <c r="B12" s="293">
        <v>3.4538000000000002</v>
      </c>
      <c r="C12" s="293">
        <v>15.763199999999999</v>
      </c>
    </row>
    <row r="13" spans="1:3">
      <c r="A13" s="293">
        <v>9</v>
      </c>
      <c r="B13" s="293">
        <v>4.1154000000000002</v>
      </c>
      <c r="C13" s="293">
        <v>17.084800000000001</v>
      </c>
    </row>
    <row r="14" spans="1:3">
      <c r="A14" s="293">
        <v>10</v>
      </c>
      <c r="B14" s="293">
        <v>4.7953999999999999</v>
      </c>
      <c r="C14" s="293">
        <v>18.3904</v>
      </c>
    </row>
    <row r="15" spans="1:3">
      <c r="A15" s="293">
        <v>11</v>
      </c>
      <c r="B15" s="293">
        <v>5.4912000000000001</v>
      </c>
      <c r="C15" s="293">
        <v>19.681999999999999</v>
      </c>
    </row>
    <row r="16" spans="1:3">
      <c r="A16" s="293">
        <v>12</v>
      </c>
      <c r="B16" s="293">
        <v>6.2005999999999997</v>
      </c>
      <c r="C16" s="293">
        <v>20.961600000000001</v>
      </c>
    </row>
    <row r="17" spans="1:3">
      <c r="A17" s="293">
        <v>13</v>
      </c>
      <c r="B17" s="293">
        <v>6.9219999999999997</v>
      </c>
      <c r="C17" s="293">
        <v>22.230399999999999</v>
      </c>
    </row>
    <row r="18" spans="1:3">
      <c r="A18" s="293">
        <v>14</v>
      </c>
      <c r="B18" s="293">
        <v>7.6539000000000001</v>
      </c>
      <c r="C18" s="293">
        <v>23.489599999999999</v>
      </c>
    </row>
    <row r="19" spans="1:3">
      <c r="A19" s="293">
        <v>15</v>
      </c>
      <c r="B19" s="293">
        <v>8.3954000000000004</v>
      </c>
      <c r="C19" s="293">
        <v>24.740200000000002</v>
      </c>
    </row>
    <row r="20" spans="1:3">
      <c r="A20" s="293">
        <v>16</v>
      </c>
      <c r="B20" s="293">
        <v>9.1454000000000004</v>
      </c>
      <c r="C20" s="293">
        <v>25.983000000000001</v>
      </c>
    </row>
    <row r="21" spans="1:3">
      <c r="A21" s="293">
        <v>17</v>
      </c>
      <c r="B21" s="293">
        <v>9.9031000000000002</v>
      </c>
      <c r="C21" s="293">
        <v>27.218599999999999</v>
      </c>
    </row>
    <row r="22" spans="1:3">
      <c r="A22" s="293">
        <v>18</v>
      </c>
      <c r="B22" s="293">
        <v>10.667899999999999</v>
      </c>
      <c r="C22" s="293">
        <v>28.447800000000001</v>
      </c>
    </row>
    <row r="23" spans="1:3">
      <c r="A23" s="293">
        <v>19</v>
      </c>
      <c r="B23" s="293">
        <v>11.4392</v>
      </c>
      <c r="C23" s="293">
        <v>29.6709</v>
      </c>
    </row>
    <row r="24" spans="1:3">
      <c r="A24" s="293">
        <v>20</v>
      </c>
      <c r="B24" s="293">
        <v>12.2165</v>
      </c>
      <c r="C24" s="293">
        <v>30.888400000000001</v>
      </c>
    </row>
    <row r="25" spans="1:3">
      <c r="A25" s="293">
        <v>21</v>
      </c>
      <c r="B25" s="293">
        <v>12.9993</v>
      </c>
      <c r="C25" s="293">
        <v>32.100700000000003</v>
      </c>
    </row>
    <row r="26" spans="1:3">
      <c r="A26" s="293">
        <v>22</v>
      </c>
      <c r="B26" s="293">
        <v>13.7873</v>
      </c>
      <c r="C26" s="293">
        <v>33.308300000000003</v>
      </c>
    </row>
    <row r="27" spans="1:3">
      <c r="A27" s="293">
        <v>23</v>
      </c>
      <c r="B27" s="293">
        <v>14.58</v>
      </c>
      <c r="C27" s="293">
        <v>34.511299999999999</v>
      </c>
    </row>
    <row r="28" spans="1:3">
      <c r="A28" s="293">
        <v>24</v>
      </c>
      <c r="B28" s="293">
        <v>15.3773</v>
      </c>
      <c r="C28" s="293">
        <v>35.710099999999997</v>
      </c>
    </row>
    <row r="29" spans="1:3">
      <c r="A29" s="293">
        <v>25</v>
      </c>
      <c r="B29" s="293">
        <v>16.178699999999999</v>
      </c>
      <c r="C29" s="293">
        <v>36.904899999999998</v>
      </c>
    </row>
    <row r="30" spans="1:3">
      <c r="A30" s="293">
        <v>26</v>
      </c>
      <c r="B30" s="293">
        <v>16.984100000000002</v>
      </c>
      <c r="C30" s="293">
        <v>38.095999999999997</v>
      </c>
    </row>
    <row r="31" spans="1:3">
      <c r="A31" s="293">
        <v>27</v>
      </c>
      <c r="B31" s="293">
        <v>17.793199999999999</v>
      </c>
      <c r="C31" s="293">
        <v>39.2836</v>
      </c>
    </row>
    <row r="32" spans="1:3">
      <c r="A32" s="293">
        <v>28</v>
      </c>
      <c r="B32" s="293">
        <v>18.605799999999999</v>
      </c>
      <c r="C32" s="293">
        <v>40.467799999999997</v>
      </c>
    </row>
    <row r="33" spans="1:3">
      <c r="A33" s="293">
        <v>29</v>
      </c>
      <c r="B33" s="293">
        <v>19.421800000000001</v>
      </c>
      <c r="C33" s="293">
        <v>41.648800000000001</v>
      </c>
    </row>
    <row r="34" spans="1:3">
      <c r="A34" s="293">
        <v>30</v>
      </c>
      <c r="B34" s="293">
        <v>20.2409</v>
      </c>
      <c r="C34" s="293">
        <v>42.826900000000002</v>
      </c>
    </row>
    <row r="35" spans="1:3">
      <c r="A35" s="293">
        <v>31</v>
      </c>
      <c r="B35" s="293">
        <v>21.062999999999999</v>
      </c>
      <c r="C35" s="293">
        <v>44.002000000000002</v>
      </c>
    </row>
    <row r="36" spans="1:3">
      <c r="A36" s="293">
        <v>32</v>
      </c>
      <c r="B36" s="293">
        <v>21.888000000000002</v>
      </c>
      <c r="C36" s="293">
        <v>45.174500000000002</v>
      </c>
    </row>
    <row r="37" spans="1:3">
      <c r="A37" s="293">
        <v>33</v>
      </c>
      <c r="B37" s="293">
        <v>22.715699999999998</v>
      </c>
      <c r="C37" s="293">
        <v>46.344299999999997</v>
      </c>
    </row>
    <row r="38" spans="1:3">
      <c r="A38" s="293">
        <v>34</v>
      </c>
      <c r="B38" s="293">
        <v>23.545999999999999</v>
      </c>
      <c r="C38" s="293">
        <v>47.511600000000001</v>
      </c>
    </row>
    <row r="39" spans="1:3">
      <c r="A39" s="293">
        <v>35</v>
      </c>
      <c r="B39" s="293">
        <v>24.378799999999998</v>
      </c>
      <c r="C39" s="293">
        <v>48.676499999999997</v>
      </c>
    </row>
    <row r="40" spans="1:3">
      <c r="A40" s="293">
        <v>36</v>
      </c>
      <c r="B40" s="293">
        <v>25.213999999999999</v>
      </c>
      <c r="C40" s="293">
        <v>49.839199999999998</v>
      </c>
    </row>
    <row r="41" spans="1:3">
      <c r="A41" s="293">
        <v>37</v>
      </c>
      <c r="B41" s="293">
        <v>26.051400000000001</v>
      </c>
      <c r="C41" s="293">
        <v>50.999600000000001</v>
      </c>
    </row>
    <row r="42" spans="1:3">
      <c r="A42" s="293">
        <v>38</v>
      </c>
      <c r="B42" s="293">
        <v>26.891100000000002</v>
      </c>
      <c r="C42" s="293">
        <v>52.158000000000001</v>
      </c>
    </row>
    <row r="43" spans="1:3">
      <c r="A43" s="293">
        <v>39</v>
      </c>
      <c r="B43" s="293">
        <v>27.732800000000001</v>
      </c>
      <c r="C43" s="293">
        <v>53.314300000000003</v>
      </c>
    </row>
    <row r="44" spans="1:3">
      <c r="A44" s="293">
        <v>40</v>
      </c>
      <c r="B44" s="293">
        <v>28.576599999999999</v>
      </c>
      <c r="C44" s="293">
        <v>54.468600000000002</v>
      </c>
    </row>
    <row r="45" spans="1:3">
      <c r="A45" s="293">
        <v>41</v>
      </c>
      <c r="B45" s="293">
        <v>29.4223</v>
      </c>
      <c r="C45" s="293">
        <v>55.621099999999998</v>
      </c>
    </row>
    <row r="46" spans="1:3">
      <c r="A46" s="293">
        <v>42</v>
      </c>
      <c r="B46" s="293">
        <v>30.2699</v>
      </c>
      <c r="C46" s="293">
        <v>56.771799999999999</v>
      </c>
    </row>
    <row r="47" spans="1:3">
      <c r="A47" s="293">
        <v>43</v>
      </c>
      <c r="B47" s="293">
        <v>31.119299999999999</v>
      </c>
      <c r="C47" s="293">
        <v>57.920699999999997</v>
      </c>
    </row>
    <row r="48" spans="1:3">
      <c r="A48" s="293">
        <v>44</v>
      </c>
      <c r="B48" s="293">
        <v>31.970500000000001</v>
      </c>
      <c r="C48" s="293">
        <v>59.067900000000002</v>
      </c>
    </row>
    <row r="49" spans="1:3">
      <c r="A49" s="293">
        <v>45</v>
      </c>
      <c r="B49" s="293">
        <v>32.823300000000003</v>
      </c>
      <c r="C49" s="293">
        <v>60.213500000000003</v>
      </c>
    </row>
    <row r="50" spans="1:3">
      <c r="A50" s="293">
        <v>46</v>
      </c>
      <c r="B50" s="293">
        <v>33.677799999999998</v>
      </c>
      <c r="C50" s="293">
        <v>61.357999999999997</v>
      </c>
    </row>
    <row r="51" spans="1:3">
      <c r="A51" s="293">
        <v>47</v>
      </c>
      <c r="B51" s="293">
        <v>34.533799999999999</v>
      </c>
      <c r="C51" s="293">
        <v>62.5</v>
      </c>
    </row>
    <row r="52" spans="1:3">
      <c r="A52" s="293">
        <v>48</v>
      </c>
      <c r="B52" s="293">
        <v>35.391399999999997</v>
      </c>
      <c r="C52" s="293">
        <v>63.640999999999998</v>
      </c>
    </row>
    <row r="53" spans="1:3">
      <c r="A53" s="293">
        <v>49</v>
      </c>
      <c r="B53" s="293">
        <v>36.250500000000002</v>
      </c>
      <c r="C53" s="293">
        <v>64.781000000000006</v>
      </c>
    </row>
    <row r="54" spans="1:3">
      <c r="A54" s="293">
        <v>50</v>
      </c>
      <c r="B54" s="293">
        <v>37.110999999999997</v>
      </c>
      <c r="C54" s="293">
        <v>65.918999999999997</v>
      </c>
    </row>
    <row r="55" spans="1:3">
      <c r="A55" s="293">
        <v>51</v>
      </c>
      <c r="B55" s="293">
        <v>37.972799999999999</v>
      </c>
      <c r="C55" s="293">
        <v>67.055999999999997</v>
      </c>
    </row>
    <row r="56" spans="1:3">
      <c r="A56" s="293">
        <v>52</v>
      </c>
      <c r="B56" s="293">
        <v>38.836100000000002</v>
      </c>
      <c r="C56" s="293">
        <v>68.191000000000003</v>
      </c>
    </row>
    <row r="57" spans="1:3">
      <c r="A57" s="293">
        <v>53</v>
      </c>
      <c r="B57" s="293">
        <v>39.700600000000001</v>
      </c>
      <c r="C57" s="293">
        <v>69.325000000000003</v>
      </c>
    </row>
    <row r="58" spans="1:3">
      <c r="A58" s="293">
        <v>54</v>
      </c>
      <c r="B58" s="293">
        <v>40.566499999999998</v>
      </c>
      <c r="C58" s="293">
        <v>70.457999999999998</v>
      </c>
    </row>
    <row r="59" spans="1:3">
      <c r="A59" s="293">
        <v>55</v>
      </c>
      <c r="B59" s="293">
        <v>41.433500000000002</v>
      </c>
      <c r="C59" s="293">
        <v>71.59</v>
      </c>
    </row>
    <row r="60" spans="1:3">
      <c r="A60" s="293">
        <v>56</v>
      </c>
      <c r="B60" s="293">
        <v>42.3018</v>
      </c>
      <c r="C60" s="293">
        <v>72.721000000000004</v>
      </c>
    </row>
    <row r="61" spans="1:3">
      <c r="A61" s="293">
        <v>57</v>
      </c>
      <c r="B61" s="293">
        <v>43.171199999999999</v>
      </c>
      <c r="C61" s="293">
        <v>73.849999999999994</v>
      </c>
    </row>
    <row r="62" spans="1:3">
      <c r="A62" s="293">
        <v>58</v>
      </c>
      <c r="B62" s="293">
        <v>44.041800000000002</v>
      </c>
      <c r="C62" s="293">
        <v>74.977999999999994</v>
      </c>
    </row>
    <row r="63" spans="1:3">
      <c r="A63" s="293">
        <v>59</v>
      </c>
      <c r="B63" s="293">
        <v>44.913499999999999</v>
      </c>
      <c r="C63" s="293">
        <v>76.105999999999995</v>
      </c>
    </row>
    <row r="64" spans="1:3">
      <c r="A64" s="293">
        <v>60</v>
      </c>
      <c r="B64" s="293">
        <v>45.786299999999997</v>
      </c>
      <c r="C64" s="293">
        <v>77.231999999999999</v>
      </c>
    </row>
    <row r="65" spans="1:3">
      <c r="A65" s="293">
        <v>61</v>
      </c>
      <c r="B65" s="293">
        <v>46.660200000000003</v>
      </c>
      <c r="C65" s="293">
        <v>78.356999999999999</v>
      </c>
    </row>
    <row r="66" spans="1:3">
      <c r="A66" s="293">
        <v>62</v>
      </c>
      <c r="B66" s="293">
        <v>47.534999999999997</v>
      </c>
      <c r="C66" s="293">
        <v>79.480999999999995</v>
      </c>
    </row>
    <row r="67" spans="1:3">
      <c r="A67" s="293">
        <v>63</v>
      </c>
      <c r="B67" s="293">
        <v>48.410899999999998</v>
      </c>
      <c r="C67" s="293">
        <v>80.603999999999999</v>
      </c>
    </row>
    <row r="68" spans="1:3">
      <c r="A68" s="293">
        <v>64</v>
      </c>
      <c r="B68" s="293">
        <v>49.287799999999997</v>
      </c>
      <c r="C68" s="293">
        <v>81.727000000000004</v>
      </c>
    </row>
    <row r="69" spans="1:3">
      <c r="A69" s="293">
        <v>65</v>
      </c>
      <c r="B69" s="293">
        <v>50.165599999999998</v>
      </c>
      <c r="C69" s="293">
        <v>82.847999999999999</v>
      </c>
    </row>
    <row r="70" spans="1:3">
      <c r="A70" s="293">
        <v>66</v>
      </c>
      <c r="B70" s="293">
        <v>51.044400000000003</v>
      </c>
      <c r="C70" s="293">
        <v>83.968000000000004</v>
      </c>
    </row>
    <row r="71" spans="1:3">
      <c r="A71" s="293">
        <v>67</v>
      </c>
      <c r="B71" s="293">
        <v>51.924100000000003</v>
      </c>
      <c r="C71" s="293">
        <v>85.087999999999994</v>
      </c>
    </row>
    <row r="72" spans="1:3">
      <c r="A72" s="293">
        <v>68</v>
      </c>
      <c r="B72" s="293">
        <v>52.804699999999997</v>
      </c>
      <c r="C72" s="293">
        <v>86.206000000000003</v>
      </c>
    </row>
    <row r="73" spans="1:3">
      <c r="A73" s="293">
        <v>69</v>
      </c>
      <c r="B73" s="293">
        <v>53.686100000000003</v>
      </c>
      <c r="C73" s="293">
        <v>87.323999999999998</v>
      </c>
    </row>
    <row r="74" spans="1:3">
      <c r="A74" s="293">
        <v>70</v>
      </c>
      <c r="B74" s="293">
        <v>54.568399999999997</v>
      </c>
      <c r="C74" s="293">
        <v>88.441000000000003</v>
      </c>
    </row>
    <row r="75" spans="1:3">
      <c r="A75" s="293">
        <v>71</v>
      </c>
      <c r="B75" s="293">
        <v>55.451599999999999</v>
      </c>
      <c r="C75" s="293">
        <v>89.557000000000002</v>
      </c>
    </row>
    <row r="76" spans="1:3">
      <c r="A76" s="293">
        <v>72</v>
      </c>
      <c r="B76" s="293">
        <v>56.335599999999999</v>
      </c>
      <c r="C76" s="293">
        <v>90.671999999999997</v>
      </c>
    </row>
    <row r="77" spans="1:3">
      <c r="A77" s="293">
        <v>73</v>
      </c>
      <c r="B77" s="293">
        <v>57.220300000000002</v>
      </c>
      <c r="C77" s="293">
        <v>91.787000000000006</v>
      </c>
    </row>
    <row r="78" spans="1:3">
      <c r="A78" s="293">
        <v>74</v>
      </c>
      <c r="B78" s="293">
        <v>58.105899999999998</v>
      </c>
      <c r="C78" s="293">
        <v>92.9</v>
      </c>
    </row>
    <row r="79" spans="1:3">
      <c r="A79" s="293">
        <v>75</v>
      </c>
      <c r="B79" s="293">
        <v>58.9923</v>
      </c>
      <c r="C79" s="293">
        <v>94.013000000000005</v>
      </c>
    </row>
    <row r="80" spans="1:3">
      <c r="A80" s="293">
        <v>76</v>
      </c>
      <c r="B80" s="293">
        <v>59.879399999999997</v>
      </c>
      <c r="C80" s="293">
        <v>95.125</v>
      </c>
    </row>
    <row r="81" spans="1:3">
      <c r="A81" s="293">
        <v>77</v>
      </c>
      <c r="B81" s="293">
        <v>60.767200000000003</v>
      </c>
      <c r="C81" s="293">
        <v>96.236999999999995</v>
      </c>
    </row>
    <row r="82" spans="1:3">
      <c r="A82" s="293">
        <v>78</v>
      </c>
      <c r="B82" s="293">
        <v>61.655799999999999</v>
      </c>
      <c r="C82" s="293">
        <v>97.347999999999999</v>
      </c>
    </row>
    <row r="83" spans="1:3">
      <c r="A83" s="293">
        <v>79</v>
      </c>
      <c r="B83" s="293">
        <v>62.545000000000002</v>
      </c>
      <c r="C83" s="293">
        <v>98.457999999999998</v>
      </c>
    </row>
    <row r="84" spans="1:3">
      <c r="A84" s="293">
        <v>80</v>
      </c>
      <c r="B84" s="293">
        <v>63.435000000000002</v>
      </c>
      <c r="C84" s="293">
        <v>99.566999999999993</v>
      </c>
    </row>
    <row r="85" spans="1:3">
      <c r="A85" s="293">
        <v>81</v>
      </c>
      <c r="B85" s="293">
        <v>64.325699999999998</v>
      </c>
      <c r="C85" s="293">
        <v>100.676</v>
      </c>
    </row>
    <row r="86" spans="1:3">
      <c r="A86" s="293">
        <v>82</v>
      </c>
      <c r="B86" s="293">
        <v>65.216999999999999</v>
      </c>
      <c r="C86" s="293">
        <v>101.78400000000001</v>
      </c>
    </row>
    <row r="87" spans="1:3">
      <c r="A87" s="293">
        <v>83</v>
      </c>
      <c r="B87" s="293">
        <v>66.108999999999995</v>
      </c>
      <c r="C87" s="293">
        <v>102.89100000000001</v>
      </c>
    </row>
    <row r="88" spans="1:3">
      <c r="A88" s="293">
        <v>84</v>
      </c>
      <c r="B88" s="293">
        <v>67.0017</v>
      </c>
      <c r="C88" s="293">
        <v>103.998</v>
      </c>
    </row>
    <row r="89" spans="1:3">
      <c r="A89" s="293">
        <v>85</v>
      </c>
      <c r="B89" s="293">
        <v>67.894999999999996</v>
      </c>
      <c r="C89" s="293">
        <v>105.104</v>
      </c>
    </row>
    <row r="90" spans="1:3">
      <c r="A90" s="293">
        <v>86</v>
      </c>
      <c r="B90" s="293">
        <v>68.788899999999998</v>
      </c>
      <c r="C90" s="293">
        <v>106.209</v>
      </c>
    </row>
    <row r="91" spans="1:3">
      <c r="A91" s="293">
        <v>87</v>
      </c>
      <c r="B91" s="293">
        <v>69.683400000000006</v>
      </c>
      <c r="C91" s="293">
        <v>107.31399999999999</v>
      </c>
    </row>
    <row r="92" spans="1:3">
      <c r="A92" s="293">
        <v>88</v>
      </c>
      <c r="B92" s="293">
        <v>70.578599999999994</v>
      </c>
      <c r="C92" s="293">
        <v>108.41800000000001</v>
      </c>
    </row>
    <row r="93" spans="1:3">
      <c r="A93" s="293">
        <v>89</v>
      </c>
      <c r="B93" s="293">
        <v>71.474299999999999</v>
      </c>
      <c r="C93" s="293">
        <v>109.52200000000001</v>
      </c>
    </row>
    <row r="94" spans="1:3">
      <c r="A94" s="293">
        <v>90</v>
      </c>
      <c r="B94" s="293">
        <v>72.370599999999996</v>
      </c>
      <c r="C94" s="293">
        <v>110.625</v>
      </c>
    </row>
    <row r="95" spans="1:3">
      <c r="A95" s="293">
        <v>91</v>
      </c>
      <c r="B95" s="293">
        <v>73.267499999999998</v>
      </c>
      <c r="C95" s="293">
        <v>111.72799999999999</v>
      </c>
    </row>
    <row r="96" spans="1:3">
      <c r="A96" s="293">
        <v>92</v>
      </c>
      <c r="B96" s="293">
        <v>74.165000000000006</v>
      </c>
      <c r="C96" s="293">
        <v>112.83</v>
      </c>
    </row>
    <row r="97" spans="1:3">
      <c r="A97" s="293">
        <v>93</v>
      </c>
      <c r="B97" s="293">
        <v>75.063000000000002</v>
      </c>
      <c r="C97" s="293">
        <v>113.931</v>
      </c>
    </row>
    <row r="98" spans="1:3">
      <c r="A98" s="293">
        <v>94</v>
      </c>
      <c r="B98" s="293">
        <v>75.961600000000004</v>
      </c>
      <c r="C98" s="293">
        <v>115.032</v>
      </c>
    </row>
    <row r="99" spans="1:3">
      <c r="A99" s="293">
        <v>95</v>
      </c>
      <c r="B99" s="293">
        <v>76.860699999999994</v>
      </c>
      <c r="C99" s="293">
        <v>116.133</v>
      </c>
    </row>
    <row r="100" spans="1:3">
      <c r="A100" s="293">
        <v>96</v>
      </c>
      <c r="B100" s="293">
        <v>77.760300000000001</v>
      </c>
      <c r="C100" s="293">
        <v>117.232</v>
      </c>
    </row>
    <row r="101" spans="1:3">
      <c r="A101" s="293">
        <v>97</v>
      </c>
      <c r="B101" s="293">
        <v>78.660499999999999</v>
      </c>
      <c r="C101" s="293">
        <v>118.33199999999999</v>
      </c>
    </row>
    <row r="102" spans="1:3">
      <c r="A102" s="293">
        <v>98</v>
      </c>
      <c r="B102" s="293">
        <v>79.561099999999996</v>
      </c>
      <c r="C102" s="293">
        <v>119.431</v>
      </c>
    </row>
    <row r="103" spans="1:3">
      <c r="A103" s="293">
        <v>99</v>
      </c>
      <c r="B103" s="293">
        <v>80.462299999999999</v>
      </c>
      <c r="C103" s="293">
        <v>120.529</v>
      </c>
    </row>
  </sheetData>
  <sheetProtection password="B8D9" sheet="1" objects="1" scenarios="1"/>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sheetPr codeName="Sheet15">
    <pageSetUpPr fitToPage="1"/>
  </sheetPr>
  <dimension ref="B1:I26"/>
  <sheetViews>
    <sheetView workbookViewId="0"/>
  </sheetViews>
  <sheetFormatPr defaultRowHeight="12.75"/>
  <cols>
    <col min="1" max="1" width="1.7109375" style="472" customWidth="1"/>
    <col min="2" max="2" width="26.42578125" style="472" customWidth="1"/>
    <col min="3" max="3" width="41.5703125" style="472" customWidth="1"/>
    <col min="4" max="5" width="10.7109375" style="472" customWidth="1"/>
    <col min="6" max="6" width="10.7109375" style="520" customWidth="1"/>
    <col min="7" max="7" width="10.7109375" style="472" customWidth="1"/>
    <col min="8" max="8" width="54.28515625" style="472" customWidth="1"/>
    <col min="9" max="10" width="10.7109375" style="472" customWidth="1"/>
    <col min="11" max="16384" width="9.140625" style="472"/>
  </cols>
  <sheetData>
    <row r="1" spans="2:9" ht="12.75" customHeight="1">
      <c r="B1" s="798" t="s">
        <v>614</v>
      </c>
      <c r="C1" s="798"/>
      <c r="D1" s="798"/>
    </row>
    <row r="2" spans="2:9">
      <c r="B2" s="798"/>
      <c r="C2" s="798"/>
      <c r="D2" s="798"/>
    </row>
    <row r="3" spans="2:9">
      <c r="B3" s="471"/>
      <c r="C3" s="471"/>
      <c r="D3" s="471"/>
      <c r="E3" s="471"/>
      <c r="F3" s="518"/>
      <c r="G3" s="471"/>
      <c r="H3" s="471"/>
    </row>
    <row r="4" spans="2:9">
      <c r="B4" s="799" t="s">
        <v>48</v>
      </c>
      <c r="C4" s="799"/>
      <c r="D4" s="799"/>
    </row>
    <row r="5" spans="2:9" ht="39.950000000000003" customHeight="1">
      <c r="B5" s="379" t="s">
        <v>140</v>
      </c>
      <c r="C5" s="473" t="s">
        <v>342</v>
      </c>
      <c r="D5" s="476" t="s">
        <v>181</v>
      </c>
      <c r="E5" s="476" t="s">
        <v>548</v>
      </c>
      <c r="F5" s="476" t="s">
        <v>656</v>
      </c>
      <c r="G5" s="476" t="s">
        <v>549</v>
      </c>
      <c r="H5" s="477" t="s">
        <v>550</v>
      </c>
      <c r="I5" s="478"/>
    </row>
    <row r="6" spans="2:9">
      <c r="B6" s="474" t="s">
        <v>35</v>
      </c>
      <c r="C6" s="474" t="s">
        <v>60</v>
      </c>
      <c r="D6" s="193">
        <v>23</v>
      </c>
      <c r="E6" s="193">
        <v>23</v>
      </c>
      <c r="F6" s="521">
        <f>E6/VLOOKUP(B6,'Table 4 (2015)'!$B$6:$D$20,3,FALSE)*100000</f>
        <v>6.197623346177684</v>
      </c>
      <c r="G6" s="193">
        <v>0</v>
      </c>
      <c r="H6" s="193"/>
    </row>
    <row r="7" spans="2:9">
      <c r="B7" s="474" t="s">
        <v>33</v>
      </c>
      <c r="C7" s="474" t="s">
        <v>67</v>
      </c>
      <c r="D7" s="193">
        <v>27</v>
      </c>
      <c r="E7" s="193">
        <v>27</v>
      </c>
      <c r="F7" s="521">
        <f>E7/VLOOKUP(B7,'Table 4 (2015)'!$B$6:$D$20,3,FALSE)*100000</f>
        <v>18.007202881152459</v>
      </c>
      <c r="G7" s="193">
        <v>0</v>
      </c>
      <c r="H7" s="193"/>
    </row>
    <row r="8" spans="2:9">
      <c r="B8" s="474" t="s">
        <v>32</v>
      </c>
      <c r="C8" s="474" t="s">
        <v>557</v>
      </c>
      <c r="D8" s="193">
        <v>9</v>
      </c>
      <c r="E8" s="193">
        <v>9</v>
      </c>
      <c r="F8" s="521">
        <f>E8/VLOOKUP(B8,'Table 4 (2015)'!$B$6:$D$20,3,FALSE)*100000</f>
        <v>2.4505799705930404</v>
      </c>
      <c r="G8" s="193">
        <v>0</v>
      </c>
      <c r="H8" s="193"/>
    </row>
    <row r="9" spans="2:9">
      <c r="B9" s="474" t="s">
        <v>37</v>
      </c>
      <c r="C9" s="474" t="s">
        <v>194</v>
      </c>
      <c r="D9" s="193">
        <v>31</v>
      </c>
      <c r="E9" s="193">
        <v>30</v>
      </c>
      <c r="F9" s="521">
        <f>E9/VLOOKUP(B9,'Table 4 (2015)'!$B$6:$D$20,3,FALSE)*100000</f>
        <v>9.9863519856196525</v>
      </c>
      <c r="G9" s="193">
        <v>1</v>
      </c>
      <c r="H9" s="193" t="s">
        <v>31</v>
      </c>
    </row>
    <row r="10" spans="2:9">
      <c r="B10" s="474" t="s">
        <v>36</v>
      </c>
      <c r="C10" s="474" t="s">
        <v>77</v>
      </c>
      <c r="D10" s="193">
        <v>30</v>
      </c>
      <c r="E10" s="193">
        <v>28</v>
      </c>
      <c r="F10" s="521">
        <f>E10/VLOOKUP(B10,'Table 4 (2015)'!$B$6:$D$20,3,FALSE)*100000</f>
        <v>4.7925510064357111</v>
      </c>
      <c r="G10" s="193">
        <v>2</v>
      </c>
      <c r="H10" s="193" t="s">
        <v>551</v>
      </c>
    </row>
    <row r="11" spans="2:9" ht="25.5">
      <c r="B11" s="474" t="s">
        <v>42</v>
      </c>
      <c r="C11" s="474" t="s">
        <v>561</v>
      </c>
      <c r="D11" s="193">
        <v>102</v>
      </c>
      <c r="E11" s="193">
        <v>86</v>
      </c>
      <c r="F11" s="521">
        <f>E11/VLOOKUP(B11,'Table 4 (2015)'!$B$6:$D$20,3,FALSE)*100000</f>
        <v>7.5268252551243684</v>
      </c>
      <c r="G11" s="193">
        <v>16</v>
      </c>
      <c r="H11" s="193" t="s">
        <v>554</v>
      </c>
    </row>
    <row r="12" spans="2:9">
      <c r="B12" s="474" t="s">
        <v>38</v>
      </c>
      <c r="C12" s="474" t="s">
        <v>102</v>
      </c>
      <c r="D12" s="193">
        <v>25</v>
      </c>
      <c r="E12" s="193">
        <v>22</v>
      </c>
      <c r="F12" s="521">
        <f>E12/VLOOKUP(B12,'Table 4 (2015)'!$B$6:$D$20,3,FALSE)*100000</f>
        <v>6.8587105624142666</v>
      </c>
      <c r="G12" s="193">
        <v>3</v>
      </c>
      <c r="H12" s="193" t="s">
        <v>555</v>
      </c>
    </row>
    <row r="13" spans="2:9" ht="25.5">
      <c r="B13" s="474" t="s">
        <v>31</v>
      </c>
      <c r="C13" s="474" t="s">
        <v>105</v>
      </c>
      <c r="D13" s="193">
        <v>63</v>
      </c>
      <c r="E13" s="193">
        <v>59</v>
      </c>
      <c r="F13" s="521">
        <f>E13/VLOOKUP(B13,'Table 4 (2015)'!$B$6:$D$20,3,FALSE)*100000</f>
        <v>9.0309347782828979</v>
      </c>
      <c r="G13" s="193">
        <v>4</v>
      </c>
      <c r="H13" s="193" t="s">
        <v>552</v>
      </c>
    </row>
    <row r="14" spans="2:9">
      <c r="B14" s="474" t="s">
        <v>40</v>
      </c>
      <c r="C14" s="474" t="s">
        <v>195</v>
      </c>
      <c r="D14" s="193">
        <v>54</v>
      </c>
      <c r="E14" s="193">
        <v>46</v>
      </c>
      <c r="F14" s="521">
        <f>E14/VLOOKUP(B14,'Table 4 (2015)'!$B$6:$D$20,3,FALSE)*100000</f>
        <v>5.3607430456012768</v>
      </c>
      <c r="G14" s="193">
        <v>8</v>
      </c>
      <c r="H14" s="193" t="s">
        <v>556</v>
      </c>
    </row>
    <row r="15" spans="2:9">
      <c r="B15" s="474" t="s">
        <v>34</v>
      </c>
      <c r="C15" s="474" t="s">
        <v>128</v>
      </c>
      <c r="D15" s="193">
        <v>27</v>
      </c>
      <c r="E15" s="193">
        <v>23</v>
      </c>
      <c r="F15" s="521">
        <f>E15/VLOOKUP(B15,'Table 4 (2015)'!$B$6:$D$20,3,FALSE)*100000</f>
        <v>5.5582406959883999</v>
      </c>
      <c r="G15" s="193">
        <v>4</v>
      </c>
      <c r="H15" s="193" t="s">
        <v>553</v>
      </c>
    </row>
    <row r="16" spans="2:9">
      <c r="B16" s="475" t="s">
        <v>137</v>
      </c>
      <c r="C16" s="475" t="s">
        <v>137</v>
      </c>
      <c r="D16" s="450">
        <v>391</v>
      </c>
      <c r="E16" s="450">
        <v>353</v>
      </c>
      <c r="F16" s="522">
        <f>E16/VLOOKUP(B16,'Table 4 (2015)'!$B$6:$D$20,3,FALSE)*100000</f>
        <v>6.6010920786895051</v>
      </c>
      <c r="G16" s="450">
        <v>38</v>
      </c>
      <c r="H16" s="193"/>
    </row>
    <row r="17" spans="2:8">
      <c r="B17" s="197"/>
      <c r="C17" s="197"/>
      <c r="D17" s="195"/>
      <c r="E17" s="195"/>
      <c r="F17" s="195"/>
      <c r="G17" s="195"/>
      <c r="H17" s="195"/>
    </row>
    <row r="18" spans="2:8">
      <c r="B18" s="198" t="s">
        <v>628</v>
      </c>
      <c r="C18" s="198"/>
      <c r="D18" s="380"/>
      <c r="E18" s="380"/>
      <c r="F18" s="380"/>
      <c r="G18" s="380"/>
      <c r="H18" s="380"/>
    </row>
    <row r="19" spans="2:8" ht="15">
      <c r="B19" s="783" t="s">
        <v>558</v>
      </c>
      <c r="C19" s="783"/>
      <c r="D19" s="800"/>
      <c r="E19" s="800"/>
      <c r="F19" s="800"/>
      <c r="G19" s="800"/>
    </row>
    <row r="20" spans="2:8" ht="24.95" customHeight="1">
      <c r="B20" s="801" t="s">
        <v>559</v>
      </c>
      <c r="C20" s="801"/>
      <c r="D20" s="801"/>
      <c r="E20" s="801"/>
      <c r="F20" s="801"/>
      <c r="G20" s="801"/>
      <c r="H20" s="801"/>
    </row>
    <row r="21" spans="2:8" ht="24.95" customHeight="1">
      <c r="B21" s="801" t="s">
        <v>353</v>
      </c>
      <c r="C21" s="801"/>
      <c r="D21" s="801"/>
      <c r="E21" s="801"/>
      <c r="F21" s="801"/>
      <c r="G21" s="801"/>
      <c r="H21" s="801"/>
    </row>
    <row r="22" spans="2:8" ht="12.75" customHeight="1">
      <c r="B22" s="769" t="s">
        <v>560</v>
      </c>
      <c r="C22" s="769"/>
      <c r="D22" s="769"/>
      <c r="E22" s="769"/>
      <c r="F22" s="769"/>
      <c r="G22" s="769"/>
      <c r="H22" s="769"/>
    </row>
    <row r="23" spans="2:8">
      <c r="B23" s="769"/>
      <c r="C23" s="769"/>
      <c r="D23" s="769"/>
      <c r="E23" s="769"/>
      <c r="F23" s="769"/>
      <c r="G23" s="769"/>
      <c r="H23" s="769"/>
    </row>
    <row r="24" spans="2:8" ht="12.75" customHeight="1">
      <c r="B24" s="797" t="s">
        <v>657</v>
      </c>
      <c r="C24" s="797"/>
      <c r="D24" s="797"/>
      <c r="E24" s="797"/>
      <c r="F24" s="797"/>
      <c r="G24" s="797"/>
      <c r="H24" s="797"/>
    </row>
    <row r="25" spans="2:8">
      <c r="B25" s="797"/>
      <c r="C25" s="797"/>
      <c r="D25" s="797"/>
      <c r="E25" s="797"/>
      <c r="F25" s="797"/>
      <c r="G25" s="797"/>
      <c r="H25" s="797"/>
    </row>
    <row r="26" spans="2:8">
      <c r="B26" s="519"/>
      <c r="C26" s="519"/>
      <c r="D26" s="519"/>
      <c r="E26" s="519"/>
      <c r="F26" s="519"/>
      <c r="G26" s="519"/>
      <c r="H26" s="519"/>
    </row>
  </sheetData>
  <sheetProtection password="B8D9" sheet="1" objects="1" scenarios="1"/>
  <sortState ref="B7:G16">
    <sortCondition ref="B7:B16"/>
    <sortCondition ref="C7:C16"/>
  </sortState>
  <mergeCells count="7">
    <mergeCell ref="B22:H23"/>
    <mergeCell ref="B24:H25"/>
    <mergeCell ref="B1:D2"/>
    <mergeCell ref="B4:D4"/>
    <mergeCell ref="B19:G19"/>
    <mergeCell ref="B20:H20"/>
    <mergeCell ref="B21:H21"/>
  </mergeCells>
  <hyperlinks>
    <hyperlink ref="B4" location="'List of Tables &amp; Charts'!A1" display="return to List of Tables &amp; Charts"/>
  </hyperlinks>
  <pageMargins left="0.74803149606299213" right="0.74803149606299213" top="0.98425196850393704" bottom="0.98425196850393704" header="0.51181102362204722" footer="0.51181102362204722"/>
  <pageSetup paperSize="9" scale="83" orientation="landscape" r:id="rId1"/>
  <headerFooter alignWithMargins="0">
    <oddFooter>&amp;L&amp;8Scottish Stroke Care Audit 2016 National Report
Stroke Services in Scottish Hospitals, Data relating to 2015&amp;R&amp;8© NHS National Services Scotland/Crown Copyright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3</vt:i4>
      </vt:variant>
    </vt:vector>
  </HeadingPairs>
  <TitlesOfParts>
    <vt:vector size="83" baseType="lpstr">
      <vt:lpstr>List of Tables &amp; Charts</vt:lpstr>
      <vt:lpstr>Tables 1a 1b 1c combined</vt:lpstr>
      <vt:lpstr>Tables 1a 1b 1c extra detail</vt:lpstr>
      <vt:lpstr>Table 2</vt:lpstr>
      <vt:lpstr>Table 3</vt:lpstr>
      <vt:lpstr>Table 4 (2015)</vt:lpstr>
      <vt:lpstr>Table 4 (2014)</vt:lpstr>
      <vt:lpstr>Table 5</vt:lpstr>
      <vt:lpstr>Table 6 (2015)</vt:lpstr>
      <vt:lpstr>Table 6 (2014)</vt:lpstr>
      <vt:lpstr>Chart 1a</vt:lpstr>
      <vt:lpstr>Chart 1a DATA</vt:lpstr>
      <vt:lpstr>Chart 1a (final diagnosis)</vt:lpstr>
      <vt:lpstr>Chart 1a DATA (final diagnosis)</vt:lpstr>
      <vt:lpstr>Chart 1b</vt:lpstr>
      <vt:lpstr>Chart 1b DATA</vt:lpstr>
      <vt:lpstr>Chart 1b (final diag)</vt:lpstr>
      <vt:lpstr>Chart 1b DATA (final diag)</vt:lpstr>
      <vt:lpstr>Chart 1c</vt:lpstr>
      <vt:lpstr>Chart 1c DATA</vt:lpstr>
      <vt:lpstr>Chart 1c (final diag)</vt:lpstr>
      <vt:lpstr>Chart 1c DATA (final diag)</vt:lpstr>
      <vt:lpstr>Chart 2a</vt:lpstr>
      <vt:lpstr>Chart 2a DATA</vt:lpstr>
      <vt:lpstr>Chart 2b</vt:lpstr>
      <vt:lpstr>Chart 2b DATA</vt:lpstr>
      <vt:lpstr>Chart 2c</vt:lpstr>
      <vt:lpstr>Chart 2c DATA</vt:lpstr>
      <vt:lpstr>Chart 2d</vt:lpstr>
      <vt:lpstr>Chart 2d DATA</vt:lpstr>
      <vt:lpstr>Chart 3 (2015)</vt:lpstr>
      <vt:lpstr>Chart 3 (2015) DATA</vt:lpstr>
      <vt:lpstr>Chart 3 (2014)</vt:lpstr>
      <vt:lpstr>Chart 3 (2014) DATA</vt:lpstr>
      <vt:lpstr>Chart 4 (2015)</vt:lpstr>
      <vt:lpstr>Chart 4 (2015) DATA</vt:lpstr>
      <vt:lpstr>Chart 4 (2014)</vt:lpstr>
      <vt:lpstr>Chart 4 (2014) DATA</vt:lpstr>
      <vt:lpstr>Chart 5 (2015)</vt:lpstr>
      <vt:lpstr>Chart 5 (2015) DATA</vt:lpstr>
      <vt:lpstr>Chart 5 (2014)</vt:lpstr>
      <vt:lpstr>Chart 5 (2014) DATA</vt:lpstr>
      <vt:lpstr>Chart 6</vt:lpstr>
      <vt:lpstr>Chart 6 DATA</vt:lpstr>
      <vt:lpstr>Chart 7 (2015)</vt:lpstr>
      <vt:lpstr>Chart 7 (2015) DATA</vt:lpstr>
      <vt:lpstr>Chart 7 (2014)</vt:lpstr>
      <vt:lpstr>Chart 7 (2014) DATA</vt:lpstr>
      <vt:lpstr>Chart 8</vt:lpstr>
      <vt:lpstr>Chart 9</vt:lpstr>
      <vt:lpstr>Chart 9 DATA</vt:lpstr>
      <vt:lpstr>Chart 10 (2015)</vt:lpstr>
      <vt:lpstr>Chart 10 (2014)</vt:lpstr>
      <vt:lpstr>Chart 11</vt:lpstr>
      <vt:lpstr>Chart 12</vt:lpstr>
      <vt:lpstr>Chart 13 (2015)</vt:lpstr>
      <vt:lpstr>Chart 13 (2015) DATA</vt:lpstr>
      <vt:lpstr>Chart 13 (2014)(revised)</vt:lpstr>
      <vt:lpstr>Chart 13 (2014) DATA (revised)</vt:lpstr>
      <vt:lpstr>Chart 14a (2015)</vt:lpstr>
      <vt:lpstr>Chart 14a (2015) DATA</vt:lpstr>
      <vt:lpstr>Chart 14a (2014)</vt:lpstr>
      <vt:lpstr>Chart 14a (2014) DATA</vt:lpstr>
      <vt:lpstr>Chart 14b</vt:lpstr>
      <vt:lpstr>Chart 14b DATA</vt:lpstr>
      <vt:lpstr>Chart 15 (2015)</vt:lpstr>
      <vt:lpstr>Chart 15 (2014)</vt:lpstr>
      <vt:lpstr>Chart 16a</vt:lpstr>
      <vt:lpstr>Chart 16b</vt:lpstr>
      <vt:lpstr>Chart 17a</vt:lpstr>
      <vt:lpstr>Chart 17a DATA</vt:lpstr>
      <vt:lpstr>Chart 17b</vt:lpstr>
      <vt:lpstr>Chart 17b DATA</vt:lpstr>
      <vt:lpstr>Chart 17c</vt:lpstr>
      <vt:lpstr>Chart 17c DATA</vt:lpstr>
      <vt:lpstr>Chart 17d</vt:lpstr>
      <vt:lpstr>Chart 17d DATA</vt:lpstr>
      <vt:lpstr>Chart 17e</vt:lpstr>
      <vt:lpstr>Chart 17e DATA</vt:lpstr>
      <vt:lpstr>Poisson sub 100</vt:lpstr>
      <vt:lpstr>'Chart 1c DATA (final diag)'!Hospitals</vt:lpstr>
      <vt:lpstr>Hospitals</vt:lpstr>
      <vt:lpstr>'Table 2'!Print_Titles</vt:lpstr>
    </vt:vector>
  </TitlesOfParts>
  <Company>NHS NSS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Perkins</dc:creator>
  <cp:lastModifiedBy>iainmc03</cp:lastModifiedBy>
  <cp:lastPrinted>2016-06-29T12:39:11Z</cp:lastPrinted>
  <dcterms:created xsi:type="dcterms:W3CDTF">2014-04-11T06:41:55Z</dcterms:created>
  <dcterms:modified xsi:type="dcterms:W3CDTF">2016-06-30T10:03:14Z</dcterms:modified>
</cp:coreProperties>
</file>